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rivate\SOCRE\2014-11-24_Response\"/>
    </mc:Choice>
  </mc:AlternateContent>
  <bookViews>
    <workbookView xWindow="0" yWindow="132" windowWidth="15312" windowHeight="7968" firstSheet="26" activeTab="27"/>
  </bookViews>
  <sheets>
    <sheet name="Equipment Trans Talega Seg 4" sheetId="16" r:id="rId1"/>
    <sheet name="Equipment Trans Seg 1" sheetId="17" r:id="rId2"/>
    <sheet name="Equipment Trans Talega Seg 3" sheetId="18" r:id="rId3"/>
    <sheet name="Equipment Trans Talega Seg 2" sheetId="19" r:id="rId4"/>
    <sheet name="Equipment Trans Segment 1" sheetId="20" r:id="rId5"/>
    <sheet name="Equipment Trans Talega Seg 4 23" sheetId="21" r:id="rId6"/>
    <sheet name="Equipment Trans Seg 2 230" sheetId="22" r:id="rId7"/>
    <sheet name="Equipment Talega Substation" sheetId="1" r:id="rId8"/>
    <sheet name="Equipment Capistrano Sub 138kV" sheetId="9" r:id="rId9"/>
    <sheet name="Equipment Capistrano Sub 230kV" sheetId="11" r:id="rId10"/>
    <sheet name="Offroad Tiers EF" sheetId="28" r:id="rId11"/>
    <sheet name="WorkerTrips" sheetId="2" r:id="rId12"/>
    <sheet name="Construction Trucks" sheetId="3" r:id="rId13"/>
    <sheet name="Helicopters" sheetId="26" r:id="rId14"/>
    <sheet name="Helicopter EF" sheetId="27" r:id="rId15"/>
    <sheet name="Fugitive Dust Substation" sheetId="4" r:id="rId16"/>
    <sheet name="Fugitive Dust Transmission" sheetId="24" r:id="rId17"/>
    <sheet name="Substation Construction SC" sheetId="5" r:id="rId18"/>
    <sheet name="Substation Construction SD" sheetId="53" r:id="rId19"/>
    <sheet name="Transmission Line Construct SC" sheetId="23" r:id="rId20"/>
    <sheet name="Transmission Line Construct SD" sheetId="54" r:id="rId21"/>
    <sheet name="Reroute 2-12kV Circuits" sheetId="45" r:id="rId22"/>
    <sheet name="Construct 4 Foundations" sheetId="46" r:id="rId23"/>
    <sheet name="Undergrounding 2" sheetId="47" r:id="rId24"/>
    <sheet name="WorkerTrips Distribution" sheetId="48" r:id="rId25"/>
    <sheet name="Construction Trucks Distributio" sheetId="49" r:id="rId26"/>
    <sheet name="Distribution Line Construction" sheetId="50" r:id="rId27"/>
    <sheet name="Maximum Daily SC" sheetId="6" r:id="rId28"/>
    <sheet name="Maximum Daily SD" sheetId="55" r:id="rId29"/>
    <sheet name="Sheet1" sheetId="25" r:id="rId30"/>
    <sheet name="2015" sheetId="29" r:id="rId31"/>
    <sheet name="2016" sheetId="30" r:id="rId32"/>
    <sheet name="2017" sheetId="31" r:id="rId33"/>
    <sheet name="2018" sheetId="32" r:id="rId34"/>
    <sheet name="2019" sheetId="33" r:id="rId35"/>
    <sheet name="2020" sheetId="34" r:id="rId36"/>
    <sheet name="OFFROADEFs" sheetId="35" r:id="rId37"/>
    <sheet name="Tier 4" sheetId="36" r:id="rId38"/>
    <sheet name="EFs with Tier 4" sheetId="37" r:id="rId39"/>
    <sheet name="EFROGS" sheetId="38" r:id="rId40"/>
    <sheet name="EFCOS" sheetId="39" r:id="rId41"/>
    <sheet name="EFNOXS" sheetId="40" r:id="rId42"/>
    <sheet name="EFSOXS" sheetId="41" r:id="rId43"/>
    <sheet name="EFPMS" sheetId="42" r:id="rId44"/>
    <sheet name="EFCO2S" sheetId="43" r:id="rId45"/>
    <sheet name="EFCH4S" sheetId="44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nco120" localSheetId="22">#REF!</definedName>
    <definedName name="_nco120" localSheetId="28">#REF!</definedName>
    <definedName name="_nco120" localSheetId="21">#REF!</definedName>
    <definedName name="_nco120" localSheetId="18">#REF!</definedName>
    <definedName name="_nco120" localSheetId="20">#REF!</definedName>
    <definedName name="_nco120" localSheetId="23">#REF!</definedName>
    <definedName name="_nco120">#REF!</definedName>
    <definedName name="_nco250" localSheetId="22">#REF!</definedName>
    <definedName name="_nco250" localSheetId="28">#REF!</definedName>
    <definedName name="_nco250" localSheetId="21">#REF!</definedName>
    <definedName name="_nco250" localSheetId="18">#REF!</definedName>
    <definedName name="_nco250" localSheetId="20">#REF!</definedName>
    <definedName name="_nco250" localSheetId="23">#REF!</definedName>
    <definedName name="_nco250">#REF!</definedName>
    <definedName name="_nco50" localSheetId="22">#REF!</definedName>
    <definedName name="_nco50" localSheetId="28">#REF!</definedName>
    <definedName name="_nco50" localSheetId="21">#REF!</definedName>
    <definedName name="_nco50" localSheetId="18">#REF!</definedName>
    <definedName name="_nco50" localSheetId="20">#REF!</definedName>
    <definedName name="_nco50" localSheetId="23">#REF!</definedName>
    <definedName name="_nco50">#REF!</definedName>
    <definedName name="_nco999" localSheetId="22">#REF!</definedName>
    <definedName name="_nco999" localSheetId="28">#REF!</definedName>
    <definedName name="_nco999" localSheetId="21">#REF!</definedName>
    <definedName name="_nco999" localSheetId="18">#REF!</definedName>
    <definedName name="_nco999" localSheetId="20">#REF!</definedName>
    <definedName name="_nco999" localSheetId="23">#REF!</definedName>
    <definedName name="_nco999">#REF!</definedName>
    <definedName name="_nhc120" localSheetId="22">#REF!</definedName>
    <definedName name="_nhc120" localSheetId="28">#REF!</definedName>
    <definedName name="_nhc120" localSheetId="21">#REF!</definedName>
    <definedName name="_nhc120" localSheetId="18">#REF!</definedName>
    <definedName name="_nhc120" localSheetId="20">#REF!</definedName>
    <definedName name="_nhc120" localSheetId="23">#REF!</definedName>
    <definedName name="_nhc120">#REF!</definedName>
    <definedName name="_nhc250" localSheetId="22">#REF!</definedName>
    <definedName name="_nhc250" localSheetId="28">#REF!</definedName>
    <definedName name="_nhc250" localSheetId="21">#REF!</definedName>
    <definedName name="_nhc250" localSheetId="18">#REF!</definedName>
    <definedName name="_nhc250" localSheetId="20">#REF!</definedName>
    <definedName name="_nhc250" localSheetId="23">#REF!</definedName>
    <definedName name="_nhc250">#REF!</definedName>
    <definedName name="_nhc50" localSheetId="22">#REF!</definedName>
    <definedName name="_nhc50" localSheetId="28">#REF!</definedName>
    <definedName name="_nhc50" localSheetId="21">#REF!</definedName>
    <definedName name="_nhc50" localSheetId="18">#REF!</definedName>
    <definedName name="_nhc50" localSheetId="20">#REF!</definedName>
    <definedName name="_nhc50" localSheetId="23">#REF!</definedName>
    <definedName name="_nhc50">#REF!</definedName>
    <definedName name="_nhc999" localSheetId="22">#REF!</definedName>
    <definedName name="_nhc999" localSheetId="28">#REF!</definedName>
    <definedName name="_nhc999" localSheetId="21">#REF!</definedName>
    <definedName name="_nhc999" localSheetId="18">#REF!</definedName>
    <definedName name="_nhc999" localSheetId="20">#REF!</definedName>
    <definedName name="_nhc999" localSheetId="23">#REF!</definedName>
    <definedName name="_nhc999">#REF!</definedName>
    <definedName name="_npm120" localSheetId="22">#REF!</definedName>
    <definedName name="_npm120" localSheetId="28">#REF!</definedName>
    <definedName name="_npm120" localSheetId="21">#REF!</definedName>
    <definedName name="_npm120" localSheetId="18">#REF!</definedName>
    <definedName name="_npm120" localSheetId="20">#REF!</definedName>
    <definedName name="_npm120" localSheetId="23">#REF!</definedName>
    <definedName name="_npm120">#REF!</definedName>
    <definedName name="_npm250" localSheetId="22">#REF!</definedName>
    <definedName name="_npm250" localSheetId="28">#REF!</definedName>
    <definedName name="_npm250" localSheetId="21">#REF!</definedName>
    <definedName name="_npm250" localSheetId="18">#REF!</definedName>
    <definedName name="_npm250" localSheetId="20">#REF!</definedName>
    <definedName name="_npm250" localSheetId="23">#REF!</definedName>
    <definedName name="_npm250">#REF!</definedName>
    <definedName name="_npm50" localSheetId="22">#REF!</definedName>
    <definedName name="_npm50" localSheetId="28">#REF!</definedName>
    <definedName name="_npm50" localSheetId="21">#REF!</definedName>
    <definedName name="_npm50" localSheetId="18">#REF!</definedName>
    <definedName name="_npm50" localSheetId="20">#REF!</definedName>
    <definedName name="_npm50" localSheetId="23">#REF!</definedName>
    <definedName name="_npm50">#REF!</definedName>
    <definedName name="_npm999" localSheetId="22">#REF!</definedName>
    <definedName name="_npm999" localSheetId="28">#REF!</definedName>
    <definedName name="_npm999" localSheetId="21">#REF!</definedName>
    <definedName name="_npm999" localSheetId="18">#REF!</definedName>
    <definedName name="_npm999" localSheetId="20">#REF!</definedName>
    <definedName name="_npm999" localSheetId="23">#REF!</definedName>
    <definedName name="_npm999">#REF!</definedName>
    <definedName name="_ny120" localSheetId="22">#REF!</definedName>
    <definedName name="_ny120" localSheetId="28">#REF!</definedName>
    <definedName name="_ny120" localSheetId="21">#REF!</definedName>
    <definedName name="_ny120" localSheetId="18">#REF!</definedName>
    <definedName name="_ny120" localSheetId="20">#REF!</definedName>
    <definedName name="_ny120" localSheetId="23">#REF!</definedName>
    <definedName name="_ny120">#REF!</definedName>
    <definedName name="_ny175" localSheetId="22">#REF!</definedName>
    <definedName name="_ny175" localSheetId="28">#REF!</definedName>
    <definedName name="_ny175" localSheetId="21">#REF!</definedName>
    <definedName name="_ny175" localSheetId="18">#REF!</definedName>
    <definedName name="_ny175" localSheetId="20">#REF!</definedName>
    <definedName name="_ny175" localSheetId="23">#REF!</definedName>
    <definedName name="_ny175">#REF!</definedName>
    <definedName name="_ny250" localSheetId="22">#REF!</definedName>
    <definedName name="_ny250" localSheetId="28">#REF!</definedName>
    <definedName name="_ny250" localSheetId="21">#REF!</definedName>
    <definedName name="_ny250" localSheetId="18">#REF!</definedName>
    <definedName name="_ny250" localSheetId="20">#REF!</definedName>
    <definedName name="_ny250" localSheetId="23">#REF!</definedName>
    <definedName name="_ny250">#REF!</definedName>
    <definedName name="_ny50" localSheetId="22">#REF!</definedName>
    <definedName name="_ny50" localSheetId="28">#REF!</definedName>
    <definedName name="_ny50" localSheetId="21">#REF!</definedName>
    <definedName name="_ny50" localSheetId="18">#REF!</definedName>
    <definedName name="_ny50" localSheetId="20">#REF!</definedName>
    <definedName name="_ny50" localSheetId="23">#REF!</definedName>
    <definedName name="_ny50">#REF!</definedName>
    <definedName name="_ny500" localSheetId="22">#REF!</definedName>
    <definedName name="_ny500" localSheetId="28">#REF!</definedName>
    <definedName name="_ny500" localSheetId="21">#REF!</definedName>
    <definedName name="_ny500" localSheetId="18">#REF!</definedName>
    <definedName name="_ny500" localSheetId="20">#REF!</definedName>
    <definedName name="_ny500" localSheetId="23">#REF!</definedName>
    <definedName name="_ny500">#REF!</definedName>
    <definedName name="_ny750" localSheetId="22">#REF!</definedName>
    <definedName name="_ny750" localSheetId="28">#REF!</definedName>
    <definedName name="_ny750" localSheetId="21">#REF!</definedName>
    <definedName name="_ny750" localSheetId="18">#REF!</definedName>
    <definedName name="_ny750" localSheetId="20">#REF!</definedName>
    <definedName name="_ny750" localSheetId="23">#REF!</definedName>
    <definedName name="_ny750">#REF!</definedName>
    <definedName name="_ny999" localSheetId="22">#REF!</definedName>
    <definedName name="_ny999" localSheetId="28">#REF!</definedName>
    <definedName name="_ny999" localSheetId="21">#REF!</definedName>
    <definedName name="_ny999" localSheetId="18">#REF!</definedName>
    <definedName name="_ny999" localSheetId="20">#REF!</definedName>
    <definedName name="_ny999" localSheetId="23">#REF!</definedName>
    <definedName name="_ny999">#REF!</definedName>
    <definedName name="nnox120" localSheetId="22">#REF!</definedName>
    <definedName name="nnox120" localSheetId="28">#REF!</definedName>
    <definedName name="nnox120" localSheetId="21">#REF!</definedName>
    <definedName name="nnox120" localSheetId="18">#REF!</definedName>
    <definedName name="nnox120" localSheetId="20">#REF!</definedName>
    <definedName name="nnox120" localSheetId="23">#REF!</definedName>
    <definedName name="nnox120">#REF!</definedName>
    <definedName name="nnox250" localSheetId="22">#REF!</definedName>
    <definedName name="nnox250" localSheetId="28">#REF!</definedName>
    <definedName name="nnox250" localSheetId="21">#REF!</definedName>
    <definedName name="nnox250" localSheetId="18">#REF!</definedName>
    <definedName name="nnox250" localSheetId="20">#REF!</definedName>
    <definedName name="nnox250" localSheetId="23">#REF!</definedName>
    <definedName name="nnox250">#REF!</definedName>
    <definedName name="nnox50" localSheetId="22">#REF!</definedName>
    <definedName name="nnox50" localSheetId="28">#REF!</definedName>
    <definedName name="nnox50" localSheetId="21">#REF!</definedName>
    <definedName name="nnox50" localSheetId="18">#REF!</definedName>
    <definedName name="nnox50" localSheetId="20">#REF!</definedName>
    <definedName name="nnox50" localSheetId="23">#REF!</definedName>
    <definedName name="nnox50">#REF!</definedName>
    <definedName name="nnox999" localSheetId="22">#REF!</definedName>
    <definedName name="nnox999" localSheetId="28">#REF!</definedName>
    <definedName name="nnox999" localSheetId="21">#REF!</definedName>
    <definedName name="nnox999" localSheetId="18">#REF!</definedName>
    <definedName name="nnox999" localSheetId="20">#REF!</definedName>
    <definedName name="nnox999" localSheetId="23">#REF!</definedName>
    <definedName name="nnox999">#REF!</definedName>
    <definedName name="_xlnm.Print_Area" localSheetId="14">'Helicopter EF'!$A$1:$AF$32</definedName>
    <definedName name="_xlnm.Print_Area" localSheetId="13">Helicopters!$A$1:$W$13</definedName>
    <definedName name="_xlnm.Print_Area" localSheetId="10">'Offroad Tiers EF'!$A$1:$BG$25</definedName>
    <definedName name="_xlnm.Print_Titles" localSheetId="14">'Helicopter EF'!$A:$H</definedName>
    <definedName name="SCSCH481114" localSheetId="45">#REF!</definedName>
    <definedName name="SCSCH481114" localSheetId="44">#REF!</definedName>
    <definedName name="SCSCH481114" localSheetId="40">#REF!</definedName>
    <definedName name="SCSCH481114" localSheetId="41">#REF!</definedName>
    <definedName name="SCSCH481114" localSheetId="43">#REF!</definedName>
    <definedName name="SCSCH481114" localSheetId="42">#REF!</definedName>
    <definedName name="SCSCH481114" localSheetId="28">#REF!</definedName>
    <definedName name="SCSCH481114" localSheetId="18">#REF!</definedName>
    <definedName name="SCSCH481114" localSheetId="20">#REF!</definedName>
    <definedName name="SCSCH481114">#REF!</definedName>
    <definedName name="SCSCH481814" localSheetId="45">#REF!</definedName>
    <definedName name="SCSCH481814" localSheetId="44">#REF!</definedName>
    <definedName name="SCSCH481814" localSheetId="40">#REF!</definedName>
    <definedName name="SCSCH481814" localSheetId="41">#REF!</definedName>
    <definedName name="SCSCH481814" localSheetId="43">#REF!</definedName>
    <definedName name="SCSCH481814" localSheetId="42">#REF!</definedName>
    <definedName name="SCSCH481814" localSheetId="28">#REF!</definedName>
    <definedName name="SCSCH481814" localSheetId="18">#REF!</definedName>
    <definedName name="SCSCH481814" localSheetId="20">#REF!</definedName>
    <definedName name="SCSCH481814">#REF!</definedName>
    <definedName name="SCSCO281114" localSheetId="45">#REF!</definedName>
    <definedName name="SCSCO281114" localSheetId="44">#REF!</definedName>
    <definedName name="SCSCO281114" localSheetId="40">#REF!</definedName>
    <definedName name="SCSCO281114" localSheetId="41">#REF!</definedName>
    <definedName name="SCSCO281114" localSheetId="43">#REF!</definedName>
    <definedName name="SCSCO281114" localSheetId="42">#REF!</definedName>
    <definedName name="SCSCO281114" localSheetId="28">#REF!</definedName>
    <definedName name="SCSCO281114" localSheetId="18">#REF!</definedName>
    <definedName name="SCSCO281114" localSheetId="20">#REF!</definedName>
    <definedName name="SCSCO281114">#REF!</definedName>
    <definedName name="SCSCO281814" localSheetId="45">#REF!</definedName>
    <definedName name="SCSCO281814" localSheetId="44">#REF!</definedName>
    <definedName name="SCSCO281814" localSheetId="40">#REF!</definedName>
    <definedName name="SCSCO281814" localSheetId="41">#REF!</definedName>
    <definedName name="SCSCO281814" localSheetId="43">#REF!</definedName>
    <definedName name="SCSCO281814" localSheetId="42">#REF!</definedName>
    <definedName name="SCSCO281814" localSheetId="28">#REF!</definedName>
    <definedName name="SCSCO281814" localSheetId="18">#REF!</definedName>
    <definedName name="SCSCO281814" localSheetId="20">#REF!</definedName>
    <definedName name="SCSCO281814">#REF!</definedName>
    <definedName name="SCSN2O81114" localSheetId="45">#REF!</definedName>
    <definedName name="SCSN2O81114" localSheetId="44">#REF!</definedName>
    <definedName name="SCSN2O81114" localSheetId="40">#REF!</definedName>
    <definedName name="SCSN2O81114" localSheetId="41">#REF!</definedName>
    <definedName name="SCSN2O81114" localSheetId="43">#REF!</definedName>
    <definedName name="SCSN2O81114" localSheetId="42">#REF!</definedName>
    <definedName name="SCSN2O81114" localSheetId="28">#REF!</definedName>
    <definedName name="SCSN2O81114" localSheetId="18">#REF!</definedName>
    <definedName name="SCSN2O81114" localSheetId="20">#REF!</definedName>
    <definedName name="SCSN2O81114">#REF!</definedName>
    <definedName name="SCSN2O81814" localSheetId="45">#REF!</definedName>
    <definedName name="SCSN2O81814" localSheetId="44">#REF!</definedName>
    <definedName name="SCSN2O81814" localSheetId="40">#REF!</definedName>
    <definedName name="SCSN2O81814" localSheetId="41">#REF!</definedName>
    <definedName name="SCSN2O81814" localSheetId="43">#REF!</definedName>
    <definedName name="SCSN2O81814" localSheetId="42">#REF!</definedName>
    <definedName name="SCSN2O81814" localSheetId="28">#REF!</definedName>
    <definedName name="SCSN2O81814" localSheetId="18">#REF!</definedName>
    <definedName name="SCSN2O81814" localSheetId="20">#REF!</definedName>
    <definedName name="SCSN2O81814">#REF!</definedName>
    <definedName name="SCSNOX1013">'[1]Equipment SCS 10-13-14'!$S$21</definedName>
    <definedName name="SCSNOX1020">'[1]Equipment SCS 10-20-14'!$S$21</definedName>
    <definedName name="SCSNOX1027">'[1]Equipment SCS 10-27-14'!$S$21</definedName>
    <definedName name="SCSNOX106">'[1]Equipment SCS 10-6-14'!$S$21</definedName>
    <definedName name="SCSNOX111">'[1]Equipment SCS 1-11-16'!$S$9</definedName>
    <definedName name="SCSNOX1110">'[1]Equipment SCS 11-10-14'!$S$27</definedName>
    <definedName name="SCSNOX1117">'[1]Equipment SCS 11-17-14'!$S$27</definedName>
    <definedName name="SCSNOX112">'[1]Equipment SCS 1-12-15'!$S$29</definedName>
    <definedName name="SCSNOX113">'[1]Equipment SCS 11-3-14'!$S$21</definedName>
    <definedName name="SCSNOX118">'[1]Equipment SCS 1-18-16'!$S$9</definedName>
    <definedName name="SCSNOX119">'[1]Equipment SCS 1-19-15'!$S$23</definedName>
    <definedName name="SCSNOX121">'[1]Equipment SCS 12-1-14'!$S$40</definedName>
    <definedName name="SCSNOX1214">'[1]Equipment SCS 12-14-15'!$S$15</definedName>
    <definedName name="SCSNOX1215">'[1]Equipment SCS 12-15-14'!$S$27</definedName>
    <definedName name="SCSNOX1221">'[1]Equipment SCS 12-21-15'!$S$9</definedName>
    <definedName name="SCSNOX1222">'[1]Equipment SCS 12-22-14'!$S$37</definedName>
    <definedName name="SCSNOX1228">'[1]Equipment SCS 12-28-15'!$S$9</definedName>
    <definedName name="SCSNOX1229">'[1]Equipment SCS 12-29-14'!$S$38</definedName>
    <definedName name="SCSNOX126">'[1]Equipment SCS 1-26-15'!$S$24</definedName>
    <definedName name="SCSNOx128">'[1]Equipment SCS 12-8-14'!$S$37</definedName>
    <definedName name="SCSNOX14">'[1]Equipment SCS 1-4-16'!$S$9</definedName>
    <definedName name="SCSNOX15">'[1]Equipment SCS 1-5-15'!$S$29</definedName>
    <definedName name="SCSNOX216">'[1]Equipment SCS 2-16-15'!$S$23</definedName>
    <definedName name="SCSNOX22">'[1]Equipment SCS 2-2-15'!$S$24</definedName>
    <definedName name="SCSNOX223">'[1]Equipment SCS 2-23-15'!$S$18</definedName>
    <definedName name="SCSNOX29">'[1]Equipment SCS 2-9-15'!$S$24</definedName>
    <definedName name="SCSNOX316">'[1]Equipment SCS 3-16-15'!$S$21</definedName>
    <definedName name="SCSNOX32">'[1]Equipment SCS 3-2-15'!$S$18</definedName>
    <definedName name="SCSNOX323">'[1]Equipment SCS 3-23-15'!$S$21</definedName>
    <definedName name="SCSNOX330">'[1]Equipment SCS 3-30-15'!$S$22</definedName>
    <definedName name="SCSNOX39">'[1]Equipment SCS 3-9-15'!$S$22</definedName>
    <definedName name="SCSNOX413">'[1]Equipment SCS 4-13-15'!$S$22</definedName>
    <definedName name="SCSNOX420">'[1]Equipment SCS 4-20-15'!$S$22</definedName>
    <definedName name="SCSNOX427">'[1]Equipment SCS 4-27-15'!$S$21</definedName>
    <definedName name="SCSNOX46">'[1]Equipment SCS 4-6-15'!$S$22</definedName>
    <definedName name="SCSNOX511">'[1]Equipment SCS 5-11-15'!$S$21</definedName>
    <definedName name="SCSNOX518">'[1]Equipment SCS 5-18-15'!$S$21</definedName>
    <definedName name="SCSNOX525">'[1]Equipment SCS 5-25-15'!$S$27</definedName>
    <definedName name="SCSNOX54">'[1]Equipment SCS 5-4-15'!$S$21</definedName>
    <definedName name="SCSNOX61">'[1]Equipment SCS 6-1-15'!$S$27</definedName>
    <definedName name="SCSNOX615">'[1]Equipment SCS 6-15-15'!$S$21</definedName>
    <definedName name="SCSNOX623">'[1]Equipment SCS 6-23-15'!$S$22</definedName>
    <definedName name="SCSNOX630">'[1]Equipment SCS 6-30-15'!$S$23</definedName>
    <definedName name="SCSNOX68">'[1]Equipment SCS 6-8-15'!$S$21</definedName>
    <definedName name="SCSNOX713">'[1]Equipment SCS 7-13-15'!$S$22</definedName>
    <definedName name="SCSNOX720">'[1]Equipment SCS 7-20-15'!$S$22</definedName>
    <definedName name="SCSNOX727">'[1]Equipment SCS 7-27-15'!$S$23</definedName>
    <definedName name="SCSNOx76">'[1]Equipment SCS 7-6-15'!$S$22</definedName>
    <definedName name="SCSNOX810">'[1]Equipment SCS 8-10-15'!$S$21</definedName>
    <definedName name="SCSNOx811">'[1]Equipment SCS 8-11-14'!$S$14</definedName>
    <definedName name="SCSNOX817">'[1]Equipment SCS 8-17-15'!$S$20</definedName>
    <definedName name="SCSNOx818">'[1]Equipment SCS 8-18-14'!$S$17</definedName>
    <definedName name="SCSNOX825">'[1]Equipment SCS 8-25-14'!$S$17</definedName>
    <definedName name="SCSNOX83">'[1]Equipment SCS 8-3-15'!$S$21</definedName>
    <definedName name="SCSNOX91">'[1]Equipment SCS 9-1-14'!$S$37</definedName>
    <definedName name="SCSNOX915">'[1]Equipment SCS 9-15-14'!$S$37</definedName>
    <definedName name="SCSNOX922">'[1]Equipment SCS 9-22-14'!$S$20</definedName>
    <definedName name="SCSNOX929">'[1]Equipment SCS 9-29-14'!$S$21</definedName>
    <definedName name="SCSNOX98">'[1]Equipment SCS 9-8-14'!$S$37</definedName>
    <definedName name="SCSNOXAUG2015">'[1]Equipment SCS 818-101'!$S$20</definedName>
    <definedName name="SCSNOXNOV2015">'[1]Equipment SCS 1110-1130'!$S$16</definedName>
    <definedName name="SCSNOXOCT2015">'[1]Equipment SCS 102-119'!$S$20</definedName>
    <definedName name="TL6910NOX216">'[1]Equipment TL6910 2-16-15'!$S$12</definedName>
    <definedName name="TL6910NOX29">'[1]Equipment TL6910 2-9-15'!$S$12</definedName>
    <definedName name="TL6910NOX413">'[1]Equipment TL6910 4-13-15'!$S$13</definedName>
    <definedName name="TL6910NOX427">'[1]Equipment TL6910 4-27-15'!$S$13</definedName>
    <definedName name="TL6910NOX810">'[1]Equipment TL6910 8-10-15'!$S$12</definedName>
    <definedName name="TL6910NOX817">'[1]Equipment TL6910 8-17-15'!$S$12</definedName>
    <definedName name="TL6910NOX824">'[1]Equipment TL6910 8-24-15'!$S$12</definedName>
    <definedName name="TL6910NOX921">'[1]Equipment TL6910 9-21-15'!$S$14</definedName>
    <definedName name="TRUCK12KVNOX316">'[1]Trucks 12kV Dist 3-16-15'!$U$9</definedName>
    <definedName name="TRUCK12KVNOX323">'[1]Trucks 12kV Dist 3-23-15'!$U$14</definedName>
    <definedName name="TRUCK12KVNOX330">'[1]Trucks 12kV Dist 3-30-15'!$U$14</definedName>
    <definedName name="TRUCK12KVNOX413">'[1]Trucks 12kV Dist 4-13-15'!$U$14</definedName>
    <definedName name="TRUCK12KVNOX420">'[1]Trucks 12kV Dist 4-20-15'!$U$14</definedName>
    <definedName name="TRUCK12KVNOX427">'[1]Trucks 12kV Dist 4-27-15'!$U$14</definedName>
    <definedName name="TRUCK12KVNOX46">'[1]Trucks 12kV Dist 4-6-15'!$U$14</definedName>
    <definedName name="TRUCK12KVNOX51">'[1]Trucks 12kV Dist 5-1-15'!$U$9</definedName>
    <definedName name="TRUCK12KVNOX515">'[1]Trucks 12kV Dist 5-15-15'!$U$9</definedName>
    <definedName name="TRUCK12KVNOX522">'[1]Trucks 12kV Dist 5-22-15'!$U$9</definedName>
    <definedName name="TRUCK12KVNOX58">'[1]Trucks 12kV Dist 5-8-15'!$U$9</definedName>
    <definedName name="TRUCK12KVNOXMAY2015">'[1]Trucks 12kV Dist 529-801'!$U$9</definedName>
    <definedName name="TRUCK69KVNOX128">'[1]Trucks 69kV 12-8-14'!$U$13</definedName>
    <definedName name="TRUCK69KVNOX317">'[1]Trucks 69kV 3-17-15'!$U$12</definedName>
    <definedName name="TRUCK69KVNOX324">'[1]Trucks 69kV 3-24-15'!$G$31</definedName>
    <definedName name="TRUCK69KVNOX720">'[1]Trucks 69kV 7-20-15'!$U$12</definedName>
    <definedName name="TRUCK69KVNOX727">'[1]Trucks 69kV 7-27-15'!$U$12</definedName>
    <definedName name="TRUCK69KVNOX810">'[1]Trucks 69kV 8-10-15'!$U$12</definedName>
    <definedName name="TRUCK69KVNOX817">'[1]Trucks 69kV 8-17-15'!$U$16</definedName>
    <definedName name="TRUCK69KVNOx824">'[1]Trucks 69kV 8-24-15'!$U$16</definedName>
    <definedName name="TRUCK69KVNOX831">'[1]Trucks 69kV 8-31-15'!$U$9</definedName>
    <definedName name="TRUCK69KVNOX928">'[1]Trucks 69kV 9-28-15'!$U$12</definedName>
    <definedName name="TRUCK69KVNOX97">'[1]Trucks 69kV 9-7-15'!$U$9</definedName>
    <definedName name="TRUCK69KVNOXDEC2014">'[1]Trucks 69kV 1215-120'!$U$18</definedName>
    <definedName name="TRUCK69KVNOXJAN2015">'[1]Trucks 69kV 120-317'!$U$12</definedName>
    <definedName name="TRUCKMIGNOX111">'[1]Construction Truck Mig 1-11-16'!$U$11</definedName>
    <definedName name="TRUCKMIGNOX118" localSheetId="45">#REF!</definedName>
    <definedName name="TRUCKMIGNOX118" localSheetId="44">#REF!</definedName>
    <definedName name="TRUCKMIGNOX118" localSheetId="40">#REF!</definedName>
    <definedName name="TRUCKMIGNOX118" localSheetId="41">#REF!</definedName>
    <definedName name="TRUCKMIGNOX118" localSheetId="43">#REF!</definedName>
    <definedName name="TRUCKMIGNOX118" localSheetId="42">#REF!</definedName>
    <definedName name="TRUCKMIGNOX118" localSheetId="28">#REF!</definedName>
    <definedName name="TRUCKMIGNOX118" localSheetId="18">#REF!</definedName>
    <definedName name="TRUCKMIGNOX118" localSheetId="20">#REF!</definedName>
    <definedName name="TRUCKMIGNOX118">#REF!</definedName>
    <definedName name="TRUCKMIGNOX1228">'[1]Construction Truck Mig 12-28-15'!$U$8</definedName>
    <definedName name="TRUCKMIGNOX14">'[1]Construction Truck Mig 1-4-16'!$U$11</definedName>
    <definedName name="TRUCKMIGNOX330">'[1]Trucks Miguel Sub 3-30-15'!$U$19</definedName>
    <definedName name="TRUCKMIGNOX402">'[1]Trucks Miguel Sub 4-20-15'!$U$16</definedName>
    <definedName name="TRUCKMIGNOX413">'[1]Trucks Miguel Sub 4-13-15'!$U$16</definedName>
    <definedName name="TRUCKMIGNOX427">'[1]Trucks Miguel Sub 4-27-15'!$U$16</definedName>
    <definedName name="TRUCKMIGNOX46">'[1]Trucks Miguel Sub 4-6-15'!$U$16</definedName>
    <definedName name="TRUCKMIGNOX511">'[1]Trucks Miguel Sub 5-11-15'!$U$16</definedName>
    <definedName name="TRUCKMIGNOX518">'[1]Trucks Miguel Sub 5-18-15'!$U$16</definedName>
    <definedName name="TRUCKMIGNOX525">'[1]Trucks Miguel Sub 5-25-15'!$U$20</definedName>
    <definedName name="TRUCKMIGNOX54">'[1]Trucks Miguel Sub 5-4-15'!$U$16</definedName>
    <definedName name="TRUCKMIGNOX61">'[1]Trucks Miguel Sub 6-1-15'!$U$20</definedName>
    <definedName name="TRUCKMIGNOX615">'[1]Trucks Miguel Sub 6-15-15'!$U$20</definedName>
    <definedName name="TRUCKMIGNOX623">'[1]Trucks Miguel Sub 6-23-15'!$U$13</definedName>
    <definedName name="TRUCKMIGNOX630">'[1]Trucks Miguel Sub 6-30-15'!$U$13</definedName>
    <definedName name="TRUCKMIGNOX68">'[1]Trucks Miguel Sub 6-8-15'!$U$20</definedName>
    <definedName name="TRUCKMIGNOX713">'[1]Trucks Miguel Sub 7-13-15'!$U$13</definedName>
    <definedName name="TRUCKMIGNOX720">'[1]Trucks Miguel Sub 7-20-15'!$U$13</definedName>
    <definedName name="TRUCKMIGNOX76">'[1]Trucks Miguel Sub 7-6-15'!$U$13</definedName>
    <definedName name="TRUCKNOX69KV83">'[1]Trucks 69kV 8-3-15'!$U$12</definedName>
    <definedName name="TRUCKSCSNOX1013">'[1]Construction Trucks SCS 10-13-1'!$U$17</definedName>
    <definedName name="TRUCKSCSNOX1020">'[1]Construction Trucks SCS 10-20-1'!$U$17</definedName>
    <definedName name="TRUCKSCSNOX1027">'[1]Construction Trucks SCS 10-27-1'!$U$17</definedName>
    <definedName name="TRUCKSCSNOX106">'[1]Construction Trucks SCS 10-6-14'!$U$16</definedName>
    <definedName name="TRUCKSCSNOX111">'[1]Construction Truck SCS 1-11-16'!$U$11</definedName>
    <definedName name="TRUCKSCSNOX1110">'[1]Construction Truck SCS 11-10-14'!$U$21</definedName>
    <definedName name="TRUCKSCSNOX1117">'[1]Construction Truck SCS 11-17-1'!$U$21</definedName>
    <definedName name="TRUCKSCSNOX112">'[1]Construction Truck SCS 1-12-15'!$U$27</definedName>
    <definedName name="TRUCKSCSNOX113">'[1]Construction Trucks SCS 11-3-14'!$U$17</definedName>
    <definedName name="TRUCKSCSNOX118">'[1]Construction Truck SCS 1-18-16'!$U$11</definedName>
    <definedName name="TRUCKSCSNOX119">'[1]Construction Truck SCS 1-19-15'!$U$23</definedName>
    <definedName name="TRUCKSCSNOX121">'[1]Construction Trucks SCS 12-1-14'!$U$32</definedName>
    <definedName name="TRUCKSCSNOX1214">'[1]Construction Truck SCS 12-14-15'!$U$13</definedName>
    <definedName name="TRUCKSCSNOX1215">'[1]Construction Trucks SCS 12-15-1'!$U$26</definedName>
    <definedName name="TRUCKSCSNOX1221">'[1]Construction Truck SCS 12-21-15'!$U$8</definedName>
    <definedName name="TRUCKSCSNOX1222">'[1]Construction Truck SCS 12-22-14'!$U$31</definedName>
    <definedName name="TRUCKSCSNOX1228">'[1]Construction Truck SCS 12-28-15'!$U$8</definedName>
    <definedName name="TRUCKSCSNOX1229">'[1]Construction Truck SCS 12-29-14'!$U$31</definedName>
    <definedName name="TRUCKSCSNOX126">'[1]Construction Truck SCS 1-26-15'!$U$23</definedName>
    <definedName name="TRUCKSCSNOX128">'[1]Construction Trucks SCS 12-8-14'!$U$32</definedName>
    <definedName name="TRUCKSCSNOX14">'[1]Construction Truck SCS 1-4-16'!$U$11</definedName>
    <definedName name="TRUCKSCSNOX15">'[1]Construction Truck SCS 1-5-15'!$U$26</definedName>
    <definedName name="TRUCKSCSNOX216">'[1]Construction Truck SCS 2-16-15'!$U$21</definedName>
    <definedName name="TRUCKSCSNOX22">'[1]Construction Truck SCS 2-2-15'!$U$22</definedName>
    <definedName name="TRUCKSCSNOX223">'[1]Construction Truck SCS 2-23-15'!$U$16</definedName>
    <definedName name="TRUCKSCSNOX29">'[1]Construction Truck SCS 2-9-15'!$U$21</definedName>
    <definedName name="TRUCKSCSNOX316">'[1]Construction Truck SCS 3-16-15'!$U$17</definedName>
    <definedName name="TRUCKSCSNOX32">'[1]Construction Truck SCS 3-2-15'!$U$16</definedName>
    <definedName name="TRUCKSCSNOX323">'[1]Construction Truck SCS 3-23-15'!$U$17</definedName>
    <definedName name="TRUCKSCSNOX330">'[1]Construction Truck SCS 3-30-15'!$U$17</definedName>
    <definedName name="TRUCKSCSNOX39">'[1]Construction Truck SCS 3-9-15'!$U$20</definedName>
    <definedName name="TRUCKSCSNOX413">'[1]Construction Truck SCS 4-13-15'!$U$17</definedName>
    <definedName name="TRUCKSCSNOX420">'[1]Construction Truck SCS 4-20-15'!$U$17</definedName>
    <definedName name="TRUCKSCSNOX427">'[1]Construction Truck SCS 4-27-15'!$U$17</definedName>
    <definedName name="TRUCKSCSNOX46">'[1]Construction Truck SCS 4-6-15'!$U$17</definedName>
    <definedName name="TRUCKSCSNOX511">'[1]Construction Truck SCS 5-11-15'!$U$17</definedName>
    <definedName name="TRUCKSCSNOX518">'[1]Construction Truck SCS 5-18-15'!$U$17</definedName>
    <definedName name="TRUCKSCSNOX525">'[1]Construction Truck SCS 5-25-15'!$U$20</definedName>
    <definedName name="TRUCKSCSNOX54">'[1]Construction Truck SCS 5-4-15'!$U$17</definedName>
    <definedName name="TRUCKSCSNOX61">'[1]Construction Truck SCS 6-1-15'!$U$20</definedName>
    <definedName name="TRUCKSCSNOX615">'[1]Construction Truck SCS 6-15-15'!$U$16</definedName>
    <definedName name="TRUCKSCSNOX623">'[1]Construction Truck SCS 6-23-15'!$U$17</definedName>
    <definedName name="TRUCKSCSNOX630">'[1]Construction Truck SCS 6-30-15'!$U$16</definedName>
    <definedName name="TRUCKSCSNOX68">'[1]Construction Truck SCS 6-8-15'!$U$16</definedName>
    <definedName name="TRUCKSCSNOX713">'[1]Construction Truck SCS 7-13-15'!$U$20</definedName>
    <definedName name="TRUCKSCSNOX720">'[1]Construction Truck SCS 7-20-15'!$U$20</definedName>
    <definedName name="TRUCKSCSNOX727">'[1]Construction Truck SCS 7-27-15'!$U$20</definedName>
    <definedName name="TRUCKSCSNOX76">'[1]Construction Truck SCS 7-6-15'!$U$21</definedName>
    <definedName name="TRUCKSCSNOX810">'[1]Construction Truck SCS 8-10-15'!$U$20</definedName>
    <definedName name="TRUCKSCSNOX811">'[1]Construction Trucks SCS 8-11-14'!$U$12</definedName>
    <definedName name="TRUCKSCSNOX817">'[1]Construction Truck SCS 8-17-15'!$U$20</definedName>
    <definedName name="TRUCKSCSNOX818">'[1]Construction Trucks SCS 8-18-14'!$U$12</definedName>
    <definedName name="TRUCKSCSNOX825">'[1]Construction Trucks SCS 8-25-14'!$U$12</definedName>
    <definedName name="TRUCKSCSNOX83">'[1]Construction Truck SCS 8-3-15'!$U$20</definedName>
    <definedName name="TRUCKSCSNOX91">'[1]Construction Trucks SCS 9-1-14'!$U$25</definedName>
    <definedName name="TRUCKSCSNOX915">'[1]Construction Trucks SCS 9-15-14'!$U$25</definedName>
    <definedName name="TRUCKSCSNOX922">'[1]Construction Trucks SCS 9-22-14'!$U$16</definedName>
    <definedName name="TRUCKSCSNOX929">'[1]Construction Trucks SCS 9-29-14'!$U$16</definedName>
    <definedName name="TRUCKSCSNOX98">'[1]Construction Trucks SCS 9-8-14'!$U$26</definedName>
    <definedName name="TRUCKSCSNOXAUG2015">'[1]Construction Truck SCS 818-101'!$U$20</definedName>
    <definedName name="TRUCKSCSNOXNOV2015">'[1]Construction Truck SCS1110-1130'!$U$13</definedName>
    <definedName name="TRUCKSCSNOXOCT2015">'[1]Construction Truck SCS 102-119'!$E$39</definedName>
    <definedName name="TRUCKTL6910NOX413">'[1]Trucks TL6910 4-13-15'!$U$12</definedName>
    <definedName name="TRUCKTL6910NOX427">'[1]Trucks TL6910 4-27-15'!$U$12</definedName>
    <definedName name="TRUCKTL6910NOX810">'[1]Trucks TL6910 8-10-15'!$U$11</definedName>
    <definedName name="TRUCKTL6910NOX817">'[1]Trucks TL6910 8-17-15'!$U$11</definedName>
    <definedName name="TRUCKTL6910NOX921">'[1]Trucks TL6910 9-21-15'!$U$12</definedName>
    <definedName name="TRUCKTL6920NOX824">'[1]Trucks TL6910 8-24-15'!$U$11</definedName>
    <definedName name="TSCSCH481114" localSheetId="45">#REF!</definedName>
    <definedName name="TSCSCH481114" localSheetId="44">#REF!</definedName>
    <definedName name="TSCSCH481114" localSheetId="40">#REF!</definedName>
    <definedName name="TSCSCH481114" localSheetId="41">#REF!</definedName>
    <definedName name="TSCSCH481114" localSheetId="43">#REF!</definedName>
    <definedName name="TSCSCH481114" localSheetId="42">#REF!</definedName>
    <definedName name="TSCSCH481114" localSheetId="28">#REF!</definedName>
    <definedName name="TSCSCH481114" localSheetId="18">#REF!</definedName>
    <definedName name="TSCSCH481114" localSheetId="20">#REF!</definedName>
    <definedName name="TSCSCH481114">#REF!</definedName>
    <definedName name="TSCSCO281114" localSheetId="45">#REF!</definedName>
    <definedName name="TSCSCO281114" localSheetId="44">#REF!</definedName>
    <definedName name="TSCSCO281114" localSheetId="40">#REF!</definedName>
    <definedName name="TSCSCO281114" localSheetId="41">#REF!</definedName>
    <definedName name="TSCSCO281114" localSheetId="43">#REF!</definedName>
    <definedName name="TSCSCO281114" localSheetId="42">#REF!</definedName>
    <definedName name="TSCSCO281114" localSheetId="28">#REF!</definedName>
    <definedName name="TSCSCO281114" localSheetId="18">#REF!</definedName>
    <definedName name="TSCSCO281114" localSheetId="20">#REF!</definedName>
    <definedName name="TSCSCO281114">#REF!</definedName>
    <definedName name="TSCSN2O81114" localSheetId="45">#REF!</definedName>
    <definedName name="TSCSN2O81114" localSheetId="44">#REF!</definedName>
    <definedName name="TSCSN2O81114" localSheetId="40">#REF!</definedName>
    <definedName name="TSCSN2O81114" localSheetId="41">#REF!</definedName>
    <definedName name="TSCSN2O81114" localSheetId="43">#REF!</definedName>
    <definedName name="TSCSN2O81114" localSheetId="42">#REF!</definedName>
    <definedName name="TSCSN2O81114" localSheetId="28">#REF!</definedName>
    <definedName name="TSCSN2O81114" localSheetId="18">#REF!</definedName>
    <definedName name="TSCSN2O81114" localSheetId="20">#REF!</definedName>
    <definedName name="TSCSN2O81114">#REF!</definedName>
    <definedName name="WKR12KVNOX316">'[1]WorkerTrips 12kV Dist 3-16-15'!$G$90</definedName>
    <definedName name="WKR12KVNOX323">'[1]WorkerTrips 12kV Dist 3-23-15'!$G$91</definedName>
    <definedName name="WKR12KVNOX330">'[1]WorkerTrips 12kV Dist 3-30-15'!$G$91</definedName>
    <definedName name="WKR12KVNOX413">'[1]WorkerTrips 12kV Dist 4-13-15'!$G$91</definedName>
    <definedName name="WKR12KVNOX420">'[1]WorkerTrips 12kV Dist 4-20-15'!$G$91</definedName>
    <definedName name="WKR12KVNOX427">'[1]WorkerTrips 12kV Dist 4-27-15'!$G$91</definedName>
    <definedName name="WKR12KVNOX46">'[1]WorkerTrips 12kV Dist 4-6-15'!$G$91</definedName>
    <definedName name="WKR12KVNOX51">'[1]WorkerTrips 12kV Dist 5-1-15'!$G$89</definedName>
    <definedName name="WKR12KVNOX515">'[1]WorkerTrips 12kV Dist 5-15-15'!$G$89</definedName>
    <definedName name="WKR12KVNOX522">'[1]WorkerTrips 12kV Dist 5-22-15'!$G$89</definedName>
    <definedName name="WKR12KVNOX58">'[1]WorkerTrips 12kV Dist 5-8-15'!$G$89</definedName>
    <definedName name="WKR12KVNOXMAY2015">'[1]WorkerTrips 12kV Dist 529-801'!$G$89</definedName>
    <definedName name="WKR69KVNOX128">'[1]WorkerTrips 69kV 12-8-14'!$G$88</definedName>
    <definedName name="WKR69KVNOX317">'[1]WorkerTrips 69kV 3-17-15'!$G$89</definedName>
    <definedName name="WKR69KVNOX324">'[1]WorkerTrips 69kV 3-24-15'!$G$89</definedName>
    <definedName name="WKR69KVNOX720">'[1]WorkerTrips 69kV 7-20-15'!$G$89</definedName>
    <definedName name="WKR69KVNOX727">'[1]WorkerTrips 69kV 7-27-15'!$G$89</definedName>
    <definedName name="WKR69KVNOX810">'[1]WorkerTrips 69kV 8-10-15'!$G$89</definedName>
    <definedName name="WKR69KVNOX817">'[1]WorkerTrips 69kV 8-17-15'!$G$91</definedName>
    <definedName name="WKR69KVNOX824">'[1]WorkerTrips 69kV 8-24-15'!$G$91</definedName>
    <definedName name="WKR69KVNOX83">'[1]WorkerTrips 69kV 8-3-15'!$G$89</definedName>
    <definedName name="WKR69KVNOX831">'[1]WorkerTrips 69kV 8-31-15'!$G$89</definedName>
    <definedName name="WKR69KVNOX928">'[1]WorkerTrips 69kV 9-28-15'!$G$89</definedName>
    <definedName name="WKR69KVNOX97">'[1]WorkerTrips 69kV 9-7-15'!$G$89</definedName>
    <definedName name="WKR69KVNOXDEC2014">'[1]WorkerTrips 69kV 1215-120'!$G$91</definedName>
    <definedName name="WKR69KVNOXJAN2015">'[1]WorkerTrips 69kV 120-317'!$G$91</definedName>
    <definedName name="WKRMIGNOX111">'[1]WorkerTrips Miguel 1-11-16'!$G$89</definedName>
    <definedName name="WKRMIGNOX118">'[1]WorkerTrips Miguel 1-18-16'!$G$89</definedName>
    <definedName name="WKRMIGNOX1228">'[1]WorkerTrips Mguel 12-28-15'!$G$89</definedName>
    <definedName name="WKRMIGNOX14">'[1]WorkerTrips Miguel 1-4-16'!$G$89</definedName>
    <definedName name="WKRMIGNOX330">'[1]WorkerTrips Miguel Sub 3-30-15'!$G$91</definedName>
    <definedName name="WKRMIGNOX413">'[1]WorkerTrips Miguel Sub 4-13-15'!$G$91</definedName>
    <definedName name="WKRMIGNOX420">'[1]WorkerTrips Miguel Sub 4-20-15'!$G$91</definedName>
    <definedName name="WKRMIGNOX427">'[1]WorkerTrips Miguel Sub 4-27-15'!$G$91</definedName>
    <definedName name="WKRMIGNOX46">'[1]WorkerTrips Miguel Sub 4-6-15'!$G$91</definedName>
    <definedName name="WKRMIGNOX511">'[1]WorkerTrips Miguel Sub 5-11-15'!$G$91</definedName>
    <definedName name="WKRMIGNOX518">'[1]WorkerTrips Miguel Sub 5-18-15'!$G$91</definedName>
    <definedName name="WKRMIGNOX525">'[1]WorkerTrips Miguel Sub 5-25-15'!$G$93</definedName>
    <definedName name="WKRMIGNOX54">'[1]WorkerTrips Miguel Sub 5-4-15'!$G$91</definedName>
    <definedName name="WKRMIGNOX61">'[1]WorkerTrips Miguel Sub 6-1-15'!$G$93</definedName>
    <definedName name="WKRMIGNOX615">'[1]WorkerTrips Miguel Sub 6-15-15'!$G$93</definedName>
    <definedName name="WKRMIGNOX623">'[1]WorkerTrips Miguel Sub 6-23-15'!$G$89</definedName>
    <definedName name="WKRMIGNOX630">'[1]WorkerTrips Miguel Sub 6-30-15'!$G$89</definedName>
    <definedName name="WKRMIGNOX68">'[1]WorkerTrips Miguel Sub 6-8-15'!$G$93</definedName>
    <definedName name="WKRMIGNOX713">'[1]WorkerTrips Miguel Sub 7-13-15'!$G$89</definedName>
    <definedName name="WKRMIGNOX720">'[1]WorkerTrips Miguel Sub 7-20-15'!$G$89</definedName>
    <definedName name="WKRMIGNOX76">'[1]WorkerTrips Miguel Sub 7-6-15'!$G$89</definedName>
    <definedName name="WKRSCSNOX1013">'[1]WorkerTrips SCS 10-13-14'!$G$92</definedName>
    <definedName name="WKRSCSNOX1020">'[1]WorkerTrips SCS 10-20-14'!$G$92</definedName>
    <definedName name="WKRSCSNOX1027">'[1]WorkerTrips SCS 10-27-14'!$G$92</definedName>
    <definedName name="WKRSCSNOX106">'[1]WorkerTrips SCS 10-6-14'!$G$92</definedName>
    <definedName name="WKRSCSNOX111">'[1]WorkerTrips SCS 1-11-16'!$G$89</definedName>
    <definedName name="WKRSCSNOX1110">'[1]WorkerTrips SCS 11-10-14'!$G$93</definedName>
    <definedName name="WKRSCSNOX1117">'[1]WorkerTrips SCS 11-17-14'!$G$93</definedName>
    <definedName name="WKRSCSNOX112">'[1]WorkerTrips SCS 1-12-15'!$G$95</definedName>
    <definedName name="WKRSCSNOX1124">'[2]2016 WorkerTrips Segment A'!$G$16</definedName>
    <definedName name="WKRSCSNOX113">'[1]WorkerTrips SCS 11-3-14'!$G$92</definedName>
    <definedName name="WKRSCSNOX118">'[1]WorkerTrips SCS 1-18-16'!$G$89</definedName>
    <definedName name="WKRSCSNOX119">'[1]WorkerTrips SCS 1-19-15'!$G$93</definedName>
    <definedName name="WKRSCSNOX121">'[1]WorkerTrips SCS 12-1-14'!$G$97</definedName>
    <definedName name="WKRSCSNOX1214">'[1]WorkerTrips SCS 12-14-15'!$G$91</definedName>
    <definedName name="WKRSCSNOX1215">'[1]WorkerTrips SCS 12-15-14'!$G$95</definedName>
    <definedName name="WKRSCSNOX1221">'[1]WorkerTrips SCS 12-21-15'!$G$89</definedName>
    <definedName name="WKRSCSNOX1222">'[1]WorkerTrips SCS 12-22-14'!$G$97</definedName>
    <definedName name="WKRSCSNOX1228">'[1]WorkerTrips SCS 12-28-15'!$G$89</definedName>
    <definedName name="WKRSCSNOX1229">'[1]WorkerTrips SCS 12-29-14'!$G$97</definedName>
    <definedName name="WKRSCSNOX126">'[1]WorkerTrips SCS 1-26-15'!$G$93</definedName>
    <definedName name="WKRSCSNOX128">'[1]WorkerTrips SCS 12-8-14'!$G$97</definedName>
    <definedName name="WKRSCSNOX14">'[1]WorkerTrips SCS 1-4-16'!$G$89</definedName>
    <definedName name="WKRSCSNOX15">'[1]WorkerTrips SCS 1-5-15'!$G$95</definedName>
    <definedName name="WKRSCSNOX216">'[1]WorkerTrips SCS 2-16-15'!$G$93</definedName>
    <definedName name="WKRSCSNOX22">'[1]WorkerTrips SCS 2-2-15'!$G$93</definedName>
    <definedName name="WKRSCSNOX223">'[1]WorkerTrips SCS 2-23-15'!$G$91</definedName>
    <definedName name="WKRSCSNOX29">'[1]WorkerTrips SCS 2-9-15'!$G$93</definedName>
    <definedName name="WKRSCSNOX316">'[1]WorkerTrips SCS 3-16-15'!$G$93</definedName>
    <definedName name="WKRSCSNOX32">'[1]WorkerTrips SCS 3-2-15'!$G$91</definedName>
    <definedName name="WKRSCSNOX323">'[1]WorkerTrips SCS 3-23-15'!$G$93</definedName>
    <definedName name="WKRSCSNOX330">'[1]WorkerTrips SCS 3-30-15'!$G$93</definedName>
    <definedName name="WKRSCSNOX39">'[1]WorkerTrips SCS 3-9-15'!$G$93</definedName>
    <definedName name="WKRSCSNOX413">'[1]WorkerTrips SCS 4-13-15'!$G$93</definedName>
    <definedName name="WKRSCSNOX420">'[1]WorkerTrips SCS 4-20-15'!$G$93</definedName>
    <definedName name="WKRSCSNOX427">'[1]WorkerTrips SCS 4-27-15'!$G$93</definedName>
    <definedName name="WKRSCSNOX46">'[1]WorkerTrips SCS 4-6-15'!$G$93</definedName>
    <definedName name="WKRSCSNOX511">'[1]WorkerTrips SCS 5-11-15'!$G$93</definedName>
    <definedName name="WKRSCSNOX518">'[1]WorkerTrips SCS 5-18-15'!$G$93</definedName>
    <definedName name="WKRSCSNOX525">'[1]WorkerTrips SCS 5-25-15'!$G$95</definedName>
    <definedName name="WKRSCSNOX54">'[1]WorkerTrips SCS 5-4-15'!$G$93</definedName>
    <definedName name="WKRSCSNOX61">'[1]WorkerTrips SCS 6-1-15'!$G$95</definedName>
    <definedName name="WKRSCSNOX615">'[1]WorkerTrips SCS 6-15-15'!$G$93</definedName>
    <definedName name="WKRSCSNOX623">'[1]WorkerTrips SCS 6-23-15'!$G$93</definedName>
    <definedName name="WKRSCSNOX630">'[1]WorkerTrips SCS 6-30-15'!$G$93</definedName>
    <definedName name="WKRSCSNOX68">'[1]WorkerTrips SCS 6-8-15'!$G$93</definedName>
    <definedName name="WKRSCSNOX713">'[1]WorkerTrips SCS 7-13-15'!$G$95</definedName>
    <definedName name="WKRSCSNOX720">'[1]WorkerTrips SCS 7-20-15'!$G$95</definedName>
    <definedName name="WKRSCSNOX727">'[1]WorkerTrips SCS 7-27-15'!$G$95</definedName>
    <definedName name="WKRSCSNOX76">'[1]WorkerTrips SCS 7-6-15'!$G$95</definedName>
    <definedName name="WKRSCSNOX810">'[1]WorkerTrips SCS 8-10-15'!$G$95</definedName>
    <definedName name="WKRSCSNOX811">'[1]WorkerTrips SCS 8-11-14'!$G$89</definedName>
    <definedName name="WKRSCSNOX817">'[1]WorkerTrips SCS 8-17-15'!$G$95</definedName>
    <definedName name="WKRSCSNOX818">'[1]WorkerTrips SCS 8-18-14'!$G$89</definedName>
    <definedName name="WKRSCSNOX825">'[1]WorkerTrips SCS 8-25-14'!$G$89</definedName>
    <definedName name="WKRSCSNOX83">'[1]WorkerTrips SCS 8-3-15'!$G$95</definedName>
    <definedName name="WKRSCSNOX91">'[1]WorkerTrips SCS 9-1-14'!$G$95</definedName>
    <definedName name="WKRSCSNOX915">'[1]WorkerTrips SCS 9-15-14'!$G$95</definedName>
    <definedName name="WKRSCSNOX922">'[1]WorkerTrips SCS 9-22-14'!$G$92</definedName>
    <definedName name="WKRSCSNOX929">'[1]WorkerTrips SCS 9-29-14'!$G$92</definedName>
    <definedName name="WKRSCSNOX98">'[1]WorkerTrips SCS 9-8-14'!$G$95</definedName>
    <definedName name="WKRSCSNOXAUG2015">'[1]WorkerTrips SCS 818-101'!$G$95</definedName>
    <definedName name="WKRSCSNOXNOV2015">'[1]WorkerTrips SCS 1110-1130'!$G$91</definedName>
    <definedName name="WKRSCSNOXOCT2015">'[1]WorkerTrips SCS 102-119'!$E$39</definedName>
    <definedName name="WKRTL6910NOX413">'[1]WorkerTrips TL6910 4-13-15'!$G$89</definedName>
    <definedName name="WKRTL6910NOX427">'[1]WorkerTrips TL6910 4-27-15'!$G$89</definedName>
    <definedName name="WKRTL6910NOX810">'[1]WorkerTrips TL6910 8-10-15'!$G$89</definedName>
    <definedName name="WKRTL6910NOX817">'[1]WorkerTrips TL6910 8-17-15'!$G$89</definedName>
    <definedName name="WKRTL6910NOX921">'[1]WorkerTrips TL6910 9-21-15'!$G$89</definedName>
    <definedName name="WKRTL6920NOX824">'[1]WorkerTrips TL6910 8-24-15'!$G$89</definedName>
  </definedNames>
  <calcPr calcId="152511"/>
</workbook>
</file>

<file path=xl/calcChain.xml><?xml version="1.0" encoding="utf-8"?>
<calcChain xmlns="http://schemas.openxmlformats.org/spreadsheetml/2006/main">
  <c r="G31" i="5" l="1"/>
  <c r="F31" i="5"/>
  <c r="D93" i="4"/>
  <c r="C93" i="4"/>
  <c r="L86" i="4"/>
  <c r="K86" i="4"/>
  <c r="C79" i="4"/>
  <c r="B79" i="4"/>
  <c r="N29" i="5"/>
  <c r="M29" i="5"/>
  <c r="L29" i="5"/>
  <c r="E29" i="5"/>
  <c r="D29" i="5"/>
  <c r="R133" i="2"/>
  <c r="O133" i="2"/>
  <c r="AA133" i="2" s="1"/>
  <c r="Q29" i="5" s="1"/>
  <c r="L133" i="2"/>
  <c r="X133" i="2" s="1"/>
  <c r="K133" i="2"/>
  <c r="W133" i="2" s="1"/>
  <c r="J133" i="2"/>
  <c r="V133" i="2" s="1"/>
  <c r="I133" i="2"/>
  <c r="U133" i="2" s="1"/>
  <c r="H133" i="2"/>
  <c r="T133" i="2" s="1"/>
  <c r="G133" i="2"/>
  <c r="S133" i="2" s="1"/>
  <c r="K29" i="5" s="1"/>
  <c r="AF24" i="2"/>
  <c r="Q133" i="2" s="1"/>
  <c r="AD24" i="2"/>
  <c r="P133" i="2" s="1"/>
  <c r="S153" i="55"/>
  <c r="R153" i="55"/>
  <c r="J153" i="55"/>
  <c r="I153" i="55"/>
  <c r="S202" i="6"/>
  <c r="R202" i="6"/>
  <c r="J202" i="6"/>
  <c r="I202" i="6"/>
  <c r="S163" i="6"/>
  <c r="R163" i="6"/>
  <c r="J163" i="6"/>
  <c r="I163" i="6"/>
  <c r="S122" i="6"/>
  <c r="R122" i="6"/>
  <c r="J122" i="6"/>
  <c r="I122" i="6"/>
  <c r="S96" i="6"/>
  <c r="R96" i="6"/>
  <c r="J96" i="6"/>
  <c r="I96" i="6"/>
  <c r="AB133" i="2" l="1"/>
  <c r="R29" i="5" s="1"/>
  <c r="I29" i="5"/>
  <c r="AC133" i="2"/>
  <c r="S29" i="5" s="1"/>
  <c r="J29" i="5"/>
  <c r="B29" i="5"/>
  <c r="H29" i="5"/>
  <c r="C29" i="5"/>
  <c r="S154" i="55"/>
  <c r="R154" i="55"/>
  <c r="Q154" i="55"/>
  <c r="N154" i="55"/>
  <c r="M154" i="55"/>
  <c r="L154" i="55"/>
  <c r="K154" i="55"/>
  <c r="J154" i="55"/>
  <c r="I154" i="55"/>
  <c r="H154" i="55"/>
  <c r="E154" i="55"/>
  <c r="D154" i="55"/>
  <c r="C154" i="55"/>
  <c r="B154" i="55"/>
  <c r="S140" i="55"/>
  <c r="R140" i="55"/>
  <c r="Q140" i="55"/>
  <c r="N140" i="55"/>
  <c r="M140" i="55"/>
  <c r="L140" i="55"/>
  <c r="K140" i="55"/>
  <c r="J140" i="55"/>
  <c r="I140" i="55"/>
  <c r="H140" i="55"/>
  <c r="E140" i="55"/>
  <c r="D140" i="55"/>
  <c r="C140" i="55"/>
  <c r="B140" i="55"/>
  <c r="S127" i="55"/>
  <c r="R127" i="55"/>
  <c r="Q127" i="55"/>
  <c r="N127" i="55"/>
  <c r="M127" i="55"/>
  <c r="L127" i="55"/>
  <c r="K127" i="55"/>
  <c r="J127" i="55"/>
  <c r="I127" i="55"/>
  <c r="H127" i="55"/>
  <c r="E127" i="55"/>
  <c r="D127" i="55"/>
  <c r="C127" i="55"/>
  <c r="B127" i="55"/>
  <c r="S108" i="55"/>
  <c r="R108" i="55"/>
  <c r="Q108" i="55"/>
  <c r="N108" i="55"/>
  <c r="M108" i="55"/>
  <c r="L108" i="55"/>
  <c r="K108" i="55"/>
  <c r="J108" i="55"/>
  <c r="I108" i="55"/>
  <c r="H108" i="55"/>
  <c r="E108" i="55"/>
  <c r="D108" i="55"/>
  <c r="C108" i="55"/>
  <c r="B108" i="55"/>
  <c r="S101" i="55"/>
  <c r="R101" i="55"/>
  <c r="Q101" i="55"/>
  <c r="N101" i="55"/>
  <c r="M101" i="55"/>
  <c r="L101" i="55"/>
  <c r="K101" i="55"/>
  <c r="J101" i="55"/>
  <c r="I101" i="55"/>
  <c r="H101" i="55"/>
  <c r="E101" i="55"/>
  <c r="D101" i="55"/>
  <c r="C101" i="55"/>
  <c r="B101" i="55"/>
  <c r="S89" i="55"/>
  <c r="R89" i="55"/>
  <c r="Q89" i="55"/>
  <c r="N89" i="55"/>
  <c r="M89" i="55"/>
  <c r="L89" i="55"/>
  <c r="K89" i="55"/>
  <c r="J89" i="55"/>
  <c r="I89" i="55"/>
  <c r="H89" i="55"/>
  <c r="E89" i="55"/>
  <c r="D89" i="55"/>
  <c r="C89" i="55"/>
  <c r="B89" i="55"/>
  <c r="A85" i="55" l="1"/>
  <c r="S66" i="55"/>
  <c r="R66" i="55"/>
  <c r="Q66" i="55"/>
  <c r="P66" i="55"/>
  <c r="O66" i="55"/>
  <c r="N66" i="55"/>
  <c r="M66" i="55"/>
  <c r="L66" i="55"/>
  <c r="K66" i="55"/>
  <c r="J66" i="55"/>
  <c r="I66" i="55"/>
  <c r="H66" i="55"/>
  <c r="G66" i="55"/>
  <c r="F66" i="55"/>
  <c r="E66" i="55"/>
  <c r="D66" i="55"/>
  <c r="C66" i="55"/>
  <c r="B66" i="55"/>
  <c r="S65" i="55"/>
  <c r="R65" i="55"/>
  <c r="Q65" i="55"/>
  <c r="P65" i="55"/>
  <c r="O65" i="55"/>
  <c r="N65" i="55"/>
  <c r="M65" i="55"/>
  <c r="L65" i="55"/>
  <c r="K65" i="55"/>
  <c r="J65" i="55"/>
  <c r="I65" i="55"/>
  <c r="H65" i="55"/>
  <c r="G65" i="55"/>
  <c r="F65" i="55"/>
  <c r="E65" i="55"/>
  <c r="D65" i="55"/>
  <c r="C65" i="55"/>
  <c r="B65" i="55"/>
  <c r="S64" i="55"/>
  <c r="R64" i="55"/>
  <c r="Q64" i="55"/>
  <c r="P64" i="55"/>
  <c r="O64" i="55"/>
  <c r="N64" i="55"/>
  <c r="M64" i="55"/>
  <c r="L64" i="55"/>
  <c r="K64" i="55"/>
  <c r="J64" i="55"/>
  <c r="I64" i="55"/>
  <c r="H64" i="55"/>
  <c r="G64" i="55"/>
  <c r="F64" i="55"/>
  <c r="E64" i="55"/>
  <c r="D64" i="55"/>
  <c r="C64" i="55"/>
  <c r="B64" i="55"/>
  <c r="S63" i="55"/>
  <c r="R63" i="55"/>
  <c r="Q63" i="55"/>
  <c r="P63" i="55"/>
  <c r="O63" i="55"/>
  <c r="N63" i="55"/>
  <c r="M63" i="55"/>
  <c r="L63" i="55"/>
  <c r="K63" i="55"/>
  <c r="J63" i="55"/>
  <c r="I63" i="55"/>
  <c r="H63" i="55"/>
  <c r="G63" i="55"/>
  <c r="F63" i="55"/>
  <c r="E63" i="55"/>
  <c r="D63" i="55"/>
  <c r="C63" i="55"/>
  <c r="B63" i="55"/>
  <c r="S59" i="55"/>
  <c r="R59" i="55"/>
  <c r="Q59" i="55"/>
  <c r="P59" i="55"/>
  <c r="O59" i="55"/>
  <c r="N59" i="55"/>
  <c r="M59" i="55"/>
  <c r="L59" i="55"/>
  <c r="K59" i="55"/>
  <c r="J59" i="55"/>
  <c r="I59" i="55"/>
  <c r="H59" i="55"/>
  <c r="G59" i="55"/>
  <c r="F59" i="55"/>
  <c r="E59" i="55"/>
  <c r="D59" i="55"/>
  <c r="C59" i="55"/>
  <c r="B59" i="55"/>
  <c r="S58" i="55"/>
  <c r="R58" i="55"/>
  <c r="Q58" i="55"/>
  <c r="P58" i="55"/>
  <c r="O58" i="55"/>
  <c r="N58" i="55"/>
  <c r="M58" i="55"/>
  <c r="L58" i="55"/>
  <c r="K58" i="55"/>
  <c r="J58" i="55"/>
  <c r="I58" i="55"/>
  <c r="H58" i="55"/>
  <c r="G58" i="55"/>
  <c r="F58" i="55"/>
  <c r="E58" i="55"/>
  <c r="D58" i="55"/>
  <c r="C58" i="55"/>
  <c r="B58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B57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B56" i="55"/>
  <c r="S52" i="55"/>
  <c r="R52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B52" i="55"/>
  <c r="S51" i="55"/>
  <c r="R51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C51" i="55"/>
  <c r="B51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B50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B49" i="55"/>
  <c r="S44" i="55"/>
  <c r="R44" i="55"/>
  <c r="Q44" i="55"/>
  <c r="N44" i="55"/>
  <c r="M44" i="55"/>
  <c r="L44" i="55"/>
  <c r="K44" i="55"/>
  <c r="J44" i="55"/>
  <c r="I44" i="55"/>
  <c r="H44" i="55"/>
  <c r="E44" i="55"/>
  <c r="D44" i="55"/>
  <c r="C44" i="55"/>
  <c r="B44" i="55"/>
  <c r="A44" i="55"/>
  <c r="A43" i="55"/>
  <c r="A42" i="55"/>
  <c r="A41" i="55"/>
  <c r="A40" i="55"/>
  <c r="S25" i="55"/>
  <c r="R25" i="55"/>
  <c r="Q25" i="55"/>
  <c r="P25" i="55"/>
  <c r="O25" i="55"/>
  <c r="N25" i="55"/>
  <c r="M25" i="55"/>
  <c r="L25" i="55"/>
  <c r="K25" i="55"/>
  <c r="J25" i="55"/>
  <c r="I25" i="55"/>
  <c r="H25" i="55"/>
  <c r="G25" i="55"/>
  <c r="F25" i="55"/>
  <c r="E25" i="55"/>
  <c r="D25" i="55"/>
  <c r="C25" i="55"/>
  <c r="B25" i="55"/>
  <c r="A25" i="55"/>
  <c r="S23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A23" i="55"/>
  <c r="P22" i="55"/>
  <c r="O22" i="55"/>
  <c r="G22" i="55"/>
  <c r="F22" i="55"/>
  <c r="A22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B21" i="55"/>
  <c r="A21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B20" i="55"/>
  <c r="A20" i="55"/>
  <c r="A19" i="55"/>
  <c r="A18" i="55"/>
  <c r="A17" i="55"/>
  <c r="S16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F16" i="55"/>
  <c r="E16" i="55"/>
  <c r="D16" i="55"/>
  <c r="C16" i="55"/>
  <c r="B16" i="55"/>
  <c r="A16" i="55"/>
  <c r="G15" i="55"/>
  <c r="F15" i="55"/>
  <c r="A15" i="55"/>
  <c r="S14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B14" i="55"/>
  <c r="A14" i="55"/>
  <c r="S13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F13" i="55"/>
  <c r="E13" i="55"/>
  <c r="D13" i="55"/>
  <c r="C13" i="55"/>
  <c r="B13" i="55"/>
  <c r="A13" i="55"/>
  <c r="A12" i="55"/>
  <c r="A11" i="55"/>
  <c r="A4" i="55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A51" i="54"/>
  <c r="A39" i="54"/>
  <c r="A27" i="54"/>
  <c r="A15" i="54"/>
  <c r="A3" i="54"/>
  <c r="A27" i="53"/>
  <c r="A15" i="53"/>
  <c r="A3" i="53"/>
  <c r="AB104" i="3"/>
  <c r="AN104" i="3" s="1"/>
  <c r="Y104" i="3"/>
  <c r="AK104" i="3" s="1"/>
  <c r="X104" i="3"/>
  <c r="AJ104" i="3" s="1"/>
  <c r="W104" i="3"/>
  <c r="AI104" i="3" s="1"/>
  <c r="V104" i="3"/>
  <c r="AH104" i="3" s="1"/>
  <c r="U104" i="3"/>
  <c r="AG104" i="3" s="1"/>
  <c r="T104" i="3"/>
  <c r="AF104" i="3" s="1"/>
  <c r="S104" i="3"/>
  <c r="AD104" i="3" s="1"/>
  <c r="AP104" i="3" s="1"/>
  <c r="R104" i="3"/>
  <c r="AC104" i="3" s="1"/>
  <c r="AO104" i="3" s="1"/>
  <c r="AE103" i="3"/>
  <c r="AB103" i="3"/>
  <c r="AN103" i="3" s="1"/>
  <c r="Y103" i="3"/>
  <c r="X103" i="3"/>
  <c r="AJ103" i="3" s="1"/>
  <c r="W103" i="3"/>
  <c r="AI103" i="3" s="1"/>
  <c r="V103" i="3"/>
  <c r="AH103" i="3" s="1"/>
  <c r="U103" i="3"/>
  <c r="T103" i="3"/>
  <c r="S103" i="3"/>
  <c r="AD103" i="3" s="1"/>
  <c r="AP103" i="3" s="1"/>
  <c r="R103" i="3"/>
  <c r="AC103" i="3" s="1"/>
  <c r="AO103" i="3" s="1"/>
  <c r="AE102" i="3"/>
  <c r="AB102" i="3"/>
  <c r="Y102" i="3"/>
  <c r="Y105" i="3" s="1"/>
  <c r="X102" i="3"/>
  <c r="X105" i="3" s="1"/>
  <c r="W102" i="3"/>
  <c r="V102" i="3"/>
  <c r="U102" i="3"/>
  <c r="T102" i="3"/>
  <c r="S102" i="3"/>
  <c r="AD102" i="3" s="1"/>
  <c r="R102" i="3"/>
  <c r="AC102" i="3" s="1"/>
  <c r="AB98" i="3"/>
  <c r="AN98" i="3" s="1"/>
  <c r="Y98" i="3"/>
  <c r="AK98" i="3" s="1"/>
  <c r="X98" i="3"/>
  <c r="AJ98" i="3" s="1"/>
  <c r="W98" i="3"/>
  <c r="AI98" i="3" s="1"/>
  <c r="V98" i="3"/>
  <c r="AH98" i="3" s="1"/>
  <c r="U98" i="3"/>
  <c r="AG98" i="3" s="1"/>
  <c r="T98" i="3"/>
  <c r="AF98" i="3" s="1"/>
  <c r="S98" i="3"/>
  <c r="AD98" i="3" s="1"/>
  <c r="AP98" i="3" s="1"/>
  <c r="R98" i="3"/>
  <c r="AC98" i="3" s="1"/>
  <c r="AO98" i="3" s="1"/>
  <c r="AE97" i="3"/>
  <c r="AB97" i="3"/>
  <c r="Y97" i="3"/>
  <c r="X97" i="3"/>
  <c r="W97" i="3"/>
  <c r="V97" i="3"/>
  <c r="U97" i="3"/>
  <c r="T97" i="3"/>
  <c r="S97" i="3"/>
  <c r="AD97" i="3" s="1"/>
  <c r="AP97" i="3" s="1"/>
  <c r="R97" i="3"/>
  <c r="AC97" i="3" s="1"/>
  <c r="AE96" i="3"/>
  <c r="AB96" i="3"/>
  <c r="Y96" i="3"/>
  <c r="X96" i="3"/>
  <c r="W96" i="3"/>
  <c r="V96" i="3"/>
  <c r="V99" i="3" s="1"/>
  <c r="U96" i="3"/>
  <c r="U99" i="3" s="1"/>
  <c r="T96" i="3"/>
  <c r="S96" i="3"/>
  <c r="AD96" i="3" s="1"/>
  <c r="R96" i="3"/>
  <c r="AC96" i="3" s="1"/>
  <c r="AB92" i="3"/>
  <c r="AN92" i="3" s="1"/>
  <c r="Y92" i="3"/>
  <c r="AK92" i="3" s="1"/>
  <c r="X92" i="3"/>
  <c r="AJ92" i="3" s="1"/>
  <c r="W92" i="3"/>
  <c r="AI92" i="3" s="1"/>
  <c r="V92" i="3"/>
  <c r="AH92" i="3" s="1"/>
  <c r="U92" i="3"/>
  <c r="AG92" i="3" s="1"/>
  <c r="T92" i="3"/>
  <c r="AF92" i="3" s="1"/>
  <c r="S92" i="3"/>
  <c r="AD92" i="3" s="1"/>
  <c r="AP92" i="3" s="1"/>
  <c r="R92" i="3"/>
  <c r="AC92" i="3" s="1"/>
  <c r="AO92" i="3" s="1"/>
  <c r="AE91" i="3"/>
  <c r="AB91" i="3"/>
  <c r="Y91" i="3"/>
  <c r="AK91" i="3" s="1"/>
  <c r="X91" i="3"/>
  <c r="AJ91" i="3" s="1"/>
  <c r="W91" i="3"/>
  <c r="AI91" i="3" s="1"/>
  <c r="V91" i="3"/>
  <c r="AH91" i="3" s="1"/>
  <c r="U91" i="3"/>
  <c r="AG91" i="3" s="1"/>
  <c r="T91" i="3"/>
  <c r="AF91" i="3" s="1"/>
  <c r="S91" i="3"/>
  <c r="AD91" i="3" s="1"/>
  <c r="AP91" i="3" s="1"/>
  <c r="R91" i="3"/>
  <c r="AC91" i="3" s="1"/>
  <c r="AO91" i="3" s="1"/>
  <c r="AE90" i="3"/>
  <c r="AB90" i="3"/>
  <c r="AN90" i="3" s="1"/>
  <c r="Y90" i="3"/>
  <c r="X90" i="3"/>
  <c r="W90" i="3"/>
  <c r="V90" i="3"/>
  <c r="U90" i="3"/>
  <c r="T90" i="3"/>
  <c r="S90" i="3"/>
  <c r="AD90" i="3" s="1"/>
  <c r="AP90" i="3" s="1"/>
  <c r="R90" i="3"/>
  <c r="AC90" i="3" s="1"/>
  <c r="AO90" i="3" s="1"/>
  <c r="AE89" i="3"/>
  <c r="AB89" i="3"/>
  <c r="Y89" i="3"/>
  <c r="AK89" i="3" s="1"/>
  <c r="X89" i="3"/>
  <c r="W89" i="3"/>
  <c r="AI89" i="3" s="1"/>
  <c r="V89" i="3"/>
  <c r="U89" i="3"/>
  <c r="AG89" i="3" s="1"/>
  <c r="T89" i="3"/>
  <c r="T93" i="3" s="1"/>
  <c r="S89" i="3"/>
  <c r="AD89" i="3" s="1"/>
  <c r="R89" i="3"/>
  <c r="AC89" i="3" s="1"/>
  <c r="V93" i="3" l="1"/>
  <c r="AF90" i="3"/>
  <c r="W99" i="3"/>
  <c r="AG97" i="3"/>
  <c r="AB105" i="3"/>
  <c r="AI93" i="3"/>
  <c r="N7" i="54" s="1"/>
  <c r="AG90" i="3"/>
  <c r="AG93" i="3" s="1"/>
  <c r="X99" i="3"/>
  <c r="AH97" i="3"/>
  <c r="AK103" i="3"/>
  <c r="AF97" i="3"/>
  <c r="X93" i="3"/>
  <c r="AH90" i="3"/>
  <c r="Y99" i="3"/>
  <c r="AI97" i="3"/>
  <c r="T105" i="3"/>
  <c r="AK93" i="3"/>
  <c r="AI90" i="3"/>
  <c r="AB99" i="3"/>
  <c r="AJ97" i="3"/>
  <c r="U105" i="3"/>
  <c r="D31" i="54" s="1"/>
  <c r="AB93" i="3"/>
  <c r="H7" i="54" s="1"/>
  <c r="AJ90" i="3"/>
  <c r="AK97" i="3"/>
  <c r="V105" i="3"/>
  <c r="B31" i="54" s="1"/>
  <c r="AF103" i="3"/>
  <c r="AK90" i="3"/>
  <c r="T99" i="3"/>
  <c r="AO97" i="3"/>
  <c r="W105" i="3"/>
  <c r="E156" i="23" s="1"/>
  <c r="AG103" i="3"/>
  <c r="C19" i="54"/>
  <c r="C87" i="23"/>
  <c r="B19" i="54"/>
  <c r="B87" i="23"/>
  <c r="H19" i="54"/>
  <c r="H87" i="23"/>
  <c r="C7" i="54"/>
  <c r="C41" i="23"/>
  <c r="B7" i="54"/>
  <c r="B41" i="23"/>
  <c r="D19" i="54"/>
  <c r="D87" i="23"/>
  <c r="E19" i="54"/>
  <c r="E87" i="23"/>
  <c r="C31" i="54"/>
  <c r="C156" i="23"/>
  <c r="H31" i="54"/>
  <c r="H156" i="23"/>
  <c r="AN91" i="3"/>
  <c r="AN97" i="3"/>
  <c r="AD93" i="3"/>
  <c r="AP89" i="3"/>
  <c r="AP93" i="3" s="1"/>
  <c r="AC99" i="3"/>
  <c r="AO96" i="3"/>
  <c r="AC105" i="3"/>
  <c r="AO102" i="3"/>
  <c r="AO105" i="3" s="1"/>
  <c r="AO89" i="3"/>
  <c r="AO93" i="3" s="1"/>
  <c r="AC93" i="3"/>
  <c r="AD99" i="3"/>
  <c r="AP96" i="3"/>
  <c r="AP99" i="3" s="1"/>
  <c r="AD105" i="3"/>
  <c r="AP102" i="3"/>
  <c r="AP105" i="3" s="1"/>
  <c r="AF89" i="3"/>
  <c r="AF93" i="3" s="1"/>
  <c r="AH89" i="3"/>
  <c r="AH93" i="3" s="1"/>
  <c r="AJ89" i="3"/>
  <c r="AN89" i="3"/>
  <c r="U93" i="3"/>
  <c r="W93" i="3"/>
  <c r="Y93" i="3"/>
  <c r="AG96" i="3"/>
  <c r="AG99" i="3" s="1"/>
  <c r="AI96" i="3"/>
  <c r="AK96" i="3"/>
  <c r="AK99" i="3" s="1"/>
  <c r="AG102" i="3"/>
  <c r="AI102" i="3"/>
  <c r="AI105" i="3" s="1"/>
  <c r="AK102" i="3"/>
  <c r="AK105" i="3" s="1"/>
  <c r="AF96" i="3"/>
  <c r="AF99" i="3" s="1"/>
  <c r="AH96" i="3"/>
  <c r="AJ96" i="3"/>
  <c r="AN96" i="3"/>
  <c r="AF102" i="3"/>
  <c r="AF105" i="3" s="1"/>
  <c r="AH102" i="3"/>
  <c r="AH105" i="3" s="1"/>
  <c r="AJ102" i="3"/>
  <c r="AJ105" i="3" s="1"/>
  <c r="AN102" i="3"/>
  <c r="AN105" i="3" s="1"/>
  <c r="M7" i="54" l="1"/>
  <c r="M41" i="23"/>
  <c r="AJ93" i="3"/>
  <c r="AN99" i="3"/>
  <c r="Q19" i="54" s="1"/>
  <c r="AI99" i="3"/>
  <c r="E31" i="54"/>
  <c r="AJ99" i="3"/>
  <c r="AO99" i="3"/>
  <c r="R19" i="54" s="1"/>
  <c r="B156" i="23"/>
  <c r="H41" i="23"/>
  <c r="D156" i="23"/>
  <c r="N41" i="23"/>
  <c r="AH99" i="3"/>
  <c r="K19" i="54" s="1"/>
  <c r="AG105" i="3"/>
  <c r="M156" i="23" s="1"/>
  <c r="K31" i="54"/>
  <c r="K156" i="23"/>
  <c r="N19" i="54"/>
  <c r="N87" i="23"/>
  <c r="D7" i="54"/>
  <c r="D41" i="23"/>
  <c r="L7" i="54"/>
  <c r="L41" i="23"/>
  <c r="J31" i="54"/>
  <c r="J156" i="23"/>
  <c r="J19" i="54"/>
  <c r="J87" i="23"/>
  <c r="R7" i="54"/>
  <c r="R41" i="23"/>
  <c r="I31" i="54"/>
  <c r="I156" i="23"/>
  <c r="I19" i="54"/>
  <c r="I87" i="23"/>
  <c r="J7" i="54"/>
  <c r="J41" i="23"/>
  <c r="Q31" i="54"/>
  <c r="Q156" i="23"/>
  <c r="L31" i="54"/>
  <c r="L156" i="23"/>
  <c r="L19" i="54"/>
  <c r="L87" i="23"/>
  <c r="N31" i="54"/>
  <c r="N156" i="23"/>
  <c r="M19" i="54"/>
  <c r="M87" i="23"/>
  <c r="E7" i="54"/>
  <c r="E41" i="23"/>
  <c r="K7" i="54"/>
  <c r="K41" i="23"/>
  <c r="S31" i="54"/>
  <c r="S156" i="23"/>
  <c r="S19" i="54"/>
  <c r="S87" i="23"/>
  <c r="I7" i="54"/>
  <c r="I41" i="23"/>
  <c r="R31" i="54"/>
  <c r="R156" i="23"/>
  <c r="R87" i="23"/>
  <c r="S7" i="54"/>
  <c r="S41" i="23"/>
  <c r="AN93" i="3"/>
  <c r="S203" i="6"/>
  <c r="R203" i="6"/>
  <c r="Q203" i="6"/>
  <c r="N203" i="6"/>
  <c r="M203" i="6"/>
  <c r="L203" i="6"/>
  <c r="K203" i="6"/>
  <c r="J203" i="6"/>
  <c r="I203" i="6"/>
  <c r="H203" i="6"/>
  <c r="E203" i="6"/>
  <c r="D203" i="6"/>
  <c r="C203" i="6"/>
  <c r="B203" i="6"/>
  <c r="S183" i="6"/>
  <c r="R183" i="6"/>
  <c r="Q183" i="6"/>
  <c r="N183" i="6"/>
  <c r="M183" i="6"/>
  <c r="L183" i="6"/>
  <c r="K183" i="6"/>
  <c r="J183" i="6"/>
  <c r="I183" i="6"/>
  <c r="H183" i="6"/>
  <c r="E183" i="6"/>
  <c r="D183" i="6"/>
  <c r="C183" i="6"/>
  <c r="B183" i="6"/>
  <c r="S164" i="6"/>
  <c r="R164" i="6"/>
  <c r="Q164" i="6"/>
  <c r="N164" i="6"/>
  <c r="M164" i="6"/>
  <c r="L164" i="6"/>
  <c r="K164" i="6"/>
  <c r="J164" i="6"/>
  <c r="I164" i="6"/>
  <c r="H164" i="6"/>
  <c r="E164" i="6"/>
  <c r="D164" i="6"/>
  <c r="C164" i="6"/>
  <c r="B164" i="6"/>
  <c r="S143" i="6"/>
  <c r="R143" i="6"/>
  <c r="Q143" i="6"/>
  <c r="N143" i="6"/>
  <c r="M143" i="6"/>
  <c r="L143" i="6"/>
  <c r="K143" i="6"/>
  <c r="J143" i="6"/>
  <c r="I143" i="6"/>
  <c r="H143" i="6"/>
  <c r="E143" i="6"/>
  <c r="D143" i="6"/>
  <c r="C143" i="6"/>
  <c r="B143" i="6"/>
  <c r="S136" i="6"/>
  <c r="R136" i="6"/>
  <c r="Q136" i="6"/>
  <c r="N136" i="6"/>
  <c r="M136" i="6"/>
  <c r="L136" i="6"/>
  <c r="K136" i="6"/>
  <c r="J136" i="6"/>
  <c r="I136" i="6"/>
  <c r="H136" i="6"/>
  <c r="E136" i="6"/>
  <c r="D136" i="6"/>
  <c r="C136" i="6"/>
  <c r="B136" i="6"/>
  <c r="S123" i="6"/>
  <c r="R123" i="6"/>
  <c r="Q123" i="6"/>
  <c r="N123" i="6"/>
  <c r="M123" i="6"/>
  <c r="L123" i="6"/>
  <c r="K123" i="6"/>
  <c r="J123" i="6"/>
  <c r="I123" i="6"/>
  <c r="H123" i="6"/>
  <c r="E123" i="6"/>
  <c r="D123" i="6"/>
  <c r="C123" i="6"/>
  <c r="B123" i="6"/>
  <c r="S115" i="6"/>
  <c r="R115" i="6"/>
  <c r="Q115" i="6"/>
  <c r="N115" i="6"/>
  <c r="M115" i="6"/>
  <c r="L115" i="6"/>
  <c r="K115" i="6"/>
  <c r="J115" i="6"/>
  <c r="I115" i="6"/>
  <c r="H115" i="6"/>
  <c r="E115" i="6"/>
  <c r="D115" i="6"/>
  <c r="C115" i="6"/>
  <c r="B115" i="6"/>
  <c r="S97" i="6"/>
  <c r="R97" i="6"/>
  <c r="Q97" i="6"/>
  <c r="N97" i="6"/>
  <c r="M97" i="6"/>
  <c r="L97" i="6"/>
  <c r="K97" i="6"/>
  <c r="J97" i="6"/>
  <c r="I97" i="6"/>
  <c r="H97" i="6"/>
  <c r="E97" i="6"/>
  <c r="D97" i="6"/>
  <c r="C97" i="6"/>
  <c r="B97" i="6"/>
  <c r="A92" i="6"/>
  <c r="S89" i="6"/>
  <c r="R89" i="6"/>
  <c r="Q89" i="6"/>
  <c r="N89" i="6"/>
  <c r="M89" i="6"/>
  <c r="L89" i="6"/>
  <c r="K89" i="6"/>
  <c r="J89" i="6"/>
  <c r="I89" i="6"/>
  <c r="H89" i="6"/>
  <c r="E89" i="6"/>
  <c r="D89" i="6"/>
  <c r="C89" i="6"/>
  <c r="B89" i="6"/>
  <c r="M31" i="54" l="1"/>
  <c r="K87" i="23"/>
  <c r="Q87" i="23"/>
  <c r="Q7" i="54"/>
  <c r="Q41" i="23"/>
  <c r="A187" i="23"/>
  <c r="A175" i="23"/>
  <c r="A163" i="23"/>
  <c r="A152" i="23"/>
  <c r="A140" i="23"/>
  <c r="A129" i="23"/>
  <c r="A118" i="23"/>
  <c r="A106" i="23"/>
  <c r="A95" i="23"/>
  <c r="A83" i="23"/>
  <c r="A71" i="23"/>
  <c r="A60" i="23"/>
  <c r="A49" i="23"/>
  <c r="I138" i="2" l="1"/>
  <c r="I137" i="2"/>
  <c r="I136" i="2"/>
  <c r="I135" i="2"/>
  <c r="I134" i="2"/>
  <c r="I132" i="2"/>
  <c r="I131" i="2"/>
  <c r="I129" i="2"/>
  <c r="B166" i="23" s="1"/>
  <c r="I128" i="2"/>
  <c r="B109" i="23" s="1"/>
  <c r="I127" i="2"/>
  <c r="I126" i="2"/>
  <c r="I125" i="2"/>
  <c r="I124" i="2"/>
  <c r="B143" i="23" s="1"/>
  <c r="I123" i="2"/>
  <c r="B74" i="23" s="1"/>
  <c r="I122" i="2"/>
  <c r="B28" i="23" s="1"/>
  <c r="I121" i="2"/>
  <c r="B132" i="23" s="1"/>
  <c r="I120" i="2"/>
  <c r="B98" i="23" s="1"/>
  <c r="I119" i="2"/>
  <c r="B121" i="23" s="1"/>
  <c r="I118" i="2"/>
  <c r="B63" i="23" s="1"/>
  <c r="I117" i="2"/>
  <c r="I116" i="2"/>
  <c r="B52" i="23" s="1"/>
  <c r="I115" i="2"/>
  <c r="I114" i="2"/>
  <c r="U114" i="2" s="1"/>
  <c r="I113" i="2"/>
  <c r="A37" i="23"/>
  <c r="A25" i="23"/>
  <c r="B17" i="23"/>
  <c r="A14" i="23"/>
  <c r="A3" i="23"/>
  <c r="B6" i="23"/>
  <c r="J141" i="5"/>
  <c r="I141" i="5"/>
  <c r="H141" i="5"/>
  <c r="J140" i="5"/>
  <c r="I140" i="5"/>
  <c r="H140" i="5"/>
  <c r="G140" i="5"/>
  <c r="F140" i="5"/>
  <c r="E140" i="5"/>
  <c r="D140" i="5"/>
  <c r="C140" i="5"/>
  <c r="B140" i="5"/>
  <c r="A141" i="5"/>
  <c r="A140" i="5"/>
  <c r="A139" i="5"/>
  <c r="S138" i="5"/>
  <c r="S156" i="6" s="1"/>
  <c r="R138" i="5"/>
  <c r="R156" i="6" s="1"/>
  <c r="Q138" i="5"/>
  <c r="Q156" i="6" s="1"/>
  <c r="N138" i="5"/>
  <c r="N156" i="6" s="1"/>
  <c r="M138" i="5"/>
  <c r="M156" i="6" s="1"/>
  <c r="L138" i="5"/>
  <c r="L156" i="6" s="1"/>
  <c r="K138" i="5"/>
  <c r="K156" i="6" s="1"/>
  <c r="J138" i="5"/>
  <c r="J156" i="6" s="1"/>
  <c r="I138" i="5"/>
  <c r="I156" i="6" s="1"/>
  <c r="H138" i="5"/>
  <c r="H156" i="6" s="1"/>
  <c r="E138" i="5"/>
  <c r="E156" i="6" s="1"/>
  <c r="D138" i="5"/>
  <c r="D156" i="6" s="1"/>
  <c r="C138" i="5"/>
  <c r="C156" i="6" s="1"/>
  <c r="B138" i="5"/>
  <c r="B156" i="6" s="1"/>
  <c r="A138" i="5"/>
  <c r="A137" i="5"/>
  <c r="A136" i="5"/>
  <c r="A135" i="5"/>
  <c r="A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J78" i="5"/>
  <c r="I78" i="5"/>
  <c r="H78" i="5"/>
  <c r="A78" i="5"/>
  <c r="J77" i="5"/>
  <c r="I77" i="5"/>
  <c r="H77" i="5"/>
  <c r="G77" i="5"/>
  <c r="F77" i="5"/>
  <c r="E77" i="5"/>
  <c r="D77" i="5"/>
  <c r="C77" i="5"/>
  <c r="B77" i="5"/>
  <c r="A77" i="5"/>
  <c r="A76" i="5"/>
  <c r="A75" i="5"/>
  <c r="A74" i="5"/>
  <c r="A73" i="5"/>
  <c r="B72" i="5"/>
  <c r="A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S94" i="49"/>
  <c r="R94" i="49"/>
  <c r="S75" i="49"/>
  <c r="R75" i="49"/>
  <c r="S57" i="49"/>
  <c r="R57" i="49"/>
  <c r="S40" i="49"/>
  <c r="R40" i="49"/>
  <c r="S30" i="49"/>
  <c r="R30" i="49"/>
  <c r="S25" i="49"/>
  <c r="R25" i="49"/>
  <c r="S20" i="49"/>
  <c r="R20" i="49"/>
  <c r="S11" i="49"/>
  <c r="R11" i="49"/>
  <c r="S79" i="49"/>
  <c r="R79" i="49"/>
  <c r="S74" i="49"/>
  <c r="R74" i="49"/>
  <c r="S73" i="49"/>
  <c r="R73" i="49"/>
  <c r="S69" i="49"/>
  <c r="R69" i="49"/>
  <c r="S65" i="49"/>
  <c r="R65" i="49"/>
  <c r="S61" i="49"/>
  <c r="R61" i="49"/>
  <c r="S56" i="49"/>
  <c r="R56" i="49"/>
  <c r="S52" i="49"/>
  <c r="R52" i="49"/>
  <c r="S48" i="49"/>
  <c r="R48" i="49"/>
  <c r="S44" i="49"/>
  <c r="R44" i="49"/>
  <c r="S39" i="49"/>
  <c r="R39" i="49"/>
  <c r="S38" i="49"/>
  <c r="R38" i="49"/>
  <c r="S34" i="49"/>
  <c r="R34" i="49"/>
  <c r="S29" i="49"/>
  <c r="R29" i="49"/>
  <c r="S24" i="49"/>
  <c r="R24" i="49"/>
  <c r="S19" i="49"/>
  <c r="R19" i="49"/>
  <c r="S15" i="49"/>
  <c r="R15" i="49"/>
  <c r="S10" i="49"/>
  <c r="R10" i="49"/>
  <c r="S9" i="49"/>
  <c r="R9" i="49"/>
  <c r="AF19" i="48"/>
  <c r="AD19" i="48"/>
  <c r="AF18" i="48"/>
  <c r="AD18" i="48"/>
  <c r="AF17" i="48"/>
  <c r="AD17" i="48"/>
  <c r="AF16" i="48"/>
  <c r="AD16" i="48"/>
  <c r="AF15" i="48"/>
  <c r="AD15" i="48"/>
  <c r="AF14" i="48"/>
  <c r="AD14" i="48"/>
  <c r="AF13" i="48"/>
  <c r="AD13" i="48"/>
  <c r="AF12" i="48"/>
  <c r="AD12" i="48"/>
  <c r="AF11" i="48"/>
  <c r="AD11" i="48"/>
  <c r="AF10" i="48"/>
  <c r="AD10" i="48"/>
  <c r="AF9" i="48"/>
  <c r="AD9" i="48"/>
  <c r="AF8" i="48"/>
  <c r="AD8" i="48"/>
  <c r="AF7" i="48"/>
  <c r="AD7" i="48"/>
  <c r="AF6" i="48"/>
  <c r="AD6" i="48"/>
  <c r="AF5" i="48"/>
  <c r="AD5" i="48"/>
  <c r="AF4" i="48"/>
  <c r="AD4" i="48"/>
  <c r="S205" i="3"/>
  <c r="R205" i="3"/>
  <c r="S190" i="3"/>
  <c r="R190" i="3"/>
  <c r="S182" i="3"/>
  <c r="R182" i="3"/>
  <c r="S186" i="3"/>
  <c r="R186" i="3"/>
  <c r="S178" i="3"/>
  <c r="R178" i="3"/>
  <c r="S130" i="3"/>
  <c r="R130" i="3"/>
  <c r="S117" i="3"/>
  <c r="R117" i="3"/>
  <c r="S116" i="3"/>
  <c r="R116" i="3"/>
  <c r="S115" i="3"/>
  <c r="R115" i="3"/>
  <c r="S66" i="3"/>
  <c r="R66" i="3"/>
  <c r="AC66" i="3" s="1"/>
  <c r="AO66" i="3" s="1"/>
  <c r="S65" i="3"/>
  <c r="R65" i="3"/>
  <c r="AC65" i="3" s="1"/>
  <c r="S64" i="3"/>
  <c r="R64" i="3"/>
  <c r="AC64" i="3" s="1"/>
  <c r="S169" i="3"/>
  <c r="R169" i="3"/>
  <c r="S164" i="3"/>
  <c r="R164" i="3"/>
  <c r="S163" i="3"/>
  <c r="R163" i="3"/>
  <c r="S165" i="3"/>
  <c r="R165" i="3"/>
  <c r="S159" i="3"/>
  <c r="R159" i="3"/>
  <c r="S155" i="3"/>
  <c r="R155" i="3"/>
  <c r="S151" i="3"/>
  <c r="R151" i="3"/>
  <c r="S111" i="3"/>
  <c r="AD111" i="3" s="1"/>
  <c r="AP111" i="3" s="1"/>
  <c r="R111" i="3"/>
  <c r="AC111" i="3" s="1"/>
  <c r="AO111" i="3" s="1"/>
  <c r="S110" i="3"/>
  <c r="AD110" i="3" s="1"/>
  <c r="AP110" i="3" s="1"/>
  <c r="R110" i="3"/>
  <c r="AC110" i="3" s="1"/>
  <c r="S109" i="3"/>
  <c r="R109" i="3"/>
  <c r="AC109" i="3" s="1"/>
  <c r="S108" i="3"/>
  <c r="R108" i="3"/>
  <c r="AC108" i="3" s="1"/>
  <c r="S147" i="3"/>
  <c r="R147" i="3"/>
  <c r="S174" i="3"/>
  <c r="R174" i="3"/>
  <c r="S173" i="3"/>
  <c r="R173" i="3"/>
  <c r="S143" i="3"/>
  <c r="R143" i="3"/>
  <c r="S126" i="3"/>
  <c r="R126" i="3"/>
  <c r="S125" i="3"/>
  <c r="R125" i="3"/>
  <c r="S85" i="3"/>
  <c r="R85" i="3"/>
  <c r="S84" i="3"/>
  <c r="R84" i="3"/>
  <c r="S83" i="3"/>
  <c r="R83" i="3"/>
  <c r="AC83" i="3" s="1"/>
  <c r="S79" i="3"/>
  <c r="AD79" i="3" s="1"/>
  <c r="AP79" i="3" s="1"/>
  <c r="R79" i="3"/>
  <c r="AC79" i="3" s="1"/>
  <c r="AO79" i="3" s="1"/>
  <c r="S78" i="3"/>
  <c r="R78" i="3"/>
  <c r="AC78" i="3" s="1"/>
  <c r="S77" i="3"/>
  <c r="AD77" i="3" s="1"/>
  <c r="R77" i="3"/>
  <c r="AC77" i="3" s="1"/>
  <c r="S47" i="3"/>
  <c r="AD47" i="3" s="1"/>
  <c r="AP47" i="3" s="1"/>
  <c r="R47" i="3"/>
  <c r="AC47" i="3" s="1"/>
  <c r="AO47" i="3" s="1"/>
  <c r="S46" i="3"/>
  <c r="AD46" i="3" s="1"/>
  <c r="AP46" i="3" s="1"/>
  <c r="R46" i="3"/>
  <c r="S45" i="3"/>
  <c r="R45" i="3"/>
  <c r="S44" i="3"/>
  <c r="R44" i="3"/>
  <c r="AC44" i="3" s="1"/>
  <c r="S139" i="3"/>
  <c r="R139" i="3"/>
  <c r="S135" i="3"/>
  <c r="R135" i="3"/>
  <c r="S134" i="3"/>
  <c r="R134" i="3"/>
  <c r="S73" i="3"/>
  <c r="R73" i="3"/>
  <c r="S72" i="3"/>
  <c r="R72" i="3"/>
  <c r="S71" i="3"/>
  <c r="R71" i="3"/>
  <c r="S70" i="3"/>
  <c r="R70" i="3"/>
  <c r="S40" i="3"/>
  <c r="R40" i="3"/>
  <c r="S39" i="3"/>
  <c r="R39" i="3"/>
  <c r="S38" i="3"/>
  <c r="R38" i="3"/>
  <c r="S37" i="3"/>
  <c r="R37" i="3"/>
  <c r="S19" i="3"/>
  <c r="R19" i="3"/>
  <c r="S18" i="3"/>
  <c r="R18" i="3"/>
  <c r="AC18" i="3" s="1"/>
  <c r="S12" i="3"/>
  <c r="R12" i="3"/>
  <c r="S11" i="3"/>
  <c r="R11" i="3"/>
  <c r="S53" i="3"/>
  <c r="AD53" i="3" s="1"/>
  <c r="AP53" i="3" s="1"/>
  <c r="R53" i="3"/>
  <c r="AC53" i="3" s="1"/>
  <c r="AO53" i="3" s="1"/>
  <c r="S60" i="3"/>
  <c r="R60" i="3"/>
  <c r="S59" i="3"/>
  <c r="R59" i="3"/>
  <c r="S33" i="3"/>
  <c r="R33" i="3"/>
  <c r="S32" i="3"/>
  <c r="R32" i="3"/>
  <c r="S24" i="3"/>
  <c r="AD24" i="3" s="1"/>
  <c r="AP24" i="3" s="1"/>
  <c r="R24" i="3"/>
  <c r="AC24" i="3" s="1"/>
  <c r="S25" i="3"/>
  <c r="AD25" i="3" s="1"/>
  <c r="AP25" i="3" s="1"/>
  <c r="R25" i="3"/>
  <c r="AC25" i="3" s="1"/>
  <c r="AB111" i="3"/>
  <c r="AN111" i="3" s="1"/>
  <c r="Y111" i="3"/>
  <c r="AK111" i="3" s="1"/>
  <c r="X111" i="3"/>
  <c r="AJ111" i="3" s="1"/>
  <c r="W111" i="3"/>
  <c r="AI111" i="3" s="1"/>
  <c r="V111" i="3"/>
  <c r="AH111" i="3" s="1"/>
  <c r="U111" i="3"/>
  <c r="AG111" i="3" s="1"/>
  <c r="T111" i="3"/>
  <c r="AF111" i="3" s="1"/>
  <c r="AE110" i="3"/>
  <c r="AB110" i="3"/>
  <c r="Y110" i="3"/>
  <c r="AK110" i="3" s="1"/>
  <c r="X110" i="3"/>
  <c r="W110" i="3"/>
  <c r="AI110" i="3" s="1"/>
  <c r="V110" i="3"/>
  <c r="U110" i="3"/>
  <c r="AG110" i="3" s="1"/>
  <c r="T110" i="3"/>
  <c r="AE109" i="3"/>
  <c r="AB109" i="3"/>
  <c r="Y109" i="3"/>
  <c r="AK109" i="3" s="1"/>
  <c r="X109" i="3"/>
  <c r="W109" i="3"/>
  <c r="AI109" i="3" s="1"/>
  <c r="V109" i="3"/>
  <c r="U109" i="3"/>
  <c r="AG109" i="3" s="1"/>
  <c r="T109" i="3"/>
  <c r="AD109" i="3"/>
  <c r="AP109" i="3" s="1"/>
  <c r="AE108" i="3"/>
  <c r="AB108" i="3"/>
  <c r="AB112" i="3" s="1"/>
  <c r="Y108" i="3"/>
  <c r="AK108" i="3" s="1"/>
  <c r="AK112" i="3" s="1"/>
  <c r="X108" i="3"/>
  <c r="X112" i="3" s="1"/>
  <c r="W108" i="3"/>
  <c r="AI108" i="3" s="1"/>
  <c r="AI112" i="3" s="1"/>
  <c r="V108" i="3"/>
  <c r="U108" i="3"/>
  <c r="T108" i="3"/>
  <c r="AD108" i="3"/>
  <c r="AB85" i="3"/>
  <c r="AN85" i="3" s="1"/>
  <c r="Y85" i="3"/>
  <c r="AK85" i="3" s="1"/>
  <c r="X85" i="3"/>
  <c r="AJ85" i="3" s="1"/>
  <c r="W85" i="3"/>
  <c r="AI85" i="3" s="1"/>
  <c r="V85" i="3"/>
  <c r="AH85" i="3" s="1"/>
  <c r="U85" i="3"/>
  <c r="AG85" i="3" s="1"/>
  <c r="T85" i="3"/>
  <c r="AF85" i="3" s="1"/>
  <c r="AD85" i="3"/>
  <c r="AP85" i="3" s="1"/>
  <c r="AC85" i="3"/>
  <c r="AO85" i="3" s="1"/>
  <c r="AE84" i="3"/>
  <c r="AB84" i="3"/>
  <c r="Y84" i="3"/>
  <c r="AK84" i="3" s="1"/>
  <c r="X84" i="3"/>
  <c r="W84" i="3"/>
  <c r="V84" i="3"/>
  <c r="U84" i="3"/>
  <c r="T84" i="3"/>
  <c r="AD84" i="3"/>
  <c r="AP84" i="3" s="1"/>
  <c r="AC84" i="3"/>
  <c r="AE83" i="3"/>
  <c r="AB83" i="3"/>
  <c r="Y83" i="3"/>
  <c r="X83" i="3"/>
  <c r="W83" i="3"/>
  <c r="V83" i="3"/>
  <c r="V86" i="3" s="1"/>
  <c r="B144" i="23" s="1"/>
  <c r="U83" i="3"/>
  <c r="T83" i="3"/>
  <c r="T86" i="3" s="1"/>
  <c r="C144" i="23" s="1"/>
  <c r="AD83" i="3"/>
  <c r="AB79" i="3"/>
  <c r="AN79" i="3" s="1"/>
  <c r="Y79" i="3"/>
  <c r="AK79" i="3" s="1"/>
  <c r="X79" i="3"/>
  <c r="AJ79" i="3" s="1"/>
  <c r="W79" i="3"/>
  <c r="AI79" i="3" s="1"/>
  <c r="V79" i="3"/>
  <c r="AH79" i="3" s="1"/>
  <c r="U79" i="3"/>
  <c r="AG79" i="3" s="1"/>
  <c r="T79" i="3"/>
  <c r="AF79" i="3" s="1"/>
  <c r="AE78" i="3"/>
  <c r="AB78" i="3"/>
  <c r="Y78" i="3"/>
  <c r="AK78" i="3" s="1"/>
  <c r="X78" i="3"/>
  <c r="W78" i="3"/>
  <c r="AI78" i="3" s="1"/>
  <c r="V78" i="3"/>
  <c r="U78" i="3"/>
  <c r="AG78" i="3" s="1"/>
  <c r="T78" i="3"/>
  <c r="AD78" i="3"/>
  <c r="AP78" i="3" s="1"/>
  <c r="AE77" i="3"/>
  <c r="AB77" i="3"/>
  <c r="AB80" i="3" s="1"/>
  <c r="H75" i="23" s="1"/>
  <c r="Y77" i="3"/>
  <c r="AK77" i="3" s="1"/>
  <c r="AK80" i="3" s="1"/>
  <c r="X77" i="3"/>
  <c r="X80" i="3" s="1"/>
  <c r="W77" i="3"/>
  <c r="AI77" i="3" s="1"/>
  <c r="AI80" i="3" s="1"/>
  <c r="N75" i="23" s="1"/>
  <c r="V77" i="3"/>
  <c r="V80" i="3" s="1"/>
  <c r="B75" i="23" s="1"/>
  <c r="U77" i="3"/>
  <c r="AG77" i="3" s="1"/>
  <c r="T77" i="3"/>
  <c r="AB53" i="3"/>
  <c r="AN53" i="3" s="1"/>
  <c r="Y53" i="3"/>
  <c r="AK53" i="3" s="1"/>
  <c r="X53" i="3"/>
  <c r="AJ53" i="3" s="1"/>
  <c r="W53" i="3"/>
  <c r="AI53" i="3" s="1"/>
  <c r="V53" i="3"/>
  <c r="AH53" i="3" s="1"/>
  <c r="U53" i="3"/>
  <c r="AG53" i="3" s="1"/>
  <c r="T53" i="3"/>
  <c r="AF53" i="3" s="1"/>
  <c r="AB66" i="3"/>
  <c r="AN66" i="3" s="1"/>
  <c r="Y66" i="3"/>
  <c r="AK66" i="3" s="1"/>
  <c r="X66" i="3"/>
  <c r="AJ66" i="3" s="1"/>
  <c r="W66" i="3"/>
  <c r="AI66" i="3" s="1"/>
  <c r="V66" i="3"/>
  <c r="AH66" i="3" s="1"/>
  <c r="U66" i="3"/>
  <c r="AG66" i="3" s="1"/>
  <c r="T66" i="3"/>
  <c r="AF66" i="3" s="1"/>
  <c r="AD66" i="3"/>
  <c r="AP66" i="3" s="1"/>
  <c r="AE65" i="3"/>
  <c r="AB65" i="3"/>
  <c r="Y65" i="3"/>
  <c r="AK65" i="3" s="1"/>
  <c r="X65" i="3"/>
  <c r="W65" i="3"/>
  <c r="V65" i="3"/>
  <c r="U65" i="3"/>
  <c r="T65" i="3"/>
  <c r="AD65" i="3"/>
  <c r="AP65" i="3" s="1"/>
  <c r="AE64" i="3"/>
  <c r="AB64" i="3"/>
  <c r="AB67" i="3" s="1"/>
  <c r="H133" i="23" s="1"/>
  <c r="Y64" i="3"/>
  <c r="AK64" i="3" s="1"/>
  <c r="AK67" i="3" s="1"/>
  <c r="X64" i="3"/>
  <c r="W64" i="3"/>
  <c r="V64" i="3"/>
  <c r="V67" i="3" s="1"/>
  <c r="B133" i="23" s="1"/>
  <c r="U64" i="3"/>
  <c r="T64" i="3"/>
  <c r="T67" i="3" s="1"/>
  <c r="C133" i="23" s="1"/>
  <c r="AD64" i="3"/>
  <c r="AE52" i="3"/>
  <c r="AB52" i="3"/>
  <c r="Y52" i="3"/>
  <c r="X52" i="3"/>
  <c r="W52" i="3"/>
  <c r="V52" i="3"/>
  <c r="U52" i="3"/>
  <c r="T52" i="3"/>
  <c r="S52" i="3"/>
  <c r="AD52" i="3" s="1"/>
  <c r="AP52" i="3" s="1"/>
  <c r="R52" i="3"/>
  <c r="AC52" i="3" s="1"/>
  <c r="AE51" i="3"/>
  <c r="AB51" i="3"/>
  <c r="Y51" i="3"/>
  <c r="AK51" i="3" s="1"/>
  <c r="X51" i="3"/>
  <c r="W51" i="3"/>
  <c r="AI51" i="3" s="1"/>
  <c r="V51" i="3"/>
  <c r="U51" i="3"/>
  <c r="AG51" i="3" s="1"/>
  <c r="T51" i="3"/>
  <c r="S51" i="3"/>
  <c r="AD51" i="3" s="1"/>
  <c r="AP51" i="3" s="1"/>
  <c r="R51" i="3"/>
  <c r="AC51" i="3" s="1"/>
  <c r="AB47" i="3"/>
  <c r="AN47" i="3" s="1"/>
  <c r="Y47" i="3"/>
  <c r="AK47" i="3" s="1"/>
  <c r="X47" i="3"/>
  <c r="AJ47" i="3" s="1"/>
  <c r="W47" i="3"/>
  <c r="AI47" i="3" s="1"/>
  <c r="V47" i="3"/>
  <c r="AH47" i="3" s="1"/>
  <c r="U47" i="3"/>
  <c r="AG47" i="3" s="1"/>
  <c r="T47" i="3"/>
  <c r="AF47" i="3" s="1"/>
  <c r="AE46" i="3"/>
  <c r="AB46" i="3"/>
  <c r="Y46" i="3"/>
  <c r="AK46" i="3" s="1"/>
  <c r="X46" i="3"/>
  <c r="W46" i="3"/>
  <c r="AI46" i="3" s="1"/>
  <c r="V46" i="3"/>
  <c r="U46" i="3"/>
  <c r="T46" i="3"/>
  <c r="AC46" i="3"/>
  <c r="AE45" i="3"/>
  <c r="AB45" i="3"/>
  <c r="Y45" i="3"/>
  <c r="AK45" i="3" s="1"/>
  <c r="X45" i="3"/>
  <c r="W45" i="3"/>
  <c r="V45" i="3"/>
  <c r="U45" i="3"/>
  <c r="T45" i="3"/>
  <c r="AD45" i="3"/>
  <c r="AP45" i="3" s="1"/>
  <c r="AC45" i="3"/>
  <c r="AE44" i="3"/>
  <c r="AB44" i="3"/>
  <c r="Y44" i="3"/>
  <c r="X44" i="3"/>
  <c r="W44" i="3"/>
  <c r="V44" i="3"/>
  <c r="U44" i="3"/>
  <c r="T44" i="3"/>
  <c r="T48" i="3" s="1"/>
  <c r="C64" i="23" s="1"/>
  <c r="AD44" i="3"/>
  <c r="AB26" i="3"/>
  <c r="AN26" i="3" s="1"/>
  <c r="Y26" i="3"/>
  <c r="AK26" i="3" s="1"/>
  <c r="X26" i="3"/>
  <c r="AJ26" i="3" s="1"/>
  <c r="W26" i="3"/>
  <c r="AI26" i="3" s="1"/>
  <c r="V26" i="3"/>
  <c r="AH26" i="3" s="1"/>
  <c r="U26" i="3"/>
  <c r="AG26" i="3" s="1"/>
  <c r="T26" i="3"/>
  <c r="AF26" i="3" s="1"/>
  <c r="S26" i="3"/>
  <c r="AD26" i="3" s="1"/>
  <c r="AP26" i="3" s="1"/>
  <c r="R26" i="3"/>
  <c r="AC26" i="3" s="1"/>
  <c r="AO26" i="3" s="1"/>
  <c r="AE25" i="3"/>
  <c r="AB25" i="3"/>
  <c r="Y25" i="3"/>
  <c r="AK25" i="3" s="1"/>
  <c r="X25" i="3"/>
  <c r="W25" i="3"/>
  <c r="AI25" i="3" s="1"/>
  <c r="V25" i="3"/>
  <c r="U25" i="3"/>
  <c r="AG25" i="3" s="1"/>
  <c r="T25" i="3"/>
  <c r="AE24" i="3"/>
  <c r="AB24" i="3"/>
  <c r="Y24" i="3"/>
  <c r="AK24" i="3" s="1"/>
  <c r="X24" i="3"/>
  <c r="W24" i="3"/>
  <c r="AI24" i="3" s="1"/>
  <c r="V24" i="3"/>
  <c r="U24" i="3"/>
  <c r="T24" i="3"/>
  <c r="AE23" i="3"/>
  <c r="AB23" i="3"/>
  <c r="AB27" i="3" s="1"/>
  <c r="H7" i="23" s="1"/>
  <c r="Y23" i="3"/>
  <c r="AK23" i="3" s="1"/>
  <c r="AK27" i="3" s="1"/>
  <c r="X23" i="3"/>
  <c r="X27" i="3" s="1"/>
  <c r="W23" i="3"/>
  <c r="V23" i="3"/>
  <c r="U23" i="3"/>
  <c r="T23" i="3"/>
  <c r="S23" i="3"/>
  <c r="AD23" i="3" s="1"/>
  <c r="R23" i="3"/>
  <c r="AC23" i="3" s="1"/>
  <c r="AB19" i="3"/>
  <c r="AN19" i="3" s="1"/>
  <c r="Y19" i="3"/>
  <c r="AK19" i="3" s="1"/>
  <c r="X19" i="3"/>
  <c r="AJ19" i="3" s="1"/>
  <c r="W19" i="3"/>
  <c r="AI19" i="3" s="1"/>
  <c r="V19" i="3"/>
  <c r="AH19" i="3" s="1"/>
  <c r="U19" i="3"/>
  <c r="AG19" i="3" s="1"/>
  <c r="T19" i="3"/>
  <c r="AF19" i="3" s="1"/>
  <c r="AD19" i="3"/>
  <c r="AP19" i="3" s="1"/>
  <c r="AC19" i="3"/>
  <c r="AO19" i="3" s="1"/>
  <c r="AE18" i="3"/>
  <c r="AB18" i="3"/>
  <c r="Y18" i="3"/>
  <c r="X18" i="3"/>
  <c r="W18" i="3"/>
  <c r="V18" i="3"/>
  <c r="U18" i="3"/>
  <c r="T18" i="3"/>
  <c r="AD18" i="3"/>
  <c r="AP18" i="3" s="1"/>
  <c r="AE17" i="3"/>
  <c r="AB17" i="3"/>
  <c r="Y17" i="3"/>
  <c r="AK17" i="3" s="1"/>
  <c r="X17" i="3"/>
  <c r="W17" i="3"/>
  <c r="AI17" i="3" s="1"/>
  <c r="V17" i="3"/>
  <c r="U17" i="3"/>
  <c r="AG17" i="3" s="1"/>
  <c r="T17" i="3"/>
  <c r="S17" i="3"/>
  <c r="AD17" i="3" s="1"/>
  <c r="AP17" i="3" s="1"/>
  <c r="R17" i="3"/>
  <c r="AC17" i="3" s="1"/>
  <c r="AE16" i="3"/>
  <c r="AB16" i="3"/>
  <c r="Y16" i="3"/>
  <c r="AK16" i="3" s="1"/>
  <c r="X16" i="3"/>
  <c r="X20" i="3" s="1"/>
  <c r="W16" i="3"/>
  <c r="AI16" i="3" s="1"/>
  <c r="V16" i="3"/>
  <c r="U16" i="3"/>
  <c r="T16" i="3"/>
  <c r="S16" i="3"/>
  <c r="AD16" i="3" s="1"/>
  <c r="R16" i="3"/>
  <c r="AC16" i="3" s="1"/>
  <c r="O145" i="2"/>
  <c r="L145" i="2"/>
  <c r="K145" i="2"/>
  <c r="I145" i="2"/>
  <c r="H145" i="2"/>
  <c r="G145" i="2"/>
  <c r="J145" i="2" s="1"/>
  <c r="AF29" i="2"/>
  <c r="AD29" i="2"/>
  <c r="AF28" i="2"/>
  <c r="AD28" i="2"/>
  <c r="AF20" i="2"/>
  <c r="Q129" i="2" s="1"/>
  <c r="AD20" i="2"/>
  <c r="AF18" i="2"/>
  <c r="AD18" i="2"/>
  <c r="AF15" i="2"/>
  <c r="AD15" i="2"/>
  <c r="AF12" i="2"/>
  <c r="Q121" i="2" s="1"/>
  <c r="AD12" i="2"/>
  <c r="P121" i="2" s="1"/>
  <c r="AF27" i="2"/>
  <c r="AD27" i="2"/>
  <c r="AF19" i="2"/>
  <c r="AD19" i="2"/>
  <c r="AF26" i="2"/>
  <c r="AD26" i="2"/>
  <c r="AF22" i="2"/>
  <c r="AD22" i="2"/>
  <c r="AF17" i="2"/>
  <c r="Q126" i="2" s="1"/>
  <c r="AD17" i="2"/>
  <c r="AF14" i="2"/>
  <c r="AD14" i="2"/>
  <c r="AF7" i="2"/>
  <c r="Q116" i="2" s="1"/>
  <c r="AD7" i="2"/>
  <c r="P116" i="2" s="1"/>
  <c r="AF25" i="2"/>
  <c r="AD25" i="2"/>
  <c r="AF16" i="2"/>
  <c r="AD16" i="2"/>
  <c r="AF13" i="2"/>
  <c r="AD13" i="2"/>
  <c r="AF6" i="2"/>
  <c r="AD6" i="2"/>
  <c r="R129" i="2"/>
  <c r="P129" i="2"/>
  <c r="O129" i="2"/>
  <c r="L129" i="2"/>
  <c r="K129" i="2"/>
  <c r="J129" i="2"/>
  <c r="H129" i="2"/>
  <c r="G129" i="2"/>
  <c r="R127" i="2"/>
  <c r="U127" i="2" s="1"/>
  <c r="Q127" i="2"/>
  <c r="P127" i="2"/>
  <c r="O127" i="2"/>
  <c r="L127" i="2"/>
  <c r="K127" i="2"/>
  <c r="J127" i="2"/>
  <c r="H127" i="2"/>
  <c r="G127" i="2"/>
  <c r="R126" i="2"/>
  <c r="U126" i="2" s="1"/>
  <c r="P126" i="2"/>
  <c r="O126" i="2"/>
  <c r="L126" i="2"/>
  <c r="K126" i="2"/>
  <c r="J126" i="2"/>
  <c r="H126" i="2"/>
  <c r="G126" i="2"/>
  <c r="R124" i="2"/>
  <c r="Q124" i="2"/>
  <c r="P124" i="2"/>
  <c r="O124" i="2"/>
  <c r="L124" i="2"/>
  <c r="K124" i="2"/>
  <c r="J124" i="2"/>
  <c r="H124" i="2"/>
  <c r="G124" i="2"/>
  <c r="R123" i="2"/>
  <c r="Q123" i="2"/>
  <c r="P123" i="2"/>
  <c r="O123" i="2"/>
  <c r="L123" i="2"/>
  <c r="K123" i="2"/>
  <c r="J123" i="2"/>
  <c r="H123" i="2"/>
  <c r="G123" i="2"/>
  <c r="R121" i="2"/>
  <c r="O121" i="2"/>
  <c r="L121" i="2"/>
  <c r="K121" i="2"/>
  <c r="J121" i="2"/>
  <c r="H121" i="2"/>
  <c r="G121" i="2"/>
  <c r="R119" i="2"/>
  <c r="O119" i="2"/>
  <c r="L119" i="2"/>
  <c r="K119" i="2"/>
  <c r="J119" i="2"/>
  <c r="U119" i="2"/>
  <c r="K121" i="23" s="1"/>
  <c r="H119" i="2"/>
  <c r="G119" i="2"/>
  <c r="R118" i="2"/>
  <c r="O118" i="2"/>
  <c r="L118" i="2"/>
  <c r="K118" i="2"/>
  <c r="J118" i="2"/>
  <c r="U118" i="2"/>
  <c r="K63" i="23" s="1"/>
  <c r="H118" i="2"/>
  <c r="G118" i="2"/>
  <c r="R116" i="2"/>
  <c r="O116" i="2"/>
  <c r="L116" i="2"/>
  <c r="K116" i="2"/>
  <c r="J116" i="2"/>
  <c r="H116" i="2"/>
  <c r="G116" i="2"/>
  <c r="R114" i="2"/>
  <c r="O114" i="2"/>
  <c r="L114" i="2"/>
  <c r="K114" i="2"/>
  <c r="J114" i="2"/>
  <c r="H114" i="2"/>
  <c r="G114" i="2"/>
  <c r="R138" i="2"/>
  <c r="U138" i="2" s="1"/>
  <c r="Q138" i="2"/>
  <c r="P138" i="2"/>
  <c r="AB138" i="2" s="1"/>
  <c r="O138" i="2"/>
  <c r="L138" i="2"/>
  <c r="X138" i="2" s="1"/>
  <c r="K138" i="2"/>
  <c r="J138" i="2"/>
  <c r="H138" i="2"/>
  <c r="T138" i="2" s="1"/>
  <c r="G138" i="2"/>
  <c r="S138" i="2" s="1"/>
  <c r="AF10" i="2"/>
  <c r="Q119" i="2" s="1"/>
  <c r="AD10" i="2"/>
  <c r="P119" i="2" s="1"/>
  <c r="AF9" i="2"/>
  <c r="Q118" i="2" s="1"/>
  <c r="AD9" i="2"/>
  <c r="P118" i="2" s="1"/>
  <c r="AF5" i="2"/>
  <c r="AD5" i="2"/>
  <c r="P145" i="2" s="1"/>
  <c r="AG18" i="3" l="1"/>
  <c r="AG83" i="3"/>
  <c r="AG45" i="3"/>
  <c r="AG64" i="3"/>
  <c r="AG67" i="3" s="1"/>
  <c r="M133" i="23" s="1"/>
  <c r="U124" i="2"/>
  <c r="K143" i="23" s="1"/>
  <c r="K161" i="6" s="1"/>
  <c r="W129" i="2"/>
  <c r="T20" i="3"/>
  <c r="C55" i="54" s="1"/>
  <c r="C152" i="55" s="1"/>
  <c r="AG23" i="3"/>
  <c r="X48" i="3"/>
  <c r="AI52" i="3"/>
  <c r="AI54" i="3" s="1"/>
  <c r="N122" i="23" s="1"/>
  <c r="AG65" i="3"/>
  <c r="X86" i="3"/>
  <c r="T112" i="3"/>
  <c r="C99" i="23" s="1"/>
  <c r="AO109" i="3"/>
  <c r="U121" i="2"/>
  <c r="K132" i="23" s="1"/>
  <c r="U123" i="2"/>
  <c r="K74" i="23" s="1"/>
  <c r="AB20" i="3"/>
  <c r="V48" i="3"/>
  <c r="B64" i="23" s="1"/>
  <c r="AI18" i="3"/>
  <c r="AI20" i="3" s="1"/>
  <c r="AI44" i="3"/>
  <c r="AG84" i="3"/>
  <c r="V138" i="2"/>
  <c r="X129" i="2"/>
  <c r="AG16" i="3"/>
  <c r="AK18" i="3"/>
  <c r="V27" i="3"/>
  <c r="B7" i="23" s="1"/>
  <c r="AG24" i="3"/>
  <c r="AK44" i="3"/>
  <c r="AK48" i="3" s="1"/>
  <c r="AI45" i="3"/>
  <c r="AG46" i="3"/>
  <c r="AI64" i="3"/>
  <c r="T80" i="3"/>
  <c r="C75" i="23" s="1"/>
  <c r="AK83" i="3"/>
  <c r="AK86" i="3" s="1"/>
  <c r="AI84" i="3"/>
  <c r="AG108" i="3"/>
  <c r="AG112" i="3" s="1"/>
  <c r="M99" i="23" s="1"/>
  <c r="AG54" i="3"/>
  <c r="M122" i="23" s="1"/>
  <c r="AK20" i="3"/>
  <c r="AG44" i="3"/>
  <c r="U129" i="2"/>
  <c r="K166" i="23" s="1"/>
  <c r="AG52" i="3"/>
  <c r="T27" i="3"/>
  <c r="C7" i="23" s="1"/>
  <c r="AI83" i="3"/>
  <c r="AI86" i="3" s="1"/>
  <c r="N144" i="23" s="1"/>
  <c r="W138" i="2"/>
  <c r="U116" i="2"/>
  <c r="K52" i="23" s="1"/>
  <c r="K120" i="6" s="1"/>
  <c r="V20" i="3"/>
  <c r="B55" i="54" s="1"/>
  <c r="B152" i="55" s="1"/>
  <c r="AI23" i="3"/>
  <c r="AI27" i="3" s="1"/>
  <c r="N7" i="23" s="1"/>
  <c r="AB48" i="3"/>
  <c r="H64" i="23" s="1"/>
  <c r="AP54" i="3"/>
  <c r="S122" i="23" s="1"/>
  <c r="AK52" i="3"/>
  <c r="AK54" i="3" s="1"/>
  <c r="X67" i="3"/>
  <c r="AI65" i="3"/>
  <c r="AG80" i="3"/>
  <c r="M75" i="23" s="1"/>
  <c r="AB86" i="3"/>
  <c r="H144" i="23" s="1"/>
  <c r="V112" i="3"/>
  <c r="AO110" i="3"/>
  <c r="Q114" i="2"/>
  <c r="C54" i="54"/>
  <c r="C151" i="55" s="1"/>
  <c r="C42" i="54"/>
  <c r="C138" i="55" s="1"/>
  <c r="C190" i="23"/>
  <c r="C178" i="23"/>
  <c r="K54" i="54"/>
  <c r="K151" i="55" s="1"/>
  <c r="K42" i="54"/>
  <c r="K138" i="55" s="1"/>
  <c r="K190" i="23"/>
  <c r="K178" i="23"/>
  <c r="C18" i="54"/>
  <c r="C106" i="55" s="1"/>
  <c r="C86" i="23"/>
  <c r="K18" i="54"/>
  <c r="K106" i="55" s="1"/>
  <c r="K86" i="23"/>
  <c r="I18" i="54"/>
  <c r="I106" i="55" s="1"/>
  <c r="I86" i="23"/>
  <c r="D30" i="54"/>
  <c r="D125" i="55" s="1"/>
  <c r="D155" i="23"/>
  <c r="E30" i="54"/>
  <c r="E125" i="55" s="1"/>
  <c r="E155" i="23"/>
  <c r="H30" i="54"/>
  <c r="H125" i="55" s="1"/>
  <c r="H155" i="23"/>
  <c r="J30" i="54"/>
  <c r="J125" i="55" s="1"/>
  <c r="J155" i="23"/>
  <c r="S129" i="2"/>
  <c r="L166" i="23" s="1"/>
  <c r="C166" i="23"/>
  <c r="AB129" i="2"/>
  <c r="R166" i="23" s="1"/>
  <c r="I166" i="23"/>
  <c r="B54" i="54"/>
  <c r="B151" i="55" s="1"/>
  <c r="B42" i="54"/>
  <c r="B138" i="55" s="1"/>
  <c r="B190" i="23"/>
  <c r="B178" i="23"/>
  <c r="B18" i="54"/>
  <c r="B106" i="55" s="1"/>
  <c r="B86" i="23"/>
  <c r="B6" i="53"/>
  <c r="B18" i="53"/>
  <c r="B99" i="55" s="1"/>
  <c r="B41" i="5"/>
  <c r="AA138" i="2"/>
  <c r="AC138" i="2"/>
  <c r="P114" i="2"/>
  <c r="AB114" i="2" s="1"/>
  <c r="D54" i="54"/>
  <c r="D151" i="55" s="1"/>
  <c r="D42" i="54"/>
  <c r="D138" i="55" s="1"/>
  <c r="D190" i="23"/>
  <c r="D178" i="23"/>
  <c r="E54" i="54"/>
  <c r="E151" i="55" s="1"/>
  <c r="E42" i="54"/>
  <c r="E138" i="55" s="1"/>
  <c r="E190" i="23"/>
  <c r="E178" i="23"/>
  <c r="H54" i="54"/>
  <c r="H151" i="55" s="1"/>
  <c r="H42" i="54"/>
  <c r="H138" i="55" s="1"/>
  <c r="H190" i="23"/>
  <c r="H178" i="23"/>
  <c r="D18" i="54"/>
  <c r="D106" i="55" s="1"/>
  <c r="D86" i="23"/>
  <c r="E18" i="54"/>
  <c r="E106" i="55" s="1"/>
  <c r="E86" i="23"/>
  <c r="H18" i="54"/>
  <c r="H106" i="55" s="1"/>
  <c r="H86" i="23"/>
  <c r="J18" i="54"/>
  <c r="J106" i="55" s="1"/>
  <c r="J86" i="23"/>
  <c r="C30" i="54"/>
  <c r="C125" i="55" s="1"/>
  <c r="C155" i="23"/>
  <c r="K30" i="54"/>
  <c r="K125" i="55" s="1"/>
  <c r="K155" i="23"/>
  <c r="I30" i="54"/>
  <c r="I125" i="55" s="1"/>
  <c r="I155" i="23"/>
  <c r="T129" i="2"/>
  <c r="M166" i="23" s="1"/>
  <c r="D166" i="23"/>
  <c r="V129" i="2"/>
  <c r="N166" i="23" s="1"/>
  <c r="E166" i="23"/>
  <c r="AA129" i="2"/>
  <c r="Q166" i="23" s="1"/>
  <c r="H166" i="23"/>
  <c r="AC129" i="2"/>
  <c r="S166" i="23" s="1"/>
  <c r="J166" i="23"/>
  <c r="B6" i="54"/>
  <c r="B87" i="55" s="1"/>
  <c r="B40" i="23"/>
  <c r="B94" i="6" s="1"/>
  <c r="B30" i="54"/>
  <c r="B125" i="55" s="1"/>
  <c r="B155" i="23"/>
  <c r="B161" i="6" s="1"/>
  <c r="B7" i="55"/>
  <c r="B30" i="53"/>
  <c r="B119" i="55" s="1"/>
  <c r="B168" i="5"/>
  <c r="B36" i="55" s="1"/>
  <c r="Q145" i="2"/>
  <c r="AF109" i="3"/>
  <c r="AH109" i="3"/>
  <c r="AJ109" i="3"/>
  <c r="AN109" i="3"/>
  <c r="AF110" i="3"/>
  <c r="AH110" i="3"/>
  <c r="AJ110" i="3"/>
  <c r="AN110" i="3"/>
  <c r="J126" i="55"/>
  <c r="D126" i="55"/>
  <c r="E126" i="55"/>
  <c r="M110" i="23"/>
  <c r="N110" i="23"/>
  <c r="N99" i="23"/>
  <c r="C107" i="55"/>
  <c r="B107" i="55"/>
  <c r="H107" i="55"/>
  <c r="I126" i="55"/>
  <c r="C126" i="55"/>
  <c r="B126" i="55"/>
  <c r="H126" i="55"/>
  <c r="B110" i="23"/>
  <c r="B99" i="23"/>
  <c r="H110" i="23"/>
  <c r="H99" i="23"/>
  <c r="H55" i="54"/>
  <c r="H152" i="55" s="1"/>
  <c r="H191" i="23"/>
  <c r="H201" i="6" s="1"/>
  <c r="AB118" i="2"/>
  <c r="R63" i="23" s="1"/>
  <c r="I63" i="23"/>
  <c r="AB119" i="2"/>
  <c r="R121" i="23" s="1"/>
  <c r="I121" i="23"/>
  <c r="T114" i="2"/>
  <c r="V114" i="2"/>
  <c r="X114" i="2"/>
  <c r="AA114" i="2"/>
  <c r="S116" i="2"/>
  <c r="L52" i="23" s="1"/>
  <c r="C52" i="23"/>
  <c r="W116" i="2"/>
  <c r="AA116" i="2"/>
  <c r="Q52" i="23" s="1"/>
  <c r="H52" i="23"/>
  <c r="AC116" i="2"/>
  <c r="S52" i="23" s="1"/>
  <c r="J52" i="23"/>
  <c r="S118" i="2"/>
  <c r="L63" i="23" s="1"/>
  <c r="C63" i="23"/>
  <c r="W118" i="2"/>
  <c r="T119" i="2"/>
  <c r="M121" i="23" s="1"/>
  <c r="D121" i="23"/>
  <c r="V119" i="2"/>
  <c r="N121" i="23" s="1"/>
  <c r="E121" i="23"/>
  <c r="X119" i="2"/>
  <c r="AA119" i="2"/>
  <c r="Q121" i="23" s="1"/>
  <c r="H121" i="23"/>
  <c r="S121" i="2"/>
  <c r="L132" i="23" s="1"/>
  <c r="C132" i="23"/>
  <c r="W121" i="2"/>
  <c r="AB121" i="2"/>
  <c r="R132" i="23" s="1"/>
  <c r="I132" i="23"/>
  <c r="T123" i="2"/>
  <c r="M74" i="23" s="1"/>
  <c r="D74" i="23"/>
  <c r="V123" i="2"/>
  <c r="N74" i="23" s="1"/>
  <c r="E74" i="23"/>
  <c r="X123" i="2"/>
  <c r="AA123" i="2"/>
  <c r="Q74" i="23" s="1"/>
  <c r="H74" i="23"/>
  <c r="AC123" i="2"/>
  <c r="S74" i="23" s="1"/>
  <c r="J74" i="23"/>
  <c r="S124" i="2"/>
  <c r="L143" i="23" s="1"/>
  <c r="C143" i="23"/>
  <c r="W124" i="2"/>
  <c r="AB124" i="2"/>
  <c r="R143" i="23" s="1"/>
  <c r="I143" i="23"/>
  <c r="T126" i="2"/>
  <c r="V126" i="2"/>
  <c r="X126" i="2"/>
  <c r="AA126" i="2"/>
  <c r="AC126" i="2"/>
  <c r="S127" i="2"/>
  <c r="W127" i="2"/>
  <c r="AB127" i="2"/>
  <c r="AC114" i="2"/>
  <c r="AC118" i="2"/>
  <c r="S63" i="23" s="1"/>
  <c r="J63" i="23"/>
  <c r="AC119" i="2"/>
  <c r="S121" i="23" s="1"/>
  <c r="J121" i="23"/>
  <c r="S114" i="2"/>
  <c r="W114" i="2"/>
  <c r="T116" i="2"/>
  <c r="M52" i="23" s="1"/>
  <c r="D52" i="23"/>
  <c r="V116" i="2"/>
  <c r="N52" i="23" s="1"/>
  <c r="E52" i="23"/>
  <c r="X116" i="2"/>
  <c r="AB116" i="2"/>
  <c r="R52" i="23" s="1"/>
  <c r="I52" i="23"/>
  <c r="T118" i="2"/>
  <c r="M63" i="23" s="1"/>
  <c r="D63" i="23"/>
  <c r="V118" i="2"/>
  <c r="N63" i="23" s="1"/>
  <c r="E63" i="23"/>
  <c r="X118" i="2"/>
  <c r="AA118" i="2"/>
  <c r="Q63" i="23" s="1"/>
  <c r="H63" i="23"/>
  <c r="S119" i="2"/>
  <c r="L121" i="23" s="1"/>
  <c r="C121" i="23"/>
  <c r="W119" i="2"/>
  <c r="T121" i="2"/>
  <c r="M132" i="23" s="1"/>
  <c r="D132" i="23"/>
  <c r="V121" i="2"/>
  <c r="N132" i="23" s="1"/>
  <c r="E132" i="23"/>
  <c r="X121" i="2"/>
  <c r="AA121" i="2"/>
  <c r="Q132" i="23" s="1"/>
  <c r="H132" i="23"/>
  <c r="AC121" i="2"/>
  <c r="S132" i="23" s="1"/>
  <c r="J132" i="23"/>
  <c r="S123" i="2"/>
  <c r="L74" i="23" s="1"/>
  <c r="C74" i="23"/>
  <c r="W123" i="2"/>
  <c r="AB123" i="2"/>
  <c r="R74" i="23" s="1"/>
  <c r="I74" i="23"/>
  <c r="T124" i="2"/>
  <c r="M143" i="23" s="1"/>
  <c r="D143" i="23"/>
  <c r="V124" i="2"/>
  <c r="N143" i="23" s="1"/>
  <c r="E143" i="23"/>
  <c r="X124" i="2"/>
  <c r="AA124" i="2"/>
  <c r="Q143" i="23" s="1"/>
  <c r="H143" i="23"/>
  <c r="AC124" i="2"/>
  <c r="S143" i="23" s="1"/>
  <c r="J143" i="23"/>
  <c r="S126" i="2"/>
  <c r="W126" i="2"/>
  <c r="AB126" i="2"/>
  <c r="T127" i="2"/>
  <c r="V127" i="2"/>
  <c r="X127" i="2"/>
  <c r="AA127" i="2"/>
  <c r="AC127" i="2"/>
  <c r="B120" i="6"/>
  <c r="B141" i="6"/>
  <c r="AO108" i="3"/>
  <c r="AC112" i="3"/>
  <c r="AD112" i="3"/>
  <c r="AP108" i="3"/>
  <c r="AP112" i="3" s="1"/>
  <c r="AF108" i="3"/>
  <c r="AH108" i="3"/>
  <c r="AJ108" i="3"/>
  <c r="AN108" i="3"/>
  <c r="U112" i="3"/>
  <c r="W112" i="3"/>
  <c r="Y112" i="3"/>
  <c r="AO24" i="3"/>
  <c r="AF24" i="3"/>
  <c r="AH24" i="3"/>
  <c r="AJ24" i="3"/>
  <c r="AN24" i="3"/>
  <c r="AO25" i="3"/>
  <c r="AF25" i="3"/>
  <c r="AH25" i="3"/>
  <c r="AJ25" i="3"/>
  <c r="AN25" i="3"/>
  <c r="AO51" i="3"/>
  <c r="AF51" i="3"/>
  <c r="AH51" i="3"/>
  <c r="AJ51" i="3"/>
  <c r="AN51" i="3"/>
  <c r="AO52" i="3"/>
  <c r="AF52" i="3"/>
  <c r="AH52" i="3"/>
  <c r="AJ52" i="3"/>
  <c r="AN52" i="3"/>
  <c r="AO65" i="3"/>
  <c r="AF65" i="3"/>
  <c r="AH65" i="3"/>
  <c r="AJ65" i="3"/>
  <c r="AN65" i="3"/>
  <c r="AO78" i="3"/>
  <c r="AF78" i="3"/>
  <c r="AH78" i="3"/>
  <c r="AJ78" i="3"/>
  <c r="AN78" i="3"/>
  <c r="AO17" i="3"/>
  <c r="AF17" i="3"/>
  <c r="AH17" i="3"/>
  <c r="AJ17" i="3"/>
  <c r="AN17" i="3"/>
  <c r="AO18" i="3"/>
  <c r="AF18" i="3"/>
  <c r="AH18" i="3"/>
  <c r="AJ18" i="3"/>
  <c r="AN18" i="3"/>
  <c r="AO45" i="3"/>
  <c r="AF45" i="3"/>
  <c r="AH45" i="3"/>
  <c r="AJ45" i="3"/>
  <c r="AN45" i="3"/>
  <c r="AO46" i="3"/>
  <c r="AF46" i="3"/>
  <c r="AH46" i="3"/>
  <c r="AJ46" i="3"/>
  <c r="AN46" i="3"/>
  <c r="AO84" i="3"/>
  <c r="AF84" i="3"/>
  <c r="AH84" i="3"/>
  <c r="AJ84" i="3"/>
  <c r="AN84" i="3"/>
  <c r="AO83" i="3"/>
  <c r="AC86" i="3"/>
  <c r="I144" i="23" s="1"/>
  <c r="AD86" i="3"/>
  <c r="J144" i="23" s="1"/>
  <c r="AP83" i="3"/>
  <c r="AP86" i="3" s="1"/>
  <c r="S144" i="23" s="1"/>
  <c r="AF83" i="3"/>
  <c r="AF86" i="3" s="1"/>
  <c r="L144" i="23" s="1"/>
  <c r="AH83" i="3"/>
  <c r="AH86" i="3" s="1"/>
  <c r="K144" i="23" s="1"/>
  <c r="AJ83" i="3"/>
  <c r="AN83" i="3"/>
  <c r="AN86" i="3" s="1"/>
  <c r="Q144" i="23" s="1"/>
  <c r="U86" i="3"/>
  <c r="D144" i="23" s="1"/>
  <c r="W86" i="3"/>
  <c r="E144" i="23" s="1"/>
  <c r="Y86" i="3"/>
  <c r="AD80" i="3"/>
  <c r="J75" i="23" s="1"/>
  <c r="AP77" i="3"/>
  <c r="AP80" i="3" s="1"/>
  <c r="S75" i="23" s="1"/>
  <c r="AO77" i="3"/>
  <c r="AC80" i="3"/>
  <c r="I75" i="23" s="1"/>
  <c r="AF77" i="3"/>
  <c r="AF80" i="3" s="1"/>
  <c r="L75" i="23" s="1"/>
  <c r="AH77" i="3"/>
  <c r="AH80" i="3" s="1"/>
  <c r="K75" i="23" s="1"/>
  <c r="AJ77" i="3"/>
  <c r="AJ80" i="3" s="1"/>
  <c r="AN77" i="3"/>
  <c r="AN80" i="3" s="1"/>
  <c r="Q75" i="23" s="1"/>
  <c r="U80" i="3"/>
  <c r="D75" i="23" s="1"/>
  <c r="W80" i="3"/>
  <c r="E75" i="23" s="1"/>
  <c r="Y80" i="3"/>
  <c r="T54" i="3"/>
  <c r="C122" i="23" s="1"/>
  <c r="V54" i="3"/>
  <c r="B122" i="23" s="1"/>
  <c r="X54" i="3"/>
  <c r="AB54" i="3"/>
  <c r="H122" i="23" s="1"/>
  <c r="AD54" i="3"/>
  <c r="J122" i="23" s="1"/>
  <c r="U54" i="3"/>
  <c r="D122" i="23" s="1"/>
  <c r="W54" i="3"/>
  <c r="E122" i="23" s="1"/>
  <c r="Y54" i="3"/>
  <c r="AC54" i="3"/>
  <c r="I122" i="23" s="1"/>
  <c r="AO64" i="3"/>
  <c r="AO67" i="3" s="1"/>
  <c r="R133" i="23" s="1"/>
  <c r="AC67" i="3"/>
  <c r="I133" i="23" s="1"/>
  <c r="AD67" i="3"/>
  <c r="J133" i="23" s="1"/>
  <c r="AP64" i="3"/>
  <c r="AP67" i="3" s="1"/>
  <c r="S133" i="23" s="1"/>
  <c r="AF64" i="3"/>
  <c r="AH64" i="3"/>
  <c r="AJ64" i="3"/>
  <c r="AN64" i="3"/>
  <c r="U67" i="3"/>
  <c r="D133" i="23" s="1"/>
  <c r="W67" i="3"/>
  <c r="E133" i="23" s="1"/>
  <c r="Y67" i="3"/>
  <c r="AO44" i="3"/>
  <c r="AC48" i="3"/>
  <c r="I64" i="23" s="1"/>
  <c r="AD48" i="3"/>
  <c r="J64" i="23" s="1"/>
  <c r="AP44" i="3"/>
  <c r="AP48" i="3" s="1"/>
  <c r="S64" i="23" s="1"/>
  <c r="AF44" i="3"/>
  <c r="AH44" i="3"/>
  <c r="AJ44" i="3"/>
  <c r="AN44" i="3"/>
  <c r="U48" i="3"/>
  <c r="D64" i="23" s="1"/>
  <c r="W48" i="3"/>
  <c r="E64" i="23" s="1"/>
  <c r="Y48" i="3"/>
  <c r="AO23" i="3"/>
  <c r="AC27" i="3"/>
  <c r="I7" i="23" s="1"/>
  <c r="AD27" i="3"/>
  <c r="J7" i="23" s="1"/>
  <c r="AP23" i="3"/>
  <c r="AP27" i="3" s="1"/>
  <c r="S7" i="23" s="1"/>
  <c r="AF23" i="3"/>
  <c r="AH23" i="3"/>
  <c r="AJ23" i="3"/>
  <c r="AN23" i="3"/>
  <c r="U27" i="3"/>
  <c r="D7" i="23" s="1"/>
  <c r="W27" i="3"/>
  <c r="E7" i="23" s="1"/>
  <c r="Y27" i="3"/>
  <c r="AD20" i="3"/>
  <c r="AP16" i="3"/>
  <c r="AP20" i="3" s="1"/>
  <c r="AO16" i="3"/>
  <c r="AC20" i="3"/>
  <c r="AF16" i="3"/>
  <c r="AH16" i="3"/>
  <c r="AJ16" i="3"/>
  <c r="AN16" i="3"/>
  <c r="U20" i="3"/>
  <c r="W20" i="3"/>
  <c r="Y20" i="3"/>
  <c r="N55" i="54" l="1"/>
  <c r="N152" i="55" s="1"/>
  <c r="N191" i="23"/>
  <c r="N201" i="6" s="1"/>
  <c r="AF27" i="3"/>
  <c r="L7" i="23" s="1"/>
  <c r="B191" i="23"/>
  <c r="B201" i="6" s="1"/>
  <c r="AH20" i="3"/>
  <c r="K191" i="23" s="1"/>
  <c r="K201" i="6" s="1"/>
  <c r="AO27" i="3"/>
  <c r="R7" i="23" s="1"/>
  <c r="AJ67" i="3"/>
  <c r="AN112" i="3"/>
  <c r="C110" i="23"/>
  <c r="AG20" i="3"/>
  <c r="M142" i="6"/>
  <c r="AN20" i="3"/>
  <c r="AH48" i="3"/>
  <c r="K64" i="23" s="1"/>
  <c r="C191" i="23"/>
  <c r="C201" i="6" s="1"/>
  <c r="AI67" i="3"/>
  <c r="N133" i="23" s="1"/>
  <c r="AG86" i="3"/>
  <c r="M144" i="23" s="1"/>
  <c r="AN48" i="3"/>
  <c r="Q64" i="23" s="1"/>
  <c r="AI48" i="3"/>
  <c r="N64" i="23" s="1"/>
  <c r="AJ86" i="3"/>
  <c r="AO112" i="3"/>
  <c r="R99" i="23" s="1"/>
  <c r="AJ27" i="3"/>
  <c r="AF67" i="3"/>
  <c r="L133" i="23" s="1"/>
  <c r="AH112" i="3"/>
  <c r="AG48" i="3"/>
  <c r="M64" i="23" s="1"/>
  <c r="AG27" i="3"/>
  <c r="M7" i="23" s="1"/>
  <c r="S30" i="54"/>
  <c r="S125" i="55" s="1"/>
  <c r="S155" i="23"/>
  <c r="M30" i="54"/>
  <c r="M125" i="55" s="1"/>
  <c r="M155" i="23"/>
  <c r="M161" i="6" s="1"/>
  <c r="L54" i="54"/>
  <c r="L151" i="55" s="1"/>
  <c r="L42" i="54"/>
  <c r="L138" i="55" s="1"/>
  <c r="L190" i="23"/>
  <c r="L178" i="23"/>
  <c r="S18" i="54"/>
  <c r="S106" i="55" s="1"/>
  <c r="S86" i="23"/>
  <c r="S120" i="6" s="1"/>
  <c r="M18" i="54"/>
  <c r="M106" i="55" s="1"/>
  <c r="M86" i="23"/>
  <c r="M120" i="6" s="1"/>
  <c r="Q54" i="54"/>
  <c r="Q151" i="55" s="1"/>
  <c r="Q42" i="54"/>
  <c r="Q138" i="55" s="1"/>
  <c r="Q190" i="23"/>
  <c r="Q178" i="23"/>
  <c r="N54" i="54"/>
  <c r="N151" i="55" s="1"/>
  <c r="N42" i="54"/>
  <c r="N138" i="55" s="1"/>
  <c r="N190" i="23"/>
  <c r="N178" i="23"/>
  <c r="R54" i="54"/>
  <c r="R151" i="55" s="1"/>
  <c r="R42" i="54"/>
  <c r="R138" i="55" s="1"/>
  <c r="R190" i="23"/>
  <c r="R178" i="23"/>
  <c r="J54" i="54"/>
  <c r="J151" i="55" s="1"/>
  <c r="J42" i="54"/>
  <c r="J138" i="55" s="1"/>
  <c r="J190" i="23"/>
  <c r="J200" i="6" s="1"/>
  <c r="J178" i="23"/>
  <c r="J181" i="6" s="1"/>
  <c r="Q30" i="54"/>
  <c r="Q125" i="55" s="1"/>
  <c r="Q155" i="23"/>
  <c r="N30" i="54"/>
  <c r="N125" i="55" s="1"/>
  <c r="N155" i="23"/>
  <c r="R18" i="54"/>
  <c r="R106" i="55" s="1"/>
  <c r="R86" i="23"/>
  <c r="L18" i="54"/>
  <c r="L106" i="55" s="1"/>
  <c r="L86" i="23"/>
  <c r="L120" i="6" s="1"/>
  <c r="S54" i="54"/>
  <c r="S151" i="55" s="1"/>
  <c r="S42" i="54"/>
  <c r="S138" i="55" s="1"/>
  <c r="S190" i="23"/>
  <c r="S178" i="23"/>
  <c r="R30" i="54"/>
  <c r="R125" i="55" s="1"/>
  <c r="R155" i="23"/>
  <c r="L30" i="54"/>
  <c r="L125" i="55" s="1"/>
  <c r="L155" i="23"/>
  <c r="Q18" i="54"/>
  <c r="Q106" i="55" s="1"/>
  <c r="Q86" i="23"/>
  <c r="N18" i="54"/>
  <c r="N106" i="55" s="1"/>
  <c r="N86" i="23"/>
  <c r="M54" i="54"/>
  <c r="M151" i="55" s="1"/>
  <c r="M42" i="54"/>
  <c r="M138" i="55" s="1"/>
  <c r="M190" i="23"/>
  <c r="M178" i="23"/>
  <c r="I54" i="54"/>
  <c r="I151" i="55" s="1"/>
  <c r="I42" i="54"/>
  <c r="I138" i="55" s="1"/>
  <c r="I190" i="23"/>
  <c r="I200" i="6" s="1"/>
  <c r="I178" i="23"/>
  <c r="AJ20" i="3"/>
  <c r="AF20" i="3"/>
  <c r="AO20" i="3"/>
  <c r="R191" i="23" s="1"/>
  <c r="R201" i="6" s="1"/>
  <c r="AN27" i="3"/>
  <c r="Q7" i="23" s="1"/>
  <c r="AH27" i="3"/>
  <c r="K7" i="23" s="1"/>
  <c r="AJ48" i="3"/>
  <c r="AF48" i="3"/>
  <c r="L64" i="23" s="1"/>
  <c r="AO48" i="3"/>
  <c r="R64" i="23" s="1"/>
  <c r="AN67" i="3"/>
  <c r="Q133" i="23" s="1"/>
  <c r="AH67" i="3"/>
  <c r="K133" i="23" s="1"/>
  <c r="AO86" i="3"/>
  <c r="R144" i="23" s="1"/>
  <c r="AJ112" i="3"/>
  <c r="AF112" i="3"/>
  <c r="L110" i="23" s="1"/>
  <c r="AO80" i="3"/>
  <c r="R75" i="23" s="1"/>
  <c r="D107" i="55"/>
  <c r="L107" i="55"/>
  <c r="J107" i="55"/>
  <c r="R107" i="55"/>
  <c r="Q126" i="55"/>
  <c r="N126" i="55"/>
  <c r="S126" i="55"/>
  <c r="L126" i="55"/>
  <c r="D110" i="23"/>
  <c r="D99" i="23"/>
  <c r="J110" i="23"/>
  <c r="J99" i="23"/>
  <c r="R110" i="23"/>
  <c r="E107" i="55"/>
  <c r="Q107" i="55"/>
  <c r="K107" i="55"/>
  <c r="S107" i="55"/>
  <c r="I107" i="55"/>
  <c r="M126" i="55"/>
  <c r="K126" i="55"/>
  <c r="R126" i="55"/>
  <c r="E110" i="23"/>
  <c r="E99" i="23"/>
  <c r="Q110" i="23"/>
  <c r="Q99" i="23"/>
  <c r="K110" i="23"/>
  <c r="K99" i="23"/>
  <c r="S110" i="23"/>
  <c r="S99" i="23"/>
  <c r="I110" i="23"/>
  <c r="I99" i="23"/>
  <c r="D55" i="54"/>
  <c r="D152" i="55" s="1"/>
  <c r="D191" i="23"/>
  <c r="D201" i="6" s="1"/>
  <c r="L55" i="54"/>
  <c r="L152" i="55" s="1"/>
  <c r="L191" i="23"/>
  <c r="L201" i="6" s="1"/>
  <c r="R55" i="54"/>
  <c r="R152" i="55" s="1"/>
  <c r="J55" i="54"/>
  <c r="J152" i="55" s="1"/>
  <c r="J191" i="23"/>
  <c r="J201" i="6" s="1"/>
  <c r="E55" i="54"/>
  <c r="E152" i="55" s="1"/>
  <c r="E191" i="23"/>
  <c r="E201" i="6" s="1"/>
  <c r="Q55" i="54"/>
  <c r="Q152" i="55" s="1"/>
  <c r="Q191" i="23"/>
  <c r="Q201" i="6" s="1"/>
  <c r="K55" i="54"/>
  <c r="K152" i="55" s="1"/>
  <c r="I55" i="54"/>
  <c r="I152" i="55" s="1"/>
  <c r="I191" i="23"/>
  <c r="I201" i="6" s="1"/>
  <c r="S55" i="54"/>
  <c r="S152" i="55" s="1"/>
  <c r="S191" i="23"/>
  <c r="S201" i="6" s="1"/>
  <c r="H142" i="6"/>
  <c r="B142" i="6"/>
  <c r="C142" i="6"/>
  <c r="N142" i="6"/>
  <c r="B200" i="6"/>
  <c r="C161" i="6"/>
  <c r="I120" i="6"/>
  <c r="E120" i="6"/>
  <c r="D120" i="6"/>
  <c r="K200" i="6"/>
  <c r="C200" i="6"/>
  <c r="J161" i="6"/>
  <c r="H161" i="6"/>
  <c r="E161" i="6"/>
  <c r="D161" i="6"/>
  <c r="J120" i="6"/>
  <c r="H120" i="6"/>
  <c r="C120" i="6"/>
  <c r="H200" i="6"/>
  <c r="E181" i="6"/>
  <c r="D181" i="6"/>
  <c r="I161" i="6"/>
  <c r="I181" i="6"/>
  <c r="B181" i="6"/>
  <c r="L161" i="6"/>
  <c r="R120" i="6"/>
  <c r="N120" i="6"/>
  <c r="K181" i="6"/>
  <c r="C181" i="6"/>
  <c r="S161" i="6"/>
  <c r="Q161" i="6"/>
  <c r="N161" i="6"/>
  <c r="Q120" i="6"/>
  <c r="H181" i="6"/>
  <c r="E200" i="6"/>
  <c r="D200" i="6"/>
  <c r="R161" i="6"/>
  <c r="AN54" i="3"/>
  <c r="Q122" i="23" s="1"/>
  <c r="AH54" i="3"/>
  <c r="K122" i="23" s="1"/>
  <c r="AO54" i="3"/>
  <c r="R122" i="23" s="1"/>
  <c r="AJ54" i="3"/>
  <c r="AF54" i="3"/>
  <c r="L122" i="23" s="1"/>
  <c r="L99" i="23" l="1"/>
  <c r="M55" i="54"/>
  <c r="M152" i="55" s="1"/>
  <c r="M191" i="23"/>
  <c r="M201" i="6" s="1"/>
  <c r="N107" i="55"/>
  <c r="M107" i="55"/>
  <c r="R142" i="6"/>
  <c r="J142" i="6"/>
  <c r="L142" i="6"/>
  <c r="D142" i="6"/>
  <c r="I142" i="6"/>
  <c r="S142" i="6"/>
  <c r="K142" i="6"/>
  <c r="Q142" i="6"/>
  <c r="E142" i="6"/>
  <c r="M200" i="6"/>
  <c r="L181" i="6"/>
  <c r="R181" i="6"/>
  <c r="N181" i="6"/>
  <c r="Q200" i="6"/>
  <c r="S200" i="6"/>
  <c r="M181" i="6"/>
  <c r="L200" i="6"/>
  <c r="R200" i="6"/>
  <c r="N200" i="6"/>
  <c r="Q181" i="6"/>
  <c r="S181" i="6"/>
  <c r="AS44" i="35"/>
  <c r="I44" i="44" s="1"/>
  <c r="AR44" i="35"/>
  <c r="I44" i="43" s="1"/>
  <c r="AQ44" i="35"/>
  <c r="I44" i="42" s="1"/>
  <c r="AP44" i="35"/>
  <c r="I44" i="41" s="1"/>
  <c r="AO44" i="35"/>
  <c r="I44" i="40" s="1"/>
  <c r="AN44" i="35"/>
  <c r="I44" i="39" s="1"/>
  <c r="AM44" i="35"/>
  <c r="I44" i="38" s="1"/>
  <c r="AL44" i="35"/>
  <c r="H44" i="44" s="1"/>
  <c r="AK44" i="35"/>
  <c r="H44" i="43" s="1"/>
  <c r="AJ44" i="35"/>
  <c r="H44" i="42" s="1"/>
  <c r="AI44" i="35"/>
  <c r="H44" i="41" s="1"/>
  <c r="AH44" i="35"/>
  <c r="H44" i="40" s="1"/>
  <c r="AG44" i="35"/>
  <c r="H44" i="39" s="1"/>
  <c r="AF44" i="35"/>
  <c r="H44" i="38" s="1"/>
  <c r="AE44" i="35"/>
  <c r="G44" i="44" s="1"/>
  <c r="AD44" i="35"/>
  <c r="G44" i="43" s="1"/>
  <c r="AC44" i="35"/>
  <c r="G44" i="42" s="1"/>
  <c r="AB44" i="35"/>
  <c r="G44" i="41" s="1"/>
  <c r="AA44" i="35"/>
  <c r="G44" i="40" s="1"/>
  <c r="Z44" i="35"/>
  <c r="G44" i="39" s="1"/>
  <c r="Y44" i="35"/>
  <c r="G44" i="38" s="1"/>
  <c r="X44" i="35"/>
  <c r="F44" i="44" s="1"/>
  <c r="W44" i="35"/>
  <c r="F44" i="43" s="1"/>
  <c r="V44" i="35"/>
  <c r="F44" i="42" s="1"/>
  <c r="U44" i="35"/>
  <c r="F44" i="41" s="1"/>
  <c r="T44" i="35"/>
  <c r="F44" i="40" s="1"/>
  <c r="S44" i="35"/>
  <c r="F44" i="39" s="1"/>
  <c r="R44" i="35"/>
  <c r="F44" i="38" s="1"/>
  <c r="Q44" i="35"/>
  <c r="E44" i="44" s="1"/>
  <c r="P44" i="35"/>
  <c r="E44" i="43" s="1"/>
  <c r="O44" i="35"/>
  <c r="E44" i="42" s="1"/>
  <c r="N44" i="35"/>
  <c r="E44" i="41" s="1"/>
  <c r="M44" i="35"/>
  <c r="E44" i="40" s="1"/>
  <c r="L44" i="35"/>
  <c r="E44" i="39" s="1"/>
  <c r="K44" i="35"/>
  <c r="E44" i="38" s="1"/>
  <c r="J44" i="35"/>
  <c r="D44" i="44" s="1"/>
  <c r="I44" i="35"/>
  <c r="D44" i="43" s="1"/>
  <c r="H44" i="35"/>
  <c r="D44" i="42" s="1"/>
  <c r="G44" i="35"/>
  <c r="D44" i="41" s="1"/>
  <c r="F44" i="35"/>
  <c r="D44" i="40" s="1"/>
  <c r="E44" i="35"/>
  <c r="D44" i="39" s="1"/>
  <c r="D44" i="35"/>
  <c r="D44" i="38" s="1"/>
  <c r="A99" i="47"/>
  <c r="A98" i="47"/>
  <c r="A97" i="47"/>
  <c r="A96" i="47"/>
  <c r="A95" i="47"/>
  <c r="AS43" i="35"/>
  <c r="I43" i="44" s="1"/>
  <c r="AR43" i="35"/>
  <c r="I43" i="43" s="1"/>
  <c r="AQ43" i="35"/>
  <c r="I43" i="42" s="1"/>
  <c r="AP43" i="35"/>
  <c r="I43" i="41" s="1"/>
  <c r="AO43" i="35"/>
  <c r="I43" i="40" s="1"/>
  <c r="AN43" i="35"/>
  <c r="I43" i="39" s="1"/>
  <c r="AM43" i="35"/>
  <c r="I43" i="38" s="1"/>
  <c r="AL43" i="35"/>
  <c r="H43" i="44" s="1"/>
  <c r="AK43" i="35"/>
  <c r="H43" i="43" s="1"/>
  <c r="AJ43" i="35"/>
  <c r="H43" i="42" s="1"/>
  <c r="AI43" i="35"/>
  <c r="H43" i="41" s="1"/>
  <c r="AH43" i="35"/>
  <c r="H43" i="40" s="1"/>
  <c r="AG43" i="35"/>
  <c r="H43" i="39" s="1"/>
  <c r="AF43" i="35"/>
  <c r="H43" i="38" s="1"/>
  <c r="AE43" i="35"/>
  <c r="G43" i="44" s="1"/>
  <c r="AD43" i="35"/>
  <c r="G43" i="43" s="1"/>
  <c r="AC43" i="35"/>
  <c r="G43" i="42" s="1"/>
  <c r="AB43" i="35"/>
  <c r="G43" i="41" s="1"/>
  <c r="AA43" i="35"/>
  <c r="G43" i="40" s="1"/>
  <c r="Z43" i="35"/>
  <c r="G43" i="39" s="1"/>
  <c r="Y43" i="35"/>
  <c r="G43" i="38" s="1"/>
  <c r="X43" i="35"/>
  <c r="F43" i="44" s="1"/>
  <c r="W43" i="35"/>
  <c r="F43" i="43" s="1"/>
  <c r="V43" i="35"/>
  <c r="F43" i="42" s="1"/>
  <c r="U43" i="35"/>
  <c r="F43" i="41" s="1"/>
  <c r="T43" i="35"/>
  <c r="F43" i="40" s="1"/>
  <c r="S43" i="35"/>
  <c r="F43" i="39" s="1"/>
  <c r="R43" i="35"/>
  <c r="F43" i="38" s="1"/>
  <c r="Q43" i="35"/>
  <c r="E43" i="44" s="1"/>
  <c r="P43" i="35"/>
  <c r="E43" i="43" s="1"/>
  <c r="O43" i="35"/>
  <c r="E43" i="42" s="1"/>
  <c r="N43" i="35"/>
  <c r="E43" i="41" s="1"/>
  <c r="M43" i="35"/>
  <c r="E43" i="40" s="1"/>
  <c r="L43" i="35"/>
  <c r="E43" i="39" s="1"/>
  <c r="K43" i="35"/>
  <c r="E43" i="38" s="1"/>
  <c r="J43" i="35"/>
  <c r="D43" i="44" s="1"/>
  <c r="I43" i="35"/>
  <c r="D43" i="43" s="1"/>
  <c r="H43" i="35"/>
  <c r="D43" i="42" s="1"/>
  <c r="G43" i="35"/>
  <c r="D43" i="41" s="1"/>
  <c r="F43" i="35"/>
  <c r="D43" i="40" s="1"/>
  <c r="E43" i="35"/>
  <c r="D43" i="39" s="1"/>
  <c r="D43" i="35"/>
  <c r="D43" i="38" s="1"/>
  <c r="AS42" i="35"/>
  <c r="I42" i="44" s="1"/>
  <c r="AR42" i="35"/>
  <c r="I42" i="43" s="1"/>
  <c r="AQ42" i="35"/>
  <c r="I42" i="42" s="1"/>
  <c r="AP42" i="35"/>
  <c r="I42" i="41" s="1"/>
  <c r="AO42" i="35"/>
  <c r="I42" i="40" s="1"/>
  <c r="AN42" i="35"/>
  <c r="I42" i="39" s="1"/>
  <c r="AM42" i="35"/>
  <c r="I42" i="38" s="1"/>
  <c r="AL42" i="35"/>
  <c r="H42" i="44" s="1"/>
  <c r="AK42" i="35"/>
  <c r="H42" i="43" s="1"/>
  <c r="AJ42" i="35"/>
  <c r="H42" i="42" s="1"/>
  <c r="AI42" i="35"/>
  <c r="H42" i="41" s="1"/>
  <c r="AH42" i="35"/>
  <c r="H42" i="40" s="1"/>
  <c r="AG42" i="35"/>
  <c r="H42" i="39" s="1"/>
  <c r="AF42" i="35"/>
  <c r="H42" i="38" s="1"/>
  <c r="AE42" i="35"/>
  <c r="G42" i="44" s="1"/>
  <c r="AD42" i="35"/>
  <c r="G42" i="43" s="1"/>
  <c r="AC42" i="35"/>
  <c r="G42" i="42" s="1"/>
  <c r="AB42" i="35"/>
  <c r="G42" i="41" s="1"/>
  <c r="AA42" i="35"/>
  <c r="G42" i="40" s="1"/>
  <c r="Z42" i="35"/>
  <c r="G42" i="39" s="1"/>
  <c r="Y42" i="35"/>
  <c r="G42" i="38" s="1"/>
  <c r="X42" i="35"/>
  <c r="F42" i="44" s="1"/>
  <c r="W42" i="35"/>
  <c r="F42" i="43" s="1"/>
  <c r="V42" i="35"/>
  <c r="F42" i="42" s="1"/>
  <c r="U42" i="35"/>
  <c r="F42" i="41" s="1"/>
  <c r="T42" i="35"/>
  <c r="F42" i="40" s="1"/>
  <c r="S42" i="35"/>
  <c r="F42" i="39" s="1"/>
  <c r="R42" i="35"/>
  <c r="F42" i="38" s="1"/>
  <c r="Q42" i="35"/>
  <c r="E42" i="44" s="1"/>
  <c r="P42" i="35"/>
  <c r="E42" i="43" s="1"/>
  <c r="O42" i="35"/>
  <c r="E42" i="42" s="1"/>
  <c r="N42" i="35"/>
  <c r="E42" i="41" s="1"/>
  <c r="M42" i="35"/>
  <c r="E42" i="40" s="1"/>
  <c r="L42" i="35"/>
  <c r="E42" i="39" s="1"/>
  <c r="K42" i="35"/>
  <c r="E42" i="38" s="1"/>
  <c r="J42" i="35"/>
  <c r="D42" i="44" s="1"/>
  <c r="I42" i="35"/>
  <c r="D42" i="43" s="1"/>
  <c r="H42" i="35"/>
  <c r="D42" i="42" s="1"/>
  <c r="G42" i="35"/>
  <c r="D42" i="41" s="1"/>
  <c r="F42" i="35"/>
  <c r="D42" i="40" s="1"/>
  <c r="E42" i="35"/>
  <c r="D42" i="39" s="1"/>
  <c r="D42" i="35"/>
  <c r="D42" i="38" s="1"/>
  <c r="AS41" i="35"/>
  <c r="I41" i="44" s="1"/>
  <c r="AR41" i="35"/>
  <c r="I41" i="43" s="1"/>
  <c r="AQ41" i="35"/>
  <c r="I41" i="42" s="1"/>
  <c r="AP41" i="35"/>
  <c r="I41" i="41" s="1"/>
  <c r="AO41" i="35"/>
  <c r="I41" i="40" s="1"/>
  <c r="AN41" i="35"/>
  <c r="I41" i="39" s="1"/>
  <c r="AM41" i="35"/>
  <c r="I41" i="38" s="1"/>
  <c r="AL41" i="35"/>
  <c r="H41" i="44" s="1"/>
  <c r="AK41" i="35"/>
  <c r="H41" i="43" s="1"/>
  <c r="AJ41" i="35"/>
  <c r="H41" i="42" s="1"/>
  <c r="AI41" i="35"/>
  <c r="H41" i="41" s="1"/>
  <c r="AH41" i="35"/>
  <c r="H41" i="40" s="1"/>
  <c r="AG41" i="35"/>
  <c r="H41" i="39" s="1"/>
  <c r="AF41" i="35"/>
  <c r="H41" i="38" s="1"/>
  <c r="AE41" i="35"/>
  <c r="G41" i="44" s="1"/>
  <c r="AD41" i="35"/>
  <c r="G41" i="43" s="1"/>
  <c r="AC41" i="35"/>
  <c r="G41" i="42" s="1"/>
  <c r="AB41" i="35"/>
  <c r="G41" i="41" s="1"/>
  <c r="AA41" i="35"/>
  <c r="G41" i="40" s="1"/>
  <c r="Z41" i="35"/>
  <c r="G41" i="39" s="1"/>
  <c r="Y41" i="35"/>
  <c r="G41" i="38" s="1"/>
  <c r="X41" i="35"/>
  <c r="F41" i="44" s="1"/>
  <c r="W41" i="35"/>
  <c r="F41" i="43" s="1"/>
  <c r="V41" i="35"/>
  <c r="F41" i="42" s="1"/>
  <c r="U41" i="35"/>
  <c r="F41" i="41" s="1"/>
  <c r="T41" i="35"/>
  <c r="F41" i="40" s="1"/>
  <c r="S41" i="35"/>
  <c r="F41" i="39" s="1"/>
  <c r="R41" i="35"/>
  <c r="F41" i="38" s="1"/>
  <c r="Q41" i="35"/>
  <c r="E41" i="44" s="1"/>
  <c r="P41" i="35"/>
  <c r="E41" i="43" s="1"/>
  <c r="O41" i="35"/>
  <c r="E41" i="42" s="1"/>
  <c r="N41" i="35"/>
  <c r="E41" i="41" s="1"/>
  <c r="M41" i="35"/>
  <c r="E41" i="40" s="1"/>
  <c r="L41" i="35"/>
  <c r="E41" i="39" s="1"/>
  <c r="K41" i="35"/>
  <c r="E41" i="38" s="1"/>
  <c r="J41" i="35"/>
  <c r="D41" i="44" s="1"/>
  <c r="I41" i="35"/>
  <c r="D41" i="43" s="1"/>
  <c r="H41" i="35"/>
  <c r="D41" i="42" s="1"/>
  <c r="G41" i="35"/>
  <c r="D41" i="41" s="1"/>
  <c r="F41" i="35"/>
  <c r="D41" i="40" s="1"/>
  <c r="E41" i="35"/>
  <c r="D41" i="39" s="1"/>
  <c r="D41" i="35"/>
  <c r="D41" i="38" s="1"/>
  <c r="AS40" i="35"/>
  <c r="I40" i="44" s="1"/>
  <c r="AR40" i="35"/>
  <c r="I40" i="43" s="1"/>
  <c r="AQ40" i="35"/>
  <c r="I40" i="42" s="1"/>
  <c r="AP40" i="35"/>
  <c r="I40" i="41" s="1"/>
  <c r="AO40" i="35"/>
  <c r="I40" i="40" s="1"/>
  <c r="AN40" i="35"/>
  <c r="I40" i="39" s="1"/>
  <c r="AM40" i="35"/>
  <c r="I40" i="38" s="1"/>
  <c r="AL40" i="35"/>
  <c r="H40" i="44" s="1"/>
  <c r="AK40" i="35"/>
  <c r="H40" i="43" s="1"/>
  <c r="AJ40" i="35"/>
  <c r="H40" i="42" s="1"/>
  <c r="AI40" i="35"/>
  <c r="H40" i="41" s="1"/>
  <c r="AH40" i="35"/>
  <c r="H40" i="40" s="1"/>
  <c r="AG40" i="35"/>
  <c r="H40" i="39" s="1"/>
  <c r="AF40" i="35"/>
  <c r="H40" i="38" s="1"/>
  <c r="AE40" i="35"/>
  <c r="G40" i="44" s="1"/>
  <c r="AD40" i="35"/>
  <c r="G40" i="43" s="1"/>
  <c r="AC40" i="35"/>
  <c r="G40" i="42" s="1"/>
  <c r="AB40" i="35"/>
  <c r="G40" i="41" s="1"/>
  <c r="AA40" i="35"/>
  <c r="G40" i="40" s="1"/>
  <c r="Z40" i="35"/>
  <c r="G40" i="39" s="1"/>
  <c r="Y40" i="35"/>
  <c r="G40" i="38" s="1"/>
  <c r="X40" i="35"/>
  <c r="F40" i="44" s="1"/>
  <c r="W40" i="35"/>
  <c r="F40" i="43" s="1"/>
  <c r="V40" i="35"/>
  <c r="F40" i="42" s="1"/>
  <c r="U40" i="35"/>
  <c r="F40" i="41" s="1"/>
  <c r="T40" i="35"/>
  <c r="F40" i="40" s="1"/>
  <c r="S40" i="35"/>
  <c r="F40" i="39" s="1"/>
  <c r="R40" i="35"/>
  <c r="F40" i="38" s="1"/>
  <c r="Q40" i="35"/>
  <c r="E40" i="44" s="1"/>
  <c r="P40" i="35"/>
  <c r="E40" i="43" s="1"/>
  <c r="O40" i="35"/>
  <c r="E40" i="42" s="1"/>
  <c r="N40" i="35"/>
  <c r="E40" i="41" s="1"/>
  <c r="M40" i="35"/>
  <c r="E40" i="40" s="1"/>
  <c r="L40" i="35"/>
  <c r="E40" i="39" s="1"/>
  <c r="K40" i="35"/>
  <c r="E40" i="38" s="1"/>
  <c r="J40" i="35"/>
  <c r="D40" i="44" s="1"/>
  <c r="I40" i="35"/>
  <c r="D40" i="43" s="1"/>
  <c r="H40" i="35"/>
  <c r="D40" i="42" s="1"/>
  <c r="G40" i="35"/>
  <c r="D40" i="41" s="1"/>
  <c r="F40" i="35"/>
  <c r="D40" i="40" s="1"/>
  <c r="E40" i="35"/>
  <c r="D40" i="39" s="1"/>
  <c r="D40" i="35"/>
  <c r="D40" i="38" s="1"/>
  <c r="AS39" i="35"/>
  <c r="I39" i="44" s="1"/>
  <c r="AR39" i="35"/>
  <c r="I39" i="43" s="1"/>
  <c r="AQ39" i="35"/>
  <c r="I39" i="42" s="1"/>
  <c r="AP39" i="35"/>
  <c r="I39" i="41" s="1"/>
  <c r="AO39" i="35"/>
  <c r="I39" i="40" s="1"/>
  <c r="AN39" i="35"/>
  <c r="I39" i="39" s="1"/>
  <c r="AM39" i="35"/>
  <c r="I39" i="38" s="1"/>
  <c r="AL39" i="35"/>
  <c r="H39" i="44" s="1"/>
  <c r="AK39" i="35"/>
  <c r="H39" i="43" s="1"/>
  <c r="AJ39" i="35"/>
  <c r="H39" i="42" s="1"/>
  <c r="AI39" i="35"/>
  <c r="H39" i="41" s="1"/>
  <c r="AH39" i="35"/>
  <c r="H39" i="40" s="1"/>
  <c r="AG39" i="35"/>
  <c r="H39" i="39" s="1"/>
  <c r="AF39" i="35"/>
  <c r="H39" i="38" s="1"/>
  <c r="AE39" i="35"/>
  <c r="G39" i="44" s="1"/>
  <c r="AD39" i="35"/>
  <c r="G39" i="43" s="1"/>
  <c r="AC39" i="35"/>
  <c r="G39" i="42" s="1"/>
  <c r="AB39" i="35"/>
  <c r="G39" i="41" s="1"/>
  <c r="AA39" i="35"/>
  <c r="G39" i="40" s="1"/>
  <c r="Z39" i="35"/>
  <c r="G39" i="39" s="1"/>
  <c r="Y39" i="35"/>
  <c r="G39" i="38" s="1"/>
  <c r="X39" i="35"/>
  <c r="F39" i="44" s="1"/>
  <c r="W39" i="35"/>
  <c r="F39" i="43" s="1"/>
  <c r="V39" i="35"/>
  <c r="F39" i="42" s="1"/>
  <c r="U39" i="35"/>
  <c r="F39" i="41" s="1"/>
  <c r="T39" i="35"/>
  <c r="F39" i="40" s="1"/>
  <c r="S39" i="35"/>
  <c r="F39" i="39" s="1"/>
  <c r="R39" i="35"/>
  <c r="F39" i="38" s="1"/>
  <c r="Q39" i="35"/>
  <c r="E39" i="44" s="1"/>
  <c r="P39" i="35"/>
  <c r="E39" i="43" s="1"/>
  <c r="O39" i="35"/>
  <c r="E39" i="42" s="1"/>
  <c r="N39" i="35"/>
  <c r="E39" i="41" s="1"/>
  <c r="M39" i="35"/>
  <c r="E39" i="40" s="1"/>
  <c r="L39" i="35"/>
  <c r="E39" i="39" s="1"/>
  <c r="K39" i="35"/>
  <c r="E39" i="38" s="1"/>
  <c r="J39" i="35"/>
  <c r="D39" i="44" s="1"/>
  <c r="I39" i="35"/>
  <c r="D39" i="43" s="1"/>
  <c r="H39" i="35"/>
  <c r="D39" i="42" s="1"/>
  <c r="G39" i="35"/>
  <c r="D39" i="41" s="1"/>
  <c r="F39" i="35"/>
  <c r="D39" i="40" s="1"/>
  <c r="E39" i="35"/>
  <c r="D39" i="39" s="1"/>
  <c r="D39" i="35"/>
  <c r="D39" i="38" s="1"/>
  <c r="A153" i="50"/>
  <c r="A143" i="50"/>
  <c r="A133" i="50"/>
  <c r="A123" i="50"/>
  <c r="A113" i="50"/>
  <c r="A103" i="50"/>
  <c r="A93" i="50"/>
  <c r="A83" i="50"/>
  <c r="A73" i="50"/>
  <c r="A63" i="50"/>
  <c r="A52" i="50"/>
  <c r="A42" i="50"/>
  <c r="A32" i="50"/>
  <c r="A22" i="50"/>
  <c r="A12" i="50"/>
  <c r="A2" i="50"/>
  <c r="B455" i="49"/>
  <c r="B454" i="49"/>
  <c r="B453" i="49"/>
  <c r="Z56" i="49" s="1"/>
  <c r="Z58" i="49" s="1"/>
  <c r="AB94" i="49"/>
  <c r="AN94" i="49" s="1"/>
  <c r="Z94" i="49"/>
  <c r="AL94" i="49" s="1"/>
  <c r="Y94" i="49"/>
  <c r="AK94" i="49" s="1"/>
  <c r="X94" i="49"/>
  <c r="AJ94" i="49" s="1"/>
  <c r="W94" i="49"/>
  <c r="AI94" i="49" s="1"/>
  <c r="V94" i="49"/>
  <c r="AH94" i="49" s="1"/>
  <c r="U94" i="49"/>
  <c r="AG94" i="49" s="1"/>
  <c r="T94" i="49"/>
  <c r="AF94" i="49" s="1"/>
  <c r="AD94" i="49"/>
  <c r="AP94" i="49" s="1"/>
  <c r="AC94" i="49"/>
  <c r="AO94" i="49" s="1"/>
  <c r="AE79" i="49"/>
  <c r="AB79" i="49"/>
  <c r="AN79" i="49" s="1"/>
  <c r="AN80" i="49" s="1"/>
  <c r="Q157" i="50" s="1"/>
  <c r="Y79" i="49"/>
  <c r="Y80" i="49" s="1"/>
  <c r="X79" i="49"/>
  <c r="AJ79" i="49" s="1"/>
  <c r="AJ80" i="49" s="1"/>
  <c r="W79" i="49"/>
  <c r="W80" i="49" s="1"/>
  <c r="E157" i="50" s="1"/>
  <c r="V79" i="49"/>
  <c r="AH79" i="49" s="1"/>
  <c r="AH80" i="49" s="1"/>
  <c r="K157" i="50" s="1"/>
  <c r="U79" i="49"/>
  <c r="U80" i="49" s="1"/>
  <c r="D157" i="50" s="1"/>
  <c r="T79" i="49"/>
  <c r="AF79" i="49" s="1"/>
  <c r="AF80" i="49" s="1"/>
  <c r="L157" i="50" s="1"/>
  <c r="AD79" i="49"/>
  <c r="AC79" i="49"/>
  <c r="AE75" i="49"/>
  <c r="AB75" i="49"/>
  <c r="AN75" i="49" s="1"/>
  <c r="Z75" i="49"/>
  <c r="AA75" i="49" s="1"/>
  <c r="AM75" i="49" s="1"/>
  <c r="Y75" i="49"/>
  <c r="AK75" i="49" s="1"/>
  <c r="X75" i="49"/>
  <c r="AJ75" i="49" s="1"/>
  <c r="W75" i="49"/>
  <c r="V75" i="49"/>
  <c r="AH75" i="49" s="1"/>
  <c r="U75" i="49"/>
  <c r="AG75" i="49" s="1"/>
  <c r="T75" i="49"/>
  <c r="AF75" i="49" s="1"/>
  <c r="AD75" i="49"/>
  <c r="AP75" i="49" s="1"/>
  <c r="AC75" i="49"/>
  <c r="AO75" i="49" s="1"/>
  <c r="AE74" i="49"/>
  <c r="AB74" i="49"/>
  <c r="AN74" i="49" s="1"/>
  <c r="Y74" i="49"/>
  <c r="X74" i="49"/>
  <c r="W74" i="49"/>
  <c r="V74" i="49"/>
  <c r="U74" i="49"/>
  <c r="AG74" i="49" s="1"/>
  <c r="T74" i="49"/>
  <c r="AF74" i="49" s="1"/>
  <c r="AD74" i="49"/>
  <c r="AC74" i="49"/>
  <c r="AE73" i="49"/>
  <c r="AD73" i="49"/>
  <c r="AB73" i="49"/>
  <c r="Z73" i="49"/>
  <c r="Y73" i="49"/>
  <c r="AK73" i="49" s="1"/>
  <c r="AK76" i="49" s="1"/>
  <c r="X73" i="49"/>
  <c r="X76" i="49" s="1"/>
  <c r="W73" i="49"/>
  <c r="AI73" i="49" s="1"/>
  <c r="AI76" i="49" s="1"/>
  <c r="N147" i="50" s="1"/>
  <c r="V73" i="49"/>
  <c r="U73" i="49"/>
  <c r="AG73" i="49" s="1"/>
  <c r="AG76" i="49" s="1"/>
  <c r="M147" i="50" s="1"/>
  <c r="T73" i="49"/>
  <c r="AC73" i="49"/>
  <c r="AE69" i="49"/>
  <c r="AC69" i="49"/>
  <c r="AC70" i="49" s="1"/>
  <c r="I137" i="50" s="1"/>
  <c r="AB69" i="49"/>
  <c r="AN69" i="49" s="1"/>
  <c r="AN70" i="49" s="1"/>
  <c r="Q137" i="50" s="1"/>
  <c r="Y69" i="49"/>
  <c r="Y70" i="49" s="1"/>
  <c r="X69" i="49"/>
  <c r="W69" i="49"/>
  <c r="W70" i="49" s="1"/>
  <c r="E137" i="50" s="1"/>
  <c r="V69" i="49"/>
  <c r="AH69" i="49" s="1"/>
  <c r="AH70" i="49" s="1"/>
  <c r="K137" i="50" s="1"/>
  <c r="U69" i="49"/>
  <c r="U70" i="49" s="1"/>
  <c r="D137" i="50" s="1"/>
  <c r="T69" i="49"/>
  <c r="AF69" i="49" s="1"/>
  <c r="AF70" i="49" s="1"/>
  <c r="L137" i="50" s="1"/>
  <c r="AD69" i="49"/>
  <c r="AE65" i="49"/>
  <c r="AD65" i="49"/>
  <c r="AD66" i="49" s="1"/>
  <c r="J127" i="50" s="1"/>
  <c r="AB65" i="49"/>
  <c r="AB66" i="49" s="1"/>
  <c r="H127" i="50" s="1"/>
  <c r="Y65" i="49"/>
  <c r="AK65" i="49" s="1"/>
  <c r="AK66" i="49" s="1"/>
  <c r="X65" i="49"/>
  <c r="X66" i="49" s="1"/>
  <c r="W65" i="49"/>
  <c r="AI65" i="49" s="1"/>
  <c r="AI66" i="49" s="1"/>
  <c r="N127" i="50" s="1"/>
  <c r="V65" i="49"/>
  <c r="V66" i="49" s="1"/>
  <c r="B127" i="50" s="1"/>
  <c r="U65" i="49"/>
  <c r="AG65" i="49" s="1"/>
  <c r="AG66" i="49" s="1"/>
  <c r="M127" i="50" s="1"/>
  <c r="T65" i="49"/>
  <c r="T66" i="49" s="1"/>
  <c r="C127" i="50" s="1"/>
  <c r="AC65" i="49"/>
  <c r="AE61" i="49"/>
  <c r="AC61" i="49"/>
  <c r="AC62" i="49" s="1"/>
  <c r="I117" i="50" s="1"/>
  <c r="AB61" i="49"/>
  <c r="AN61" i="49" s="1"/>
  <c r="AN62" i="49" s="1"/>
  <c r="Q117" i="50" s="1"/>
  <c r="Y61" i="49"/>
  <c r="Y62" i="49" s="1"/>
  <c r="X61" i="49"/>
  <c r="W61" i="49"/>
  <c r="W62" i="49" s="1"/>
  <c r="E117" i="50" s="1"/>
  <c r="V61" i="49"/>
  <c r="AH61" i="49" s="1"/>
  <c r="AH62" i="49" s="1"/>
  <c r="K117" i="50" s="1"/>
  <c r="U61" i="49"/>
  <c r="U62" i="49" s="1"/>
  <c r="D117" i="50" s="1"/>
  <c r="T61" i="49"/>
  <c r="AF61" i="49" s="1"/>
  <c r="AF62" i="49" s="1"/>
  <c r="L117" i="50" s="1"/>
  <c r="AD61" i="49"/>
  <c r="AC57" i="49"/>
  <c r="AO57" i="49" s="1"/>
  <c r="AB57" i="49"/>
  <c r="AN57" i="49" s="1"/>
  <c r="Z57" i="49"/>
  <c r="AL57" i="49" s="1"/>
  <c r="Y57" i="49"/>
  <c r="AK57" i="49" s="1"/>
  <c r="X57" i="49"/>
  <c r="AJ57" i="49" s="1"/>
  <c r="W57" i="49"/>
  <c r="AI57" i="49" s="1"/>
  <c r="V57" i="49"/>
  <c r="AH57" i="49" s="1"/>
  <c r="U57" i="49"/>
  <c r="AG57" i="49" s="1"/>
  <c r="T57" i="49"/>
  <c r="AF57" i="49" s="1"/>
  <c r="AD57" i="49"/>
  <c r="AP57" i="49" s="1"/>
  <c r="AE56" i="49"/>
  <c r="AD56" i="49"/>
  <c r="AD58" i="49" s="1"/>
  <c r="J107" i="50" s="1"/>
  <c r="AB56" i="49"/>
  <c r="AB58" i="49" s="1"/>
  <c r="H107" i="50" s="1"/>
  <c r="Y56" i="49"/>
  <c r="X56" i="49"/>
  <c r="W56" i="49"/>
  <c r="V56" i="49"/>
  <c r="V58" i="49" s="1"/>
  <c r="B107" i="50" s="1"/>
  <c r="U56" i="49"/>
  <c r="AG56" i="49" s="1"/>
  <c r="AG58" i="49" s="1"/>
  <c r="M107" i="50" s="1"/>
  <c r="T56" i="49"/>
  <c r="T58" i="49" s="1"/>
  <c r="C107" i="50" s="1"/>
  <c r="AC56" i="49"/>
  <c r="AE52" i="49"/>
  <c r="AC52" i="49"/>
  <c r="AC53" i="49" s="1"/>
  <c r="I97" i="50" s="1"/>
  <c r="AB52" i="49"/>
  <c r="AN52" i="49" s="1"/>
  <c r="AN53" i="49" s="1"/>
  <c r="Q97" i="50" s="1"/>
  <c r="Z52" i="49"/>
  <c r="AL52" i="49" s="1"/>
  <c r="AL53" i="49" s="1"/>
  <c r="Y52" i="49"/>
  <c r="Y53" i="49" s="1"/>
  <c r="X52" i="49"/>
  <c r="AJ52" i="49" s="1"/>
  <c r="AJ53" i="49" s="1"/>
  <c r="O97" i="50" s="1"/>
  <c r="W52" i="49"/>
  <c r="W53" i="49" s="1"/>
  <c r="E97" i="50" s="1"/>
  <c r="V52" i="49"/>
  <c r="AH52" i="49" s="1"/>
  <c r="AH53" i="49" s="1"/>
  <c r="K97" i="50" s="1"/>
  <c r="U52" i="49"/>
  <c r="U53" i="49" s="1"/>
  <c r="D97" i="50" s="1"/>
  <c r="T52" i="49"/>
  <c r="AF52" i="49" s="1"/>
  <c r="AF53" i="49" s="1"/>
  <c r="L97" i="50" s="1"/>
  <c r="AD52" i="49"/>
  <c r="AE48" i="49"/>
  <c r="AD48" i="49"/>
  <c r="AD49" i="49" s="1"/>
  <c r="J87" i="50" s="1"/>
  <c r="AB48" i="49"/>
  <c r="AB49" i="49" s="1"/>
  <c r="H87" i="50" s="1"/>
  <c r="Y48" i="49"/>
  <c r="X48" i="49"/>
  <c r="X49" i="49" s="1"/>
  <c r="W48" i="49"/>
  <c r="V48" i="49"/>
  <c r="V49" i="49" s="1"/>
  <c r="B87" i="50" s="1"/>
  <c r="U48" i="49"/>
  <c r="AG48" i="49" s="1"/>
  <c r="AG49" i="49" s="1"/>
  <c r="M87" i="50" s="1"/>
  <c r="T48" i="49"/>
  <c r="T49" i="49" s="1"/>
  <c r="C87" i="50" s="1"/>
  <c r="AC48" i="49"/>
  <c r="AE44" i="49"/>
  <c r="AC44" i="49"/>
  <c r="AC45" i="49" s="1"/>
  <c r="I77" i="50" s="1"/>
  <c r="AB44" i="49"/>
  <c r="AN44" i="49" s="1"/>
  <c r="AN45" i="49" s="1"/>
  <c r="Q77" i="50" s="1"/>
  <c r="Z44" i="49"/>
  <c r="AL44" i="49" s="1"/>
  <c r="AL45" i="49" s="1"/>
  <c r="Y44" i="49"/>
  <c r="Y45" i="49" s="1"/>
  <c r="X44" i="49"/>
  <c r="AJ44" i="49" s="1"/>
  <c r="AJ45" i="49" s="1"/>
  <c r="O77" i="50" s="1"/>
  <c r="W44" i="49"/>
  <c r="W45" i="49" s="1"/>
  <c r="E77" i="50" s="1"/>
  <c r="V44" i="49"/>
  <c r="AH44" i="49" s="1"/>
  <c r="AH45" i="49" s="1"/>
  <c r="K77" i="50" s="1"/>
  <c r="U44" i="49"/>
  <c r="U45" i="49" s="1"/>
  <c r="D77" i="50" s="1"/>
  <c r="T44" i="49"/>
  <c r="AF44" i="49" s="1"/>
  <c r="AF45" i="49" s="1"/>
  <c r="L77" i="50" s="1"/>
  <c r="AD44" i="49"/>
  <c r="AE40" i="49"/>
  <c r="AD40" i="49"/>
  <c r="AP40" i="49" s="1"/>
  <c r="AB40" i="49"/>
  <c r="AN40" i="49" s="1"/>
  <c r="Y40" i="49"/>
  <c r="X40" i="49"/>
  <c r="W40" i="49"/>
  <c r="V40" i="49"/>
  <c r="U40" i="49"/>
  <c r="AG40" i="49" s="1"/>
  <c r="T40" i="49"/>
  <c r="AF40" i="49" s="1"/>
  <c r="AC40" i="49"/>
  <c r="AO40" i="49" s="1"/>
  <c r="AE39" i="49"/>
  <c r="AC39" i="49"/>
  <c r="AO39" i="49" s="1"/>
  <c r="AB39" i="49"/>
  <c r="AN39" i="49" s="1"/>
  <c r="Y39" i="49"/>
  <c r="AK39" i="49" s="1"/>
  <c r="X39" i="49"/>
  <c r="AJ39" i="49" s="1"/>
  <c r="W39" i="49"/>
  <c r="AI39" i="49" s="1"/>
  <c r="V39" i="49"/>
  <c r="AH39" i="49" s="1"/>
  <c r="U39" i="49"/>
  <c r="AG39" i="49" s="1"/>
  <c r="T39" i="49"/>
  <c r="AF39" i="49" s="1"/>
  <c r="AD39" i="49"/>
  <c r="AP39" i="49" s="1"/>
  <c r="AE38" i="49"/>
  <c r="AD38" i="49"/>
  <c r="AB38" i="49"/>
  <c r="Z38" i="49"/>
  <c r="Y38" i="49"/>
  <c r="X38" i="49"/>
  <c r="W38" i="49"/>
  <c r="V38" i="49"/>
  <c r="U38" i="49"/>
  <c r="AG38" i="49" s="1"/>
  <c r="T38" i="49"/>
  <c r="AC38" i="49"/>
  <c r="AE34" i="49"/>
  <c r="AC34" i="49"/>
  <c r="AC35" i="49" s="1"/>
  <c r="I56" i="50" s="1"/>
  <c r="AB34" i="49"/>
  <c r="AN34" i="49" s="1"/>
  <c r="AN35" i="49" s="1"/>
  <c r="Q56" i="50" s="1"/>
  <c r="Y34" i="49"/>
  <c r="Y35" i="49" s="1"/>
  <c r="X34" i="49"/>
  <c r="AJ34" i="49" s="1"/>
  <c r="AJ35" i="49" s="1"/>
  <c r="W34" i="49"/>
  <c r="W35" i="49" s="1"/>
  <c r="E56" i="50" s="1"/>
  <c r="V34" i="49"/>
  <c r="AH34" i="49" s="1"/>
  <c r="AH35" i="49" s="1"/>
  <c r="K56" i="50" s="1"/>
  <c r="U34" i="49"/>
  <c r="U35" i="49" s="1"/>
  <c r="D56" i="50" s="1"/>
  <c r="T34" i="49"/>
  <c r="AF34" i="49" s="1"/>
  <c r="AF35" i="49" s="1"/>
  <c r="L56" i="50" s="1"/>
  <c r="AD34" i="49"/>
  <c r="AE30" i="49"/>
  <c r="AD30" i="49"/>
  <c r="AP30" i="49" s="1"/>
  <c r="AB30" i="49"/>
  <c r="AN30" i="49" s="1"/>
  <c r="Z30" i="49"/>
  <c r="AA30" i="49" s="1"/>
  <c r="AM30" i="49" s="1"/>
  <c r="Y30" i="49"/>
  <c r="X30" i="49"/>
  <c r="W30" i="49"/>
  <c r="V30" i="49"/>
  <c r="U30" i="49"/>
  <c r="AG30" i="49" s="1"/>
  <c r="T30" i="49"/>
  <c r="AF30" i="49" s="1"/>
  <c r="AC30" i="49"/>
  <c r="AO30" i="49" s="1"/>
  <c r="AE29" i="49"/>
  <c r="AC29" i="49"/>
  <c r="AB29" i="49"/>
  <c r="Y29" i="49"/>
  <c r="Y31" i="49" s="1"/>
  <c r="X29" i="49"/>
  <c r="X31" i="49" s="1"/>
  <c r="W29" i="49"/>
  <c r="W31" i="49" s="1"/>
  <c r="E46" i="50" s="1"/>
  <c r="V29" i="49"/>
  <c r="V31" i="49" s="1"/>
  <c r="B46" i="50" s="1"/>
  <c r="U29" i="49"/>
  <c r="T29" i="49"/>
  <c r="AD29" i="49"/>
  <c r="AE25" i="49"/>
  <c r="AD25" i="49"/>
  <c r="AP25" i="49" s="1"/>
  <c r="AB25" i="49"/>
  <c r="AN25" i="49" s="1"/>
  <c r="Z25" i="49"/>
  <c r="AA25" i="49" s="1"/>
  <c r="AM25" i="49" s="1"/>
  <c r="Y25" i="49"/>
  <c r="AK25" i="49" s="1"/>
  <c r="X25" i="49"/>
  <c r="AJ25" i="49" s="1"/>
  <c r="W25" i="49"/>
  <c r="AI25" i="49" s="1"/>
  <c r="V25" i="49"/>
  <c r="AH25" i="49" s="1"/>
  <c r="U25" i="49"/>
  <c r="AG25" i="49" s="1"/>
  <c r="T25" i="49"/>
  <c r="AF25" i="49" s="1"/>
  <c r="AC25" i="49"/>
  <c r="AO25" i="49" s="1"/>
  <c r="AE24" i="49"/>
  <c r="AC24" i="49"/>
  <c r="AC26" i="49" s="1"/>
  <c r="I36" i="50" s="1"/>
  <c r="AB24" i="49"/>
  <c r="Y24" i="49"/>
  <c r="X24" i="49"/>
  <c r="X26" i="49" s="1"/>
  <c r="W24" i="49"/>
  <c r="W26" i="49" s="1"/>
  <c r="E36" i="50" s="1"/>
  <c r="V24" i="49"/>
  <c r="V26" i="49" s="1"/>
  <c r="B36" i="50" s="1"/>
  <c r="U24" i="49"/>
  <c r="U26" i="49" s="1"/>
  <c r="D36" i="50" s="1"/>
  <c r="T24" i="49"/>
  <c r="AD24" i="49"/>
  <c r="AE20" i="49"/>
  <c r="AD20" i="49"/>
  <c r="AB20" i="49"/>
  <c r="AN20" i="49" s="1"/>
  <c r="Z20" i="49"/>
  <c r="AA20" i="49" s="1"/>
  <c r="AM20" i="49" s="1"/>
  <c r="Y20" i="49"/>
  <c r="AK20" i="49" s="1"/>
  <c r="X20" i="49"/>
  <c r="AJ20" i="49" s="1"/>
  <c r="W20" i="49"/>
  <c r="V20" i="49"/>
  <c r="U20" i="49"/>
  <c r="AG20" i="49" s="1"/>
  <c r="T20" i="49"/>
  <c r="AC20" i="49"/>
  <c r="AO20" i="49" s="1"/>
  <c r="AE19" i="49"/>
  <c r="AC19" i="49"/>
  <c r="AC21" i="49" s="1"/>
  <c r="I26" i="50" s="1"/>
  <c r="AB19" i="49"/>
  <c r="AB21" i="49" s="1"/>
  <c r="H26" i="50" s="1"/>
  <c r="Y19" i="49"/>
  <c r="X19" i="49"/>
  <c r="W19" i="49"/>
  <c r="W21" i="49" s="1"/>
  <c r="E26" i="50" s="1"/>
  <c r="V19" i="49"/>
  <c r="V21" i="49" s="1"/>
  <c r="B26" i="50" s="1"/>
  <c r="U19" i="49"/>
  <c r="U21" i="49" s="1"/>
  <c r="D26" i="50" s="1"/>
  <c r="T19" i="49"/>
  <c r="T21" i="49" s="1"/>
  <c r="C26" i="50" s="1"/>
  <c r="AD19" i="49"/>
  <c r="AE15" i="49"/>
  <c r="AD15" i="49"/>
  <c r="AD16" i="49" s="1"/>
  <c r="J16" i="50" s="1"/>
  <c r="AB15" i="49"/>
  <c r="AB16" i="49" s="1"/>
  <c r="H16" i="50" s="1"/>
  <c r="Y15" i="49"/>
  <c r="AK15" i="49" s="1"/>
  <c r="AK16" i="49" s="1"/>
  <c r="X15" i="49"/>
  <c r="X16" i="49" s="1"/>
  <c r="W15" i="49"/>
  <c r="AI15" i="49" s="1"/>
  <c r="AI16" i="49" s="1"/>
  <c r="N16" i="50" s="1"/>
  <c r="V15" i="49"/>
  <c r="V16" i="49" s="1"/>
  <c r="B16" i="50" s="1"/>
  <c r="U15" i="49"/>
  <c r="AG15" i="49" s="1"/>
  <c r="AG16" i="49" s="1"/>
  <c r="M16" i="50" s="1"/>
  <c r="T15" i="49"/>
  <c r="T16" i="49" s="1"/>
  <c r="C16" i="50" s="1"/>
  <c r="AC15" i="49"/>
  <c r="AE11" i="49"/>
  <c r="AC11" i="49"/>
  <c r="AO11" i="49" s="1"/>
  <c r="AB11" i="49"/>
  <c r="AN11" i="49" s="1"/>
  <c r="Y11" i="49"/>
  <c r="X11" i="49"/>
  <c r="W11" i="49"/>
  <c r="V11" i="49"/>
  <c r="AH11" i="49" s="1"/>
  <c r="U11" i="49"/>
  <c r="AG11" i="49" s="1"/>
  <c r="T11" i="49"/>
  <c r="AF11" i="49" s="1"/>
  <c r="AD11" i="49"/>
  <c r="AP11" i="49" s="1"/>
  <c r="AE10" i="49"/>
  <c r="AD10" i="49"/>
  <c r="AP10" i="49" s="1"/>
  <c r="AB10" i="49"/>
  <c r="AN10" i="49" s="1"/>
  <c r="Y10" i="49"/>
  <c r="AK10" i="49" s="1"/>
  <c r="X10" i="49"/>
  <c r="AJ10" i="49" s="1"/>
  <c r="W10" i="49"/>
  <c r="AI10" i="49" s="1"/>
  <c r="V10" i="49"/>
  <c r="AH10" i="49" s="1"/>
  <c r="U10" i="49"/>
  <c r="AG10" i="49" s="1"/>
  <c r="T10" i="49"/>
  <c r="AF10" i="49" s="1"/>
  <c r="AC10" i="49"/>
  <c r="AO10" i="49" s="1"/>
  <c r="AE9" i="49"/>
  <c r="AC9" i="49"/>
  <c r="AB9" i="49"/>
  <c r="AN9" i="49" s="1"/>
  <c r="Z9" i="49"/>
  <c r="AL9" i="49" s="1"/>
  <c r="Y9" i="49"/>
  <c r="X9" i="49"/>
  <c r="AJ9" i="49" s="1"/>
  <c r="W9" i="49"/>
  <c r="V9" i="49"/>
  <c r="AH9" i="49" s="1"/>
  <c r="U9" i="49"/>
  <c r="T9" i="49"/>
  <c r="AF9" i="49" s="1"/>
  <c r="AD9" i="49"/>
  <c r="R118" i="48"/>
  <c r="O118" i="48"/>
  <c r="H156" i="50" s="1"/>
  <c r="L118" i="48"/>
  <c r="K118" i="48"/>
  <c r="J118" i="48"/>
  <c r="E156" i="50" s="1"/>
  <c r="I118" i="48"/>
  <c r="B156" i="50" s="1"/>
  <c r="H118" i="48"/>
  <c r="D156" i="50" s="1"/>
  <c r="G118" i="48"/>
  <c r="C156" i="50" s="1"/>
  <c r="A118" i="48"/>
  <c r="R117" i="48"/>
  <c r="O117" i="48"/>
  <c r="H146" i="50" s="1"/>
  <c r="L117" i="48"/>
  <c r="K117" i="48"/>
  <c r="J117" i="48"/>
  <c r="E146" i="50" s="1"/>
  <c r="I117" i="48"/>
  <c r="B146" i="50" s="1"/>
  <c r="H117" i="48"/>
  <c r="D146" i="50" s="1"/>
  <c r="G117" i="48"/>
  <c r="C146" i="50" s="1"/>
  <c r="A117" i="48"/>
  <c r="R116" i="48"/>
  <c r="O116" i="48"/>
  <c r="H136" i="50" s="1"/>
  <c r="L116" i="48"/>
  <c r="K116" i="48"/>
  <c r="J116" i="48"/>
  <c r="E136" i="50" s="1"/>
  <c r="I116" i="48"/>
  <c r="B136" i="50" s="1"/>
  <c r="H116" i="48"/>
  <c r="D136" i="50" s="1"/>
  <c r="G116" i="48"/>
  <c r="C136" i="50" s="1"/>
  <c r="A116" i="48"/>
  <c r="R115" i="48"/>
  <c r="O115" i="48"/>
  <c r="H126" i="50" s="1"/>
  <c r="L115" i="48"/>
  <c r="K115" i="48"/>
  <c r="J115" i="48"/>
  <c r="E126" i="50" s="1"/>
  <c r="I115" i="48"/>
  <c r="B126" i="50" s="1"/>
  <c r="H115" i="48"/>
  <c r="D126" i="50" s="1"/>
  <c r="G115" i="48"/>
  <c r="C126" i="50" s="1"/>
  <c r="A115" i="48"/>
  <c r="R114" i="48"/>
  <c r="O114" i="48"/>
  <c r="H116" i="50" s="1"/>
  <c r="L114" i="48"/>
  <c r="K114" i="48"/>
  <c r="J114" i="48"/>
  <c r="E116" i="50" s="1"/>
  <c r="I114" i="48"/>
  <c r="B116" i="50" s="1"/>
  <c r="H114" i="48"/>
  <c r="D116" i="50" s="1"/>
  <c r="G114" i="48"/>
  <c r="C116" i="50" s="1"/>
  <c r="A114" i="48"/>
  <c r="R113" i="48"/>
  <c r="O113" i="48"/>
  <c r="H106" i="50" s="1"/>
  <c r="L113" i="48"/>
  <c r="K113" i="48"/>
  <c r="J113" i="48"/>
  <c r="E106" i="50" s="1"/>
  <c r="I113" i="48"/>
  <c r="B106" i="50" s="1"/>
  <c r="H113" i="48"/>
  <c r="D106" i="50" s="1"/>
  <c r="G113" i="48"/>
  <c r="C106" i="50" s="1"/>
  <c r="A113" i="48"/>
  <c r="R112" i="48"/>
  <c r="O112" i="48"/>
  <c r="H96" i="50" s="1"/>
  <c r="L112" i="48"/>
  <c r="K112" i="48"/>
  <c r="J112" i="48"/>
  <c r="E96" i="50" s="1"/>
  <c r="I112" i="48"/>
  <c r="B96" i="50" s="1"/>
  <c r="H112" i="48"/>
  <c r="D96" i="50" s="1"/>
  <c r="G112" i="48"/>
  <c r="C96" i="50" s="1"/>
  <c r="A112" i="48"/>
  <c r="R111" i="48"/>
  <c r="O111" i="48"/>
  <c r="H86" i="50" s="1"/>
  <c r="L111" i="48"/>
  <c r="K111" i="48"/>
  <c r="J111" i="48"/>
  <c r="E86" i="50" s="1"/>
  <c r="I111" i="48"/>
  <c r="B86" i="50" s="1"/>
  <c r="H111" i="48"/>
  <c r="D86" i="50" s="1"/>
  <c r="G111" i="48"/>
  <c r="C86" i="50" s="1"/>
  <c r="A111" i="48"/>
  <c r="R110" i="48"/>
  <c r="O110" i="48"/>
  <c r="H76" i="50" s="1"/>
  <c r="L110" i="48"/>
  <c r="K110" i="48"/>
  <c r="J110" i="48"/>
  <c r="I110" i="48"/>
  <c r="B76" i="50" s="1"/>
  <c r="H110" i="48"/>
  <c r="D76" i="50" s="1"/>
  <c r="G110" i="48"/>
  <c r="C76" i="50" s="1"/>
  <c r="A110" i="48"/>
  <c r="R109" i="48"/>
  <c r="O109" i="48"/>
  <c r="H66" i="50" s="1"/>
  <c r="L109" i="48"/>
  <c r="K109" i="48"/>
  <c r="J109" i="48"/>
  <c r="E66" i="50" s="1"/>
  <c r="I109" i="48"/>
  <c r="B66" i="50" s="1"/>
  <c r="H109" i="48"/>
  <c r="T109" i="48" s="1"/>
  <c r="L66" i="50" s="1"/>
  <c r="G109" i="48"/>
  <c r="C66" i="50" s="1"/>
  <c r="A109" i="48"/>
  <c r="R108" i="48"/>
  <c r="O108" i="48"/>
  <c r="H55" i="50" s="1"/>
  <c r="L108" i="48"/>
  <c r="X108" i="48" s="1"/>
  <c r="K108" i="48"/>
  <c r="J108" i="48"/>
  <c r="V108" i="48" s="1"/>
  <c r="N55" i="50" s="1"/>
  <c r="I108" i="48"/>
  <c r="B55" i="50" s="1"/>
  <c r="H108" i="48"/>
  <c r="D55" i="50" s="1"/>
  <c r="G108" i="48"/>
  <c r="C55" i="50" s="1"/>
  <c r="A108" i="48"/>
  <c r="R107" i="48"/>
  <c r="O107" i="48"/>
  <c r="H45" i="50" s="1"/>
  <c r="L107" i="48"/>
  <c r="K107" i="48"/>
  <c r="J107" i="48"/>
  <c r="E45" i="50" s="1"/>
  <c r="I107" i="48"/>
  <c r="B45" i="50" s="1"/>
  <c r="H107" i="48"/>
  <c r="G107" i="48"/>
  <c r="C45" i="50" s="1"/>
  <c r="A107" i="48"/>
  <c r="R106" i="48"/>
  <c r="O106" i="48"/>
  <c r="H35" i="50" s="1"/>
  <c r="L106" i="48"/>
  <c r="X106" i="48" s="1"/>
  <c r="K106" i="48"/>
  <c r="J106" i="48"/>
  <c r="V106" i="48" s="1"/>
  <c r="N35" i="50" s="1"/>
  <c r="I106" i="48"/>
  <c r="B35" i="50" s="1"/>
  <c r="H106" i="48"/>
  <c r="T106" i="48" s="1"/>
  <c r="L35" i="50" s="1"/>
  <c r="G106" i="48"/>
  <c r="S106" i="48" s="1"/>
  <c r="K35" i="50" s="1"/>
  <c r="A106" i="48"/>
  <c r="O105" i="48"/>
  <c r="H25" i="50" s="1"/>
  <c r="L105" i="48"/>
  <c r="K105" i="48"/>
  <c r="W105" i="48" s="1"/>
  <c r="J105" i="48"/>
  <c r="E25" i="50" s="1"/>
  <c r="I105" i="48"/>
  <c r="B25" i="50" s="1"/>
  <c r="H105" i="48"/>
  <c r="T105" i="48" s="1"/>
  <c r="L25" i="50" s="1"/>
  <c r="G105" i="48"/>
  <c r="C25" i="50" s="1"/>
  <c r="A105" i="48"/>
  <c r="O104" i="48"/>
  <c r="H15" i="50" s="1"/>
  <c r="L104" i="48"/>
  <c r="X104" i="48" s="1"/>
  <c r="K104" i="48"/>
  <c r="J104" i="48"/>
  <c r="E15" i="50" s="1"/>
  <c r="I104" i="48"/>
  <c r="B15" i="50" s="1"/>
  <c r="H104" i="48"/>
  <c r="D15" i="50" s="1"/>
  <c r="G104" i="48"/>
  <c r="S104" i="48" s="1"/>
  <c r="K15" i="50" s="1"/>
  <c r="A104" i="48"/>
  <c r="O103" i="48"/>
  <c r="L103" i="48"/>
  <c r="K103" i="48"/>
  <c r="J103" i="48"/>
  <c r="E5" i="50" s="1"/>
  <c r="E102" i="6" s="1"/>
  <c r="I103" i="48"/>
  <c r="H103" i="48"/>
  <c r="T103" i="48" s="1"/>
  <c r="G103" i="48"/>
  <c r="C5" i="50" s="1"/>
  <c r="C102" i="6" s="1"/>
  <c r="A103" i="48"/>
  <c r="B50" i="48"/>
  <c r="B49" i="48"/>
  <c r="B36" i="48"/>
  <c r="BB24" i="48"/>
  <c r="BA24" i="48"/>
  <c r="BA53" i="48" s="1"/>
  <c r="AZ24" i="48"/>
  <c r="AY24" i="48"/>
  <c r="AY56" i="48" s="1"/>
  <c r="AX24" i="48"/>
  <c r="AW24" i="48"/>
  <c r="AW53" i="48" s="1"/>
  <c r="AV24" i="48"/>
  <c r="AU24" i="48"/>
  <c r="AU56" i="48" s="1"/>
  <c r="AT24" i="48"/>
  <c r="AS24" i="48"/>
  <c r="AS54" i="48" s="1"/>
  <c r="AP24" i="48"/>
  <c r="AO24" i="48"/>
  <c r="AO56" i="48" s="1"/>
  <c r="AN24" i="48"/>
  <c r="AM24" i="48"/>
  <c r="AM54" i="48" s="1"/>
  <c r="AL24" i="48"/>
  <c r="AK24" i="48"/>
  <c r="AK56" i="48" s="1"/>
  <c r="AJ24" i="48"/>
  <c r="AI24" i="48"/>
  <c r="AI54" i="48" s="1"/>
  <c r="AH24" i="48"/>
  <c r="AG24" i="48"/>
  <c r="AG56" i="48" s="1"/>
  <c r="Q118" i="48"/>
  <c r="P118" i="48"/>
  <c r="Q117" i="48"/>
  <c r="P117" i="48"/>
  <c r="Q116" i="48"/>
  <c r="P116" i="48"/>
  <c r="Q115" i="48"/>
  <c r="P115" i="48"/>
  <c r="Q114" i="48"/>
  <c r="P114" i="48"/>
  <c r="Q113" i="48"/>
  <c r="P113" i="48"/>
  <c r="Q112" i="48"/>
  <c r="P112" i="48"/>
  <c r="Q111" i="48"/>
  <c r="P111" i="48"/>
  <c r="Q110" i="48"/>
  <c r="P110" i="48"/>
  <c r="Q109" i="48"/>
  <c r="P109" i="48"/>
  <c r="Q108" i="48"/>
  <c r="P108" i="48"/>
  <c r="Q107" i="48"/>
  <c r="P107" i="48"/>
  <c r="Q106" i="48"/>
  <c r="P106" i="48"/>
  <c r="Q105" i="48"/>
  <c r="P105" i="48"/>
  <c r="Q104" i="48"/>
  <c r="P104" i="48"/>
  <c r="Q103" i="48"/>
  <c r="P103" i="48"/>
  <c r="A178" i="47"/>
  <c r="A177" i="47"/>
  <c r="A176" i="47"/>
  <c r="A175" i="47"/>
  <c r="A174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7" i="47"/>
  <c r="A156" i="47"/>
  <c r="A155" i="47"/>
  <c r="A154" i="47"/>
  <c r="A153" i="47"/>
  <c r="A152" i="47"/>
  <c r="A151" i="47"/>
  <c r="A149" i="47"/>
  <c r="A148" i="47"/>
  <c r="A147" i="47"/>
  <c r="A146" i="47"/>
  <c r="A145" i="47"/>
  <c r="A143" i="47"/>
  <c r="A142" i="47"/>
  <c r="A141" i="47"/>
  <c r="A140" i="47"/>
  <c r="A136" i="47"/>
  <c r="A135" i="47"/>
  <c r="A134" i="47"/>
  <c r="A133" i="47"/>
  <c r="A132" i="47"/>
  <c r="A131" i="47"/>
  <c r="A130" i="47"/>
  <c r="A126" i="47"/>
  <c r="A125" i="47"/>
  <c r="A124" i="47"/>
  <c r="A123" i="47"/>
  <c r="A122" i="47"/>
  <c r="A120" i="47"/>
  <c r="A119" i="47"/>
  <c r="A118" i="47"/>
  <c r="A117" i="47"/>
  <c r="A116" i="47"/>
  <c r="A114" i="47"/>
  <c r="A113" i="47"/>
  <c r="A112" i="47"/>
  <c r="A111" i="47"/>
  <c r="A110" i="47"/>
  <c r="A108" i="47"/>
  <c r="A107" i="47"/>
  <c r="A106" i="47"/>
  <c r="A105" i="47"/>
  <c r="A104" i="47"/>
  <c r="A103" i="47"/>
  <c r="A102" i="47"/>
  <c r="A101" i="47"/>
  <c r="A100" i="47"/>
  <c r="A47" i="46"/>
  <c r="A46" i="46"/>
  <c r="A45" i="46"/>
  <c r="A44" i="46"/>
  <c r="A43" i="46"/>
  <c r="A41" i="46"/>
  <c r="A40" i="46"/>
  <c r="A39" i="46"/>
  <c r="A38" i="46"/>
  <c r="A37" i="46"/>
  <c r="A35" i="46"/>
  <c r="A34" i="46"/>
  <c r="A33" i="46"/>
  <c r="A32" i="46"/>
  <c r="A31" i="46"/>
  <c r="A30" i="46"/>
  <c r="A29" i="46"/>
  <c r="A70" i="45"/>
  <c r="A69" i="45"/>
  <c r="A68" i="45"/>
  <c r="A67" i="45"/>
  <c r="A66" i="45"/>
  <c r="A65" i="45"/>
  <c r="A64" i="45"/>
  <c r="A63" i="45"/>
  <c r="A62" i="45"/>
  <c r="A61" i="45"/>
  <c r="A59" i="45"/>
  <c r="A58" i="45"/>
  <c r="A57" i="45"/>
  <c r="A56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F16" i="50" l="1"/>
  <c r="AB41" i="49"/>
  <c r="H67" i="50" s="1"/>
  <c r="F127" i="50"/>
  <c r="O119" i="48"/>
  <c r="AH40" i="49"/>
  <c r="AA44" i="49"/>
  <c r="AA45" i="49" s="1"/>
  <c r="AA52" i="49"/>
  <c r="AA53" i="49" s="1"/>
  <c r="G97" i="50" s="1"/>
  <c r="AB76" i="49"/>
  <c r="H147" i="50" s="1"/>
  <c r="V110" i="48"/>
  <c r="N76" i="50" s="1"/>
  <c r="Z10" i="49"/>
  <c r="AA10" i="49" s="1"/>
  <c r="AM10" i="49" s="1"/>
  <c r="AI11" i="49"/>
  <c r="X21" i="49"/>
  <c r="AF20" i="49"/>
  <c r="AP20" i="49"/>
  <c r="Y26" i="49"/>
  <c r="Z29" i="49"/>
  <c r="AH30" i="49"/>
  <c r="V41" i="49"/>
  <c r="B67" i="50" s="1"/>
  <c r="AI40" i="49"/>
  <c r="AI48" i="49"/>
  <c r="AI49" i="49" s="1"/>
  <c r="N87" i="50" s="1"/>
  <c r="AI56" i="49"/>
  <c r="AI58" i="49" s="1"/>
  <c r="N107" i="50" s="1"/>
  <c r="AJ61" i="49"/>
  <c r="AJ62" i="49" s="1"/>
  <c r="AJ69" i="49"/>
  <c r="AJ70" i="49" s="1"/>
  <c r="T76" i="49"/>
  <c r="C147" i="50" s="1"/>
  <c r="AD76" i="49"/>
  <c r="J147" i="50" s="1"/>
  <c r="AJ74" i="49"/>
  <c r="AD41" i="49"/>
  <c r="J67" i="50" s="1"/>
  <c r="AH74" i="49"/>
  <c r="AG41" i="49"/>
  <c r="M67" i="50" s="1"/>
  <c r="AA57" i="49"/>
  <c r="AM57" i="49" s="1"/>
  <c r="Z65" i="49"/>
  <c r="Z66" i="49" s="1"/>
  <c r="W12" i="49"/>
  <c r="E6" i="50" s="1"/>
  <c r="E103" i="6" s="1"/>
  <c r="AJ11" i="49"/>
  <c r="AJ12" i="49" s="1"/>
  <c r="Y21" i="49"/>
  <c r="Z24" i="49"/>
  <c r="AL24" i="49" s="1"/>
  <c r="AL26" i="49" s="1"/>
  <c r="AI30" i="49"/>
  <c r="AI38" i="49"/>
  <c r="AJ40" i="49"/>
  <c r="X58" i="49"/>
  <c r="F107" i="50" s="1"/>
  <c r="AK74" i="49"/>
  <c r="Z79" i="49"/>
  <c r="AL79" i="49" s="1"/>
  <c r="AL80" i="49" s="1"/>
  <c r="K119" i="48"/>
  <c r="AA9" i="49"/>
  <c r="G77" i="50"/>
  <c r="T41" i="49"/>
  <c r="C67" i="50" s="1"/>
  <c r="Z76" i="49"/>
  <c r="F147" i="50" s="1"/>
  <c r="AC12" i="49"/>
  <c r="I6" i="50" s="1"/>
  <c r="I103" i="6" s="1"/>
  <c r="Z34" i="49"/>
  <c r="AI74" i="49"/>
  <c r="AK11" i="49"/>
  <c r="Z19" i="49"/>
  <c r="AH20" i="49"/>
  <c r="T31" i="49"/>
  <c r="C46" i="50" s="1"/>
  <c r="AB31" i="49"/>
  <c r="H46" i="50" s="1"/>
  <c r="AJ30" i="49"/>
  <c r="X41" i="49"/>
  <c r="AK40" i="49"/>
  <c r="AK48" i="49"/>
  <c r="AK49" i="49" s="1"/>
  <c r="AK56" i="49"/>
  <c r="AK58" i="49" s="1"/>
  <c r="Z61" i="49"/>
  <c r="Z69" i="49"/>
  <c r="Z70" i="49" s="1"/>
  <c r="V76" i="49"/>
  <c r="B147" i="50" s="1"/>
  <c r="AO74" i="49"/>
  <c r="Z74" i="49"/>
  <c r="U12" i="49"/>
  <c r="D6" i="50" s="1"/>
  <c r="D103" i="6" s="1"/>
  <c r="Z15" i="49"/>
  <c r="Z16" i="49" s="1"/>
  <c r="Z39" i="49"/>
  <c r="O157" i="50"/>
  <c r="I119" i="48"/>
  <c r="T107" i="48"/>
  <c r="L45" i="50" s="1"/>
  <c r="Y12" i="49"/>
  <c r="Z11" i="49"/>
  <c r="AI20" i="49"/>
  <c r="T26" i="49"/>
  <c r="C36" i="50" s="1"/>
  <c r="AB26" i="49"/>
  <c r="H36" i="50" s="1"/>
  <c r="U31" i="49"/>
  <c r="D46" i="50" s="1"/>
  <c r="AC31" i="49"/>
  <c r="I46" i="50" s="1"/>
  <c r="AK30" i="49"/>
  <c r="AK38" i="49"/>
  <c r="Z40" i="49"/>
  <c r="AA40" i="49" s="1"/>
  <c r="AM40" i="49" s="1"/>
  <c r="Z45" i="49"/>
  <c r="Z48" i="49"/>
  <c r="Z49" i="49" s="1"/>
  <c r="F87" i="50" s="1"/>
  <c r="Z53" i="49"/>
  <c r="AP74" i="49"/>
  <c r="AI75" i="49"/>
  <c r="AF12" i="49"/>
  <c r="L6" i="50" s="1"/>
  <c r="L103" i="6" s="1"/>
  <c r="AH12" i="49"/>
  <c r="K6" i="50" s="1"/>
  <c r="K103" i="6" s="1"/>
  <c r="AN12" i="49"/>
  <c r="Q6" i="50" s="1"/>
  <c r="Q103" i="6" s="1"/>
  <c r="T62" i="49"/>
  <c r="C117" i="50" s="1"/>
  <c r="X62" i="49"/>
  <c r="AB62" i="49"/>
  <c r="H117" i="50" s="1"/>
  <c r="V62" i="49"/>
  <c r="B117" i="50" s="1"/>
  <c r="V53" i="49"/>
  <c r="B97" i="50" s="1"/>
  <c r="T53" i="49"/>
  <c r="C97" i="50" s="1"/>
  <c r="X53" i="49"/>
  <c r="AB53" i="49"/>
  <c r="H97" i="50" s="1"/>
  <c r="W49" i="49"/>
  <c r="E87" i="50" s="1"/>
  <c r="U49" i="49"/>
  <c r="D87" i="50" s="1"/>
  <c r="Y49" i="49"/>
  <c r="T45" i="49"/>
  <c r="C77" i="50" s="1"/>
  <c r="X45" i="49"/>
  <c r="F77" i="50" s="1"/>
  <c r="AB45" i="49"/>
  <c r="H77" i="50" s="1"/>
  <c r="V45" i="49"/>
  <c r="B77" i="50" s="1"/>
  <c r="V35" i="49"/>
  <c r="B56" i="50" s="1"/>
  <c r="T35" i="49"/>
  <c r="C56" i="50" s="1"/>
  <c r="X35" i="49"/>
  <c r="AB35" i="49"/>
  <c r="H56" i="50" s="1"/>
  <c r="U16" i="49"/>
  <c r="D16" i="50" s="1"/>
  <c r="Y16" i="49"/>
  <c r="W16" i="49"/>
  <c r="E16" i="50" s="1"/>
  <c r="U105" i="48"/>
  <c r="M25" i="50" s="1"/>
  <c r="AA105" i="48"/>
  <c r="Q25" i="50" s="1"/>
  <c r="V104" i="48"/>
  <c r="N15" i="50" s="1"/>
  <c r="T104" i="48"/>
  <c r="L15" i="50" s="1"/>
  <c r="U103" i="48"/>
  <c r="M5" i="50" s="1"/>
  <c r="M102" i="6" s="1"/>
  <c r="AA103" i="48"/>
  <c r="Q5" i="50" s="1"/>
  <c r="Q102" i="6" s="1"/>
  <c r="S103" i="48"/>
  <c r="K5" i="50" s="1"/>
  <c r="K102" i="6" s="1"/>
  <c r="W103" i="48"/>
  <c r="F72" i="47"/>
  <c r="F8" i="47"/>
  <c r="F8" i="45"/>
  <c r="H72" i="47"/>
  <c r="H8" i="47"/>
  <c r="H8" i="45"/>
  <c r="K72" i="47"/>
  <c r="K8" i="47"/>
  <c r="K8" i="45"/>
  <c r="F16" i="47"/>
  <c r="F80" i="47"/>
  <c r="F16" i="45"/>
  <c r="H16" i="47"/>
  <c r="H80" i="47"/>
  <c r="H16" i="45"/>
  <c r="K80" i="47"/>
  <c r="K16" i="47"/>
  <c r="K16" i="45"/>
  <c r="F81" i="47"/>
  <c r="F17" i="47"/>
  <c r="F17" i="45"/>
  <c r="H81" i="47"/>
  <c r="H17" i="47"/>
  <c r="H17" i="45"/>
  <c r="K81" i="47"/>
  <c r="K17" i="47"/>
  <c r="K17" i="45"/>
  <c r="F82" i="47"/>
  <c r="F18" i="47"/>
  <c r="F18" i="45"/>
  <c r="H82" i="47"/>
  <c r="H18" i="47"/>
  <c r="H18" i="45"/>
  <c r="K82" i="47"/>
  <c r="K18" i="47"/>
  <c r="K18" i="45"/>
  <c r="F89" i="47"/>
  <c r="F83" i="47"/>
  <c r="F60" i="47"/>
  <c r="R60" i="47" s="1"/>
  <c r="F37" i="47"/>
  <c r="F31" i="47"/>
  <c r="F25" i="47"/>
  <c r="F19" i="47"/>
  <c r="F19" i="45"/>
  <c r="F28" i="45"/>
  <c r="H89" i="47"/>
  <c r="H83" i="47"/>
  <c r="H60" i="47"/>
  <c r="T60" i="47" s="1"/>
  <c r="H37" i="47"/>
  <c r="H31" i="47"/>
  <c r="H25" i="47"/>
  <c r="H19" i="47"/>
  <c r="H19" i="45"/>
  <c r="H28" i="45"/>
  <c r="K89" i="47"/>
  <c r="K83" i="47"/>
  <c r="K60" i="47"/>
  <c r="W60" i="47" s="1"/>
  <c r="K37" i="47"/>
  <c r="K31" i="47"/>
  <c r="K25" i="47"/>
  <c r="K19" i="47"/>
  <c r="K19" i="45"/>
  <c r="K28" i="45"/>
  <c r="E66" i="47"/>
  <c r="E17" i="46"/>
  <c r="Q17" i="46" s="1"/>
  <c r="E39" i="46" s="1"/>
  <c r="E53" i="47"/>
  <c r="E46" i="47"/>
  <c r="E24" i="46"/>
  <c r="Q24" i="46" s="1"/>
  <c r="E46" i="46" s="1"/>
  <c r="G66" i="47"/>
  <c r="G17" i="46"/>
  <c r="G53" i="47"/>
  <c r="G46" i="47"/>
  <c r="G24" i="46"/>
  <c r="I66" i="47"/>
  <c r="I17" i="46"/>
  <c r="I53" i="47"/>
  <c r="I46" i="47"/>
  <c r="I24" i="46"/>
  <c r="L66" i="47"/>
  <c r="L46" i="47"/>
  <c r="L17" i="46"/>
  <c r="X17" i="46" s="1"/>
  <c r="L39" i="46" s="1"/>
  <c r="L53" i="47"/>
  <c r="L24" i="46"/>
  <c r="X24" i="46" s="1"/>
  <c r="L46" i="46" s="1"/>
  <c r="E72" i="47"/>
  <c r="E8" i="47"/>
  <c r="E8" i="45"/>
  <c r="G72" i="47"/>
  <c r="G8" i="47"/>
  <c r="G8" i="45"/>
  <c r="I72" i="47"/>
  <c r="I8" i="47"/>
  <c r="I8" i="45"/>
  <c r="L72" i="47"/>
  <c r="L8" i="47"/>
  <c r="L8" i="45"/>
  <c r="E80" i="47"/>
  <c r="E16" i="47"/>
  <c r="E16" i="45"/>
  <c r="G80" i="47"/>
  <c r="G16" i="47"/>
  <c r="G16" i="45"/>
  <c r="I80" i="47"/>
  <c r="I16" i="47"/>
  <c r="I16" i="45"/>
  <c r="L80" i="47"/>
  <c r="L16" i="47"/>
  <c r="L16" i="45"/>
  <c r="E81" i="47"/>
  <c r="E17" i="47"/>
  <c r="E17" i="45"/>
  <c r="G81" i="47"/>
  <c r="G17" i="47"/>
  <c r="G17" i="45"/>
  <c r="I81" i="47"/>
  <c r="I17" i="47"/>
  <c r="I17" i="45"/>
  <c r="L81" i="47"/>
  <c r="L17" i="47"/>
  <c r="L17" i="45"/>
  <c r="E82" i="47"/>
  <c r="E18" i="47"/>
  <c r="E18" i="45"/>
  <c r="G82" i="47"/>
  <c r="G18" i="47"/>
  <c r="G18" i="45"/>
  <c r="I82" i="47"/>
  <c r="I18" i="47"/>
  <c r="I18" i="45"/>
  <c r="L82" i="47"/>
  <c r="L18" i="47"/>
  <c r="L18" i="45"/>
  <c r="E89" i="47"/>
  <c r="E83" i="47"/>
  <c r="E60" i="47"/>
  <c r="Q60" i="47" s="1"/>
  <c r="E37" i="47"/>
  <c r="E31" i="47"/>
  <c r="E25" i="47"/>
  <c r="E19" i="47"/>
  <c r="E28" i="45"/>
  <c r="E19" i="45"/>
  <c r="G89" i="47"/>
  <c r="G83" i="47"/>
  <c r="G60" i="47"/>
  <c r="G37" i="47"/>
  <c r="G31" i="47"/>
  <c r="G25" i="47"/>
  <c r="G19" i="47"/>
  <c r="G28" i="45"/>
  <c r="G19" i="45"/>
  <c r="I89" i="47"/>
  <c r="I83" i="47"/>
  <c r="I60" i="47"/>
  <c r="I37" i="47"/>
  <c r="I31" i="47"/>
  <c r="I25" i="47"/>
  <c r="I19" i="47"/>
  <c r="I28" i="45"/>
  <c r="I19" i="45"/>
  <c r="L89" i="47"/>
  <c r="L83" i="47"/>
  <c r="L60" i="47"/>
  <c r="X60" i="47" s="1"/>
  <c r="L37" i="47"/>
  <c r="L31" i="47"/>
  <c r="L25" i="47"/>
  <c r="L19" i="47"/>
  <c r="L28" i="45"/>
  <c r="L19" i="45"/>
  <c r="F53" i="47"/>
  <c r="F46" i="47"/>
  <c r="F24" i="46"/>
  <c r="R24" i="46" s="1"/>
  <c r="F46" i="46" s="1"/>
  <c r="F66" i="47"/>
  <c r="F17" i="46"/>
  <c r="R17" i="46" s="1"/>
  <c r="F39" i="46" s="1"/>
  <c r="H53" i="47"/>
  <c r="H46" i="47"/>
  <c r="H24" i="46"/>
  <c r="T24" i="46" s="1"/>
  <c r="H46" i="46" s="1"/>
  <c r="H66" i="47"/>
  <c r="H17" i="46"/>
  <c r="T17" i="46" s="1"/>
  <c r="H39" i="46" s="1"/>
  <c r="K53" i="47"/>
  <c r="K24" i="46"/>
  <c r="W24" i="46" s="1"/>
  <c r="K46" i="46" s="1"/>
  <c r="K66" i="47"/>
  <c r="K46" i="47"/>
  <c r="K17" i="46"/>
  <c r="W17" i="46" s="1"/>
  <c r="K39" i="46" s="1"/>
  <c r="Q119" i="48"/>
  <c r="J5" i="50"/>
  <c r="J102" i="6" s="1"/>
  <c r="AC103" i="48"/>
  <c r="J15" i="50"/>
  <c r="AC104" i="48"/>
  <c r="S15" i="50" s="1"/>
  <c r="J25" i="50"/>
  <c r="AC105" i="48"/>
  <c r="S25" i="50" s="1"/>
  <c r="J35" i="50"/>
  <c r="AC106" i="48"/>
  <c r="S35" i="50" s="1"/>
  <c r="J45" i="50"/>
  <c r="AC107" i="48"/>
  <c r="S45" i="50" s="1"/>
  <c r="J55" i="50"/>
  <c r="AC108" i="48"/>
  <c r="S55" i="50" s="1"/>
  <c r="J66" i="50"/>
  <c r="AC109" i="48"/>
  <c r="S66" i="50" s="1"/>
  <c r="J76" i="50"/>
  <c r="AC110" i="48"/>
  <c r="S76" i="50" s="1"/>
  <c r="J86" i="50"/>
  <c r="AC111" i="48"/>
  <c r="S86" i="50" s="1"/>
  <c r="J96" i="50"/>
  <c r="AC112" i="48"/>
  <c r="S96" i="50" s="1"/>
  <c r="J106" i="50"/>
  <c r="AC113" i="48"/>
  <c r="S106" i="50" s="1"/>
  <c r="J116" i="50"/>
  <c r="AC114" i="48"/>
  <c r="S116" i="50" s="1"/>
  <c r="J126" i="50"/>
  <c r="AC115" i="48"/>
  <c r="S126" i="50" s="1"/>
  <c r="J136" i="50"/>
  <c r="AC116" i="48"/>
  <c r="S136" i="50" s="1"/>
  <c r="J146" i="50"/>
  <c r="AC117" i="48"/>
  <c r="S146" i="50" s="1"/>
  <c r="J156" i="50"/>
  <c r="AC118" i="48"/>
  <c r="S156" i="50" s="1"/>
  <c r="AH59" i="48"/>
  <c r="AH58" i="48"/>
  <c r="AH57" i="48"/>
  <c r="AH56" i="48"/>
  <c r="AH55" i="48"/>
  <c r="AJ59" i="48"/>
  <c r="AJ58" i="48"/>
  <c r="AJ57" i="48"/>
  <c r="AJ56" i="48"/>
  <c r="AJ55" i="48"/>
  <c r="AL59" i="48"/>
  <c r="AL58" i="48"/>
  <c r="AL57" i="48"/>
  <c r="AL56" i="48"/>
  <c r="AL55" i="48"/>
  <c r="AN59" i="48"/>
  <c r="AN58" i="48"/>
  <c r="AN57" i="48"/>
  <c r="AN56" i="48"/>
  <c r="AN55" i="48"/>
  <c r="AP59" i="48"/>
  <c r="AP58" i="48"/>
  <c r="AP57" i="48"/>
  <c r="AP56" i="48"/>
  <c r="AP55" i="48"/>
  <c r="AT59" i="48"/>
  <c r="AT58" i="48"/>
  <c r="AT57" i="48"/>
  <c r="AT56" i="48"/>
  <c r="AT55" i="48"/>
  <c r="AV59" i="48"/>
  <c r="AV58" i="48"/>
  <c r="AV57" i="48"/>
  <c r="AV56" i="48"/>
  <c r="AV55" i="48"/>
  <c r="AV54" i="48"/>
  <c r="AX59" i="48"/>
  <c r="AX58" i="48"/>
  <c r="AX57" i="48"/>
  <c r="AX56" i="48"/>
  <c r="AX55" i="48"/>
  <c r="AX54" i="48"/>
  <c r="AZ59" i="48"/>
  <c r="AZ58" i="48"/>
  <c r="AZ57" i="48"/>
  <c r="AZ56" i="48"/>
  <c r="AZ55" i="48"/>
  <c r="AZ54" i="48"/>
  <c r="BB59" i="48"/>
  <c r="BB58" i="48"/>
  <c r="BB57" i="48"/>
  <c r="BB56" i="48"/>
  <c r="BB55" i="48"/>
  <c r="BB54" i="48"/>
  <c r="AO15" i="49"/>
  <c r="AO16" i="49" s="1"/>
  <c r="R16" i="50" s="1"/>
  <c r="AC16" i="49"/>
  <c r="I16" i="50" s="1"/>
  <c r="AD21" i="49"/>
  <c r="J26" i="50" s="1"/>
  <c r="AP19" i="49"/>
  <c r="AP21" i="49" s="1"/>
  <c r="S26" i="50" s="1"/>
  <c r="AD31" i="49"/>
  <c r="J46" i="50" s="1"/>
  <c r="AP29" i="49"/>
  <c r="AP31" i="49" s="1"/>
  <c r="S46" i="50" s="1"/>
  <c r="AO38" i="49"/>
  <c r="AO41" i="49" s="1"/>
  <c r="R67" i="50" s="1"/>
  <c r="AC41" i="49"/>
  <c r="I67" i="50" s="1"/>
  <c r="AP44" i="49"/>
  <c r="AP45" i="49" s="1"/>
  <c r="S77" i="50" s="1"/>
  <c r="AD45" i="49"/>
  <c r="J77" i="50" s="1"/>
  <c r="AO56" i="49"/>
  <c r="AO58" i="49" s="1"/>
  <c r="R107" i="50" s="1"/>
  <c r="AC58" i="49"/>
  <c r="I107" i="50" s="1"/>
  <c r="AP61" i="49"/>
  <c r="AP62" i="49" s="1"/>
  <c r="S117" i="50" s="1"/>
  <c r="AD62" i="49"/>
  <c r="J117" i="50" s="1"/>
  <c r="AP69" i="49"/>
  <c r="AP70" i="49" s="1"/>
  <c r="S137" i="50" s="1"/>
  <c r="AD70" i="49"/>
  <c r="J137" i="50" s="1"/>
  <c r="AO73" i="49"/>
  <c r="AO76" i="49" s="1"/>
  <c r="R147" i="50" s="1"/>
  <c r="AC76" i="49"/>
  <c r="I147" i="50" s="1"/>
  <c r="AP79" i="49"/>
  <c r="AP80" i="49" s="1"/>
  <c r="S157" i="50" s="1"/>
  <c r="AD80" i="49"/>
  <c r="J157" i="50" s="1"/>
  <c r="AH29" i="48"/>
  <c r="AJ29" i="48"/>
  <c r="AL29" i="48"/>
  <c r="AN29" i="48"/>
  <c r="AP29" i="48"/>
  <c r="AT29" i="48"/>
  <c r="AV29" i="48"/>
  <c r="AX29" i="48"/>
  <c r="AZ29" i="48"/>
  <c r="BB29" i="48"/>
  <c r="AH30" i="48"/>
  <c r="AJ30" i="48"/>
  <c r="AL30" i="48"/>
  <c r="AN30" i="48"/>
  <c r="AP30" i="48"/>
  <c r="AT30" i="48"/>
  <c r="AV30" i="48"/>
  <c r="AX30" i="48"/>
  <c r="AZ30" i="48"/>
  <c r="BB30" i="48"/>
  <c r="AH31" i="48"/>
  <c r="AJ31" i="48"/>
  <c r="AL31" i="48"/>
  <c r="AN31" i="48"/>
  <c r="AP31" i="48"/>
  <c r="AT31" i="48"/>
  <c r="AV31" i="48"/>
  <c r="AX31" i="48"/>
  <c r="AZ31" i="48"/>
  <c r="BB31" i="48"/>
  <c r="AH32" i="48"/>
  <c r="AJ32" i="48"/>
  <c r="AL32" i="48"/>
  <c r="AN32" i="48"/>
  <c r="AP32" i="48"/>
  <c r="AT32" i="48"/>
  <c r="AV32" i="48"/>
  <c r="AX32" i="48"/>
  <c r="AZ32" i="48"/>
  <c r="BB32" i="48"/>
  <c r="AH33" i="48"/>
  <c r="AJ33" i="48"/>
  <c r="AL33" i="48"/>
  <c r="AN33" i="48"/>
  <c r="AP33" i="48"/>
  <c r="AT33" i="48"/>
  <c r="AV33" i="48"/>
  <c r="AX33" i="48"/>
  <c r="AZ33" i="48"/>
  <c r="BB33" i="48"/>
  <c r="AH34" i="48"/>
  <c r="AJ34" i="48"/>
  <c r="AL34" i="48"/>
  <c r="AN34" i="48"/>
  <c r="AP34" i="48"/>
  <c r="AT34" i="48"/>
  <c r="AV34" i="48"/>
  <c r="AX34" i="48"/>
  <c r="AZ34" i="48"/>
  <c r="BB34" i="48"/>
  <c r="AH35" i="48"/>
  <c r="AJ35" i="48"/>
  <c r="AL35" i="48"/>
  <c r="AN35" i="48"/>
  <c r="AP35" i="48"/>
  <c r="AT35" i="48"/>
  <c r="AV35" i="48"/>
  <c r="AX35" i="48"/>
  <c r="AZ35" i="48"/>
  <c r="BB35" i="48"/>
  <c r="AG36" i="48"/>
  <c r="AI36" i="48"/>
  <c r="AK36" i="48"/>
  <c r="AM36" i="48"/>
  <c r="AO36" i="48"/>
  <c r="AS36" i="48"/>
  <c r="AU36" i="48"/>
  <c r="AW36" i="48"/>
  <c r="AY36" i="48"/>
  <c r="BA36" i="48"/>
  <c r="AG37" i="48"/>
  <c r="AI37" i="48"/>
  <c r="AK37" i="48"/>
  <c r="AM37" i="48"/>
  <c r="AO37" i="48"/>
  <c r="AS37" i="48"/>
  <c r="AU37" i="48"/>
  <c r="AW37" i="48"/>
  <c r="AY37" i="48"/>
  <c r="BA37" i="48"/>
  <c r="AG40" i="48"/>
  <c r="AI40" i="48"/>
  <c r="AK40" i="48"/>
  <c r="AM40" i="48"/>
  <c r="AO40" i="48"/>
  <c r="AS40" i="48"/>
  <c r="AU40" i="48"/>
  <c r="AW40" i="48"/>
  <c r="AY40" i="48"/>
  <c r="BA40" i="48"/>
  <c r="AG41" i="48"/>
  <c r="AI41" i="48"/>
  <c r="AK41" i="48"/>
  <c r="AM41" i="48"/>
  <c r="AO41" i="48"/>
  <c r="AS41" i="48"/>
  <c r="AU41" i="48"/>
  <c r="AW41" i="48"/>
  <c r="AY41" i="48"/>
  <c r="BA41" i="48"/>
  <c r="AG42" i="48"/>
  <c r="AI42" i="48"/>
  <c r="AK42" i="48"/>
  <c r="AM42" i="48"/>
  <c r="AO42" i="48"/>
  <c r="AS42" i="48"/>
  <c r="AU42" i="48"/>
  <c r="AW42" i="48"/>
  <c r="AY42" i="48"/>
  <c r="BA42" i="48"/>
  <c r="AG43" i="48"/>
  <c r="AI43" i="48"/>
  <c r="AK43" i="48"/>
  <c r="AM43" i="48"/>
  <c r="AO43" i="48"/>
  <c r="AS43" i="48"/>
  <c r="AU43" i="48"/>
  <c r="AW43" i="48"/>
  <c r="AY43" i="48"/>
  <c r="BA43" i="48"/>
  <c r="AG44" i="48"/>
  <c r="AI44" i="48"/>
  <c r="AK44" i="48"/>
  <c r="AM44" i="48"/>
  <c r="AO44" i="48"/>
  <c r="AS44" i="48"/>
  <c r="AU44" i="48"/>
  <c r="AW44" i="48"/>
  <c r="AY44" i="48"/>
  <c r="BA44" i="48"/>
  <c r="AG45" i="48"/>
  <c r="AI45" i="48"/>
  <c r="AK45" i="48"/>
  <c r="AM45" i="48"/>
  <c r="AO45" i="48"/>
  <c r="AS45" i="48"/>
  <c r="AU45" i="48"/>
  <c r="AW45" i="48"/>
  <c r="AY45" i="48"/>
  <c r="BA45" i="48"/>
  <c r="AG46" i="48"/>
  <c r="AI46" i="48"/>
  <c r="AK46" i="48"/>
  <c r="AM46" i="48"/>
  <c r="AO46" i="48"/>
  <c r="AS46" i="48"/>
  <c r="AU46" i="48"/>
  <c r="AW46" i="48"/>
  <c r="AY46" i="48"/>
  <c r="BA46" i="48"/>
  <c r="AG47" i="48"/>
  <c r="AI47" i="48"/>
  <c r="AK47" i="48"/>
  <c r="AM47" i="48"/>
  <c r="AO47" i="48"/>
  <c r="AS47" i="48"/>
  <c r="AU47" i="48"/>
  <c r="AW47" i="48"/>
  <c r="AY47" i="48"/>
  <c r="BA47" i="48"/>
  <c r="AG48" i="48"/>
  <c r="AI48" i="48"/>
  <c r="AK48" i="48"/>
  <c r="AM48" i="48"/>
  <c r="AO48" i="48"/>
  <c r="AS48" i="48"/>
  <c r="AU48" i="48"/>
  <c r="AW48" i="48"/>
  <c r="AY48" i="48"/>
  <c r="BA48" i="48"/>
  <c r="AG51" i="48"/>
  <c r="AI51" i="48"/>
  <c r="AK51" i="48"/>
  <c r="AM51" i="48"/>
  <c r="AO51" i="48"/>
  <c r="AS51" i="48"/>
  <c r="AU51" i="48"/>
  <c r="AW51" i="48"/>
  <c r="AY51" i="48"/>
  <c r="BA51" i="48"/>
  <c r="AG52" i="48"/>
  <c r="AI52" i="48"/>
  <c r="AK52" i="48"/>
  <c r="AM52" i="48"/>
  <c r="AO52" i="48"/>
  <c r="AS52" i="48"/>
  <c r="AU52" i="48"/>
  <c r="AW52" i="48"/>
  <c r="AY52" i="48"/>
  <c r="BA52" i="48"/>
  <c r="AG53" i="48"/>
  <c r="AI53" i="48"/>
  <c r="AK53" i="48"/>
  <c r="AM53" i="48"/>
  <c r="AO53" i="48"/>
  <c r="AS53" i="48"/>
  <c r="AU53" i="48"/>
  <c r="AY53" i="48"/>
  <c r="AG54" i="48"/>
  <c r="AK54" i="48"/>
  <c r="AO54" i="48"/>
  <c r="AU54" i="48"/>
  <c r="AY54" i="48"/>
  <c r="AG55" i="48"/>
  <c r="AK55" i="48"/>
  <c r="AO55" i="48"/>
  <c r="AU55" i="48"/>
  <c r="AY55" i="48"/>
  <c r="I5" i="50"/>
  <c r="I102" i="6" s="1"/>
  <c r="AB103" i="48"/>
  <c r="P119" i="48"/>
  <c r="I15" i="50"/>
  <c r="AB104" i="48"/>
  <c r="R15" i="50" s="1"/>
  <c r="I25" i="50"/>
  <c r="AB105" i="48"/>
  <c r="R25" i="50" s="1"/>
  <c r="AB106" i="48"/>
  <c r="R35" i="50" s="1"/>
  <c r="I35" i="50"/>
  <c r="I45" i="50"/>
  <c r="AB107" i="48"/>
  <c r="R45" i="50" s="1"/>
  <c r="AB108" i="48"/>
  <c r="R55" i="50" s="1"/>
  <c r="I55" i="50"/>
  <c r="I66" i="50"/>
  <c r="AB109" i="48"/>
  <c r="R66" i="50" s="1"/>
  <c r="I76" i="50"/>
  <c r="AB110" i="48"/>
  <c r="R76" i="50" s="1"/>
  <c r="I86" i="50"/>
  <c r="AB111" i="48"/>
  <c r="R86" i="50" s="1"/>
  <c r="I96" i="50"/>
  <c r="AB112" i="48"/>
  <c r="R96" i="50" s="1"/>
  <c r="I106" i="50"/>
  <c r="AB113" i="48"/>
  <c r="R106" i="50" s="1"/>
  <c r="I116" i="50"/>
  <c r="AB114" i="48"/>
  <c r="R116" i="50" s="1"/>
  <c r="I126" i="50"/>
  <c r="AB115" i="48"/>
  <c r="R126" i="50" s="1"/>
  <c r="I136" i="50"/>
  <c r="AB116" i="48"/>
  <c r="R136" i="50" s="1"/>
  <c r="I146" i="50"/>
  <c r="AB117" i="48"/>
  <c r="R146" i="50" s="1"/>
  <c r="I156" i="50"/>
  <c r="AB118" i="48"/>
  <c r="R156" i="50" s="1"/>
  <c r="AG59" i="48"/>
  <c r="AG58" i="48"/>
  <c r="AG57" i="48"/>
  <c r="AI59" i="48"/>
  <c r="AI58" i="48"/>
  <c r="AI57" i="48"/>
  <c r="AK59" i="48"/>
  <c r="AK58" i="48"/>
  <c r="AK57" i="48"/>
  <c r="AM59" i="48"/>
  <c r="AM58" i="48"/>
  <c r="AM57" i="48"/>
  <c r="AO59" i="48"/>
  <c r="AO58" i="48"/>
  <c r="AO57" i="48"/>
  <c r="AS59" i="48"/>
  <c r="AS58" i="48"/>
  <c r="AS57" i="48"/>
  <c r="AU59" i="48"/>
  <c r="AU58" i="48"/>
  <c r="AU57" i="48"/>
  <c r="AW59" i="48"/>
  <c r="AW58" i="48"/>
  <c r="AW57" i="48"/>
  <c r="AY59" i="48"/>
  <c r="AY58" i="48"/>
  <c r="AY57" i="48"/>
  <c r="BA59" i="48"/>
  <c r="BA58" i="48"/>
  <c r="BA57" i="48"/>
  <c r="BA56" i="48"/>
  <c r="M105" i="48"/>
  <c r="M103" i="48"/>
  <c r="F5" i="50" s="1"/>
  <c r="F102" i="6" s="1"/>
  <c r="M118" i="48"/>
  <c r="F156" i="50" s="1"/>
  <c r="M117" i="48"/>
  <c r="M116" i="48"/>
  <c r="M115" i="48"/>
  <c r="M114" i="48"/>
  <c r="M113" i="48"/>
  <c r="F106" i="50" s="1"/>
  <c r="M112" i="48"/>
  <c r="F96" i="50" s="1"/>
  <c r="M111" i="48"/>
  <c r="M110" i="48"/>
  <c r="F76" i="50" s="1"/>
  <c r="M109" i="48"/>
  <c r="M108" i="48"/>
  <c r="F55" i="50" s="1"/>
  <c r="M107" i="48"/>
  <c r="M106" i="48"/>
  <c r="F35" i="50" s="1"/>
  <c r="M104" i="48"/>
  <c r="L5" i="50"/>
  <c r="L102" i="6" s="1"/>
  <c r="AP9" i="49"/>
  <c r="AP12" i="49" s="1"/>
  <c r="S6" i="50" s="1"/>
  <c r="S103" i="6" s="1"/>
  <c r="AD12" i="49"/>
  <c r="J6" i="50" s="1"/>
  <c r="J103" i="6" s="1"/>
  <c r="AD26" i="49"/>
  <c r="J36" i="50" s="1"/>
  <c r="AP24" i="49"/>
  <c r="AP26" i="49" s="1"/>
  <c r="S36" i="50" s="1"/>
  <c r="AP34" i="49"/>
  <c r="AP35" i="49" s="1"/>
  <c r="S56" i="50" s="1"/>
  <c r="AD35" i="49"/>
  <c r="J56" i="50" s="1"/>
  <c r="AO48" i="49"/>
  <c r="AO49" i="49" s="1"/>
  <c r="R87" i="50" s="1"/>
  <c r="AC49" i="49"/>
  <c r="I87" i="50" s="1"/>
  <c r="AP52" i="49"/>
  <c r="AP53" i="49" s="1"/>
  <c r="S97" i="50" s="1"/>
  <c r="AD53" i="49"/>
  <c r="J97" i="50" s="1"/>
  <c r="AO65" i="49"/>
  <c r="AO66" i="49" s="1"/>
  <c r="R127" i="50" s="1"/>
  <c r="AC66" i="49"/>
  <c r="I127" i="50" s="1"/>
  <c r="AC80" i="49"/>
  <c r="I157" i="50" s="1"/>
  <c r="AO79" i="49"/>
  <c r="AO80" i="49" s="1"/>
  <c r="R157" i="50" s="1"/>
  <c r="AG29" i="48"/>
  <c r="AI29" i="48"/>
  <c r="AK29" i="48"/>
  <c r="AM29" i="48"/>
  <c r="AO29" i="48"/>
  <c r="AS29" i="48"/>
  <c r="AU29" i="48"/>
  <c r="AW29" i="48"/>
  <c r="AY29" i="48"/>
  <c r="BA29" i="48"/>
  <c r="AG30" i="48"/>
  <c r="AI30" i="48"/>
  <c r="AK30" i="48"/>
  <c r="AM30" i="48"/>
  <c r="AO30" i="48"/>
  <c r="AS30" i="48"/>
  <c r="AU30" i="48"/>
  <c r="AW30" i="48"/>
  <c r="AY30" i="48"/>
  <c r="BA30" i="48"/>
  <c r="AG31" i="48"/>
  <c r="AI31" i="48"/>
  <c r="AK31" i="48"/>
  <c r="AM31" i="48"/>
  <c r="AO31" i="48"/>
  <c r="AS31" i="48"/>
  <c r="AU31" i="48"/>
  <c r="AW31" i="48"/>
  <c r="AY31" i="48"/>
  <c r="BA31" i="48"/>
  <c r="AG32" i="48"/>
  <c r="AI32" i="48"/>
  <c r="AK32" i="48"/>
  <c r="AM32" i="48"/>
  <c r="AO32" i="48"/>
  <c r="AS32" i="48"/>
  <c r="AU32" i="48"/>
  <c r="AW32" i="48"/>
  <c r="AY32" i="48"/>
  <c r="BA32" i="48"/>
  <c r="AG33" i="48"/>
  <c r="AI33" i="48"/>
  <c r="AK33" i="48"/>
  <c r="AM33" i="48"/>
  <c r="AO33" i="48"/>
  <c r="AS33" i="48"/>
  <c r="AU33" i="48"/>
  <c r="AW33" i="48"/>
  <c r="AY33" i="48"/>
  <c r="BA33" i="48"/>
  <c r="AG34" i="48"/>
  <c r="AI34" i="48"/>
  <c r="AK34" i="48"/>
  <c r="AM34" i="48"/>
  <c r="AO34" i="48"/>
  <c r="AS34" i="48"/>
  <c r="AU34" i="48"/>
  <c r="AW34" i="48"/>
  <c r="AY34" i="48"/>
  <c r="BA34" i="48"/>
  <c r="AG35" i="48"/>
  <c r="AI35" i="48"/>
  <c r="AK35" i="48"/>
  <c r="AM35" i="48"/>
  <c r="AO35" i="48"/>
  <c r="AS35" i="48"/>
  <c r="AU35" i="48"/>
  <c r="AW35" i="48"/>
  <c r="AY35" i="48"/>
  <c r="BA35" i="48"/>
  <c r="AH36" i="48"/>
  <c r="AJ36" i="48"/>
  <c r="AL36" i="48"/>
  <c r="AN36" i="48"/>
  <c r="AP36" i="48"/>
  <c r="AT36" i="48"/>
  <c r="AV36" i="48"/>
  <c r="AX36" i="48"/>
  <c r="AZ36" i="48"/>
  <c r="BB36" i="48"/>
  <c r="AH37" i="48"/>
  <c r="AJ37" i="48"/>
  <c r="AL37" i="48"/>
  <c r="AN37" i="48"/>
  <c r="AP37" i="48"/>
  <c r="AT37" i="48"/>
  <c r="AV37" i="48"/>
  <c r="AX37" i="48"/>
  <c r="AZ37" i="48"/>
  <c r="BB37" i="48"/>
  <c r="AH40" i="48"/>
  <c r="AJ40" i="48"/>
  <c r="AL40" i="48"/>
  <c r="AN40" i="48"/>
  <c r="AP40" i="48"/>
  <c r="AT40" i="48"/>
  <c r="AV40" i="48"/>
  <c r="AX40" i="48"/>
  <c r="AZ40" i="48"/>
  <c r="BB40" i="48"/>
  <c r="AH41" i="48"/>
  <c r="AJ41" i="48"/>
  <c r="AL41" i="48"/>
  <c r="AN41" i="48"/>
  <c r="AP41" i="48"/>
  <c r="AT41" i="48"/>
  <c r="AV41" i="48"/>
  <c r="AX41" i="48"/>
  <c r="AZ41" i="48"/>
  <c r="BB41" i="48"/>
  <c r="AH42" i="48"/>
  <c r="AJ42" i="48"/>
  <c r="AL42" i="48"/>
  <c r="AN42" i="48"/>
  <c r="AP42" i="48"/>
  <c r="AT42" i="48"/>
  <c r="AV42" i="48"/>
  <c r="AX42" i="48"/>
  <c r="AZ42" i="48"/>
  <c r="BB42" i="48"/>
  <c r="AH43" i="48"/>
  <c r="AJ43" i="48"/>
  <c r="AL43" i="48"/>
  <c r="AN43" i="48"/>
  <c r="AP43" i="48"/>
  <c r="AT43" i="48"/>
  <c r="AV43" i="48"/>
  <c r="AX43" i="48"/>
  <c r="AZ43" i="48"/>
  <c r="BB43" i="48"/>
  <c r="AH44" i="48"/>
  <c r="AJ44" i="48"/>
  <c r="AL44" i="48"/>
  <c r="AN44" i="48"/>
  <c r="AP44" i="48"/>
  <c r="AT44" i="48"/>
  <c r="AV44" i="48"/>
  <c r="AX44" i="48"/>
  <c r="AZ44" i="48"/>
  <c r="BB44" i="48"/>
  <c r="AH45" i="48"/>
  <c r="AJ45" i="48"/>
  <c r="AL45" i="48"/>
  <c r="AN45" i="48"/>
  <c r="AP45" i="48"/>
  <c r="AT45" i="48"/>
  <c r="AV45" i="48"/>
  <c r="AX45" i="48"/>
  <c r="AZ45" i="48"/>
  <c r="BB45" i="48"/>
  <c r="AH46" i="48"/>
  <c r="AJ46" i="48"/>
  <c r="AL46" i="48"/>
  <c r="AN46" i="48"/>
  <c r="AP46" i="48"/>
  <c r="AT46" i="48"/>
  <c r="AV46" i="48"/>
  <c r="AX46" i="48"/>
  <c r="AZ46" i="48"/>
  <c r="BB46" i="48"/>
  <c r="AH47" i="48"/>
  <c r="AJ47" i="48"/>
  <c r="AL47" i="48"/>
  <c r="AN47" i="48"/>
  <c r="AP47" i="48"/>
  <c r="AT47" i="48"/>
  <c r="AV47" i="48"/>
  <c r="AX47" i="48"/>
  <c r="AZ47" i="48"/>
  <c r="BB47" i="48"/>
  <c r="AH48" i="48"/>
  <c r="AJ48" i="48"/>
  <c r="AL48" i="48"/>
  <c r="AN48" i="48"/>
  <c r="AP48" i="48"/>
  <c r="AT48" i="48"/>
  <c r="AV48" i="48"/>
  <c r="AX48" i="48"/>
  <c r="AZ48" i="48"/>
  <c r="BB48" i="48"/>
  <c r="AH51" i="48"/>
  <c r="AJ51" i="48"/>
  <c r="AL51" i="48"/>
  <c r="AN51" i="48"/>
  <c r="AP51" i="48"/>
  <c r="AT51" i="48"/>
  <c r="AV51" i="48"/>
  <c r="AX51" i="48"/>
  <c r="AZ51" i="48"/>
  <c r="BB51" i="48"/>
  <c r="AH52" i="48"/>
  <c r="AJ52" i="48"/>
  <c r="AL52" i="48"/>
  <c r="AN52" i="48"/>
  <c r="AP52" i="48"/>
  <c r="AT52" i="48"/>
  <c r="AV52" i="48"/>
  <c r="AX52" i="48"/>
  <c r="AZ52" i="48"/>
  <c r="BB52" i="48"/>
  <c r="AH53" i="48"/>
  <c r="AJ53" i="48"/>
  <c r="AL53" i="48"/>
  <c r="AN53" i="48"/>
  <c r="AP53" i="48"/>
  <c r="AT53" i="48"/>
  <c r="AV53" i="48"/>
  <c r="AX53" i="48"/>
  <c r="AZ53" i="48"/>
  <c r="BB53" i="48"/>
  <c r="AH54" i="48"/>
  <c r="AJ54" i="48"/>
  <c r="AL54" i="48"/>
  <c r="AN54" i="48"/>
  <c r="AP54" i="48"/>
  <c r="AT54" i="48"/>
  <c r="AW54" i="48"/>
  <c r="BA54" i="48"/>
  <c r="AI55" i="48"/>
  <c r="AM55" i="48"/>
  <c r="AS55" i="48"/>
  <c r="AW55" i="48"/>
  <c r="BA55" i="48"/>
  <c r="AI56" i="48"/>
  <c r="AM56" i="48"/>
  <c r="AS56" i="48"/>
  <c r="AW56" i="48"/>
  <c r="F25" i="50"/>
  <c r="F45" i="50"/>
  <c r="F66" i="50"/>
  <c r="S105" i="48"/>
  <c r="K25" i="50" s="1"/>
  <c r="U106" i="48"/>
  <c r="M35" i="50" s="1"/>
  <c r="W106" i="48"/>
  <c r="AA106" i="48"/>
  <c r="Q35" i="50" s="1"/>
  <c r="S107" i="48"/>
  <c r="K45" i="50" s="1"/>
  <c r="U107" i="48"/>
  <c r="M45" i="50" s="1"/>
  <c r="W107" i="48"/>
  <c r="AA107" i="48"/>
  <c r="Q45" i="50" s="1"/>
  <c r="S108" i="48"/>
  <c r="K55" i="50" s="1"/>
  <c r="U108" i="48"/>
  <c r="M55" i="50" s="1"/>
  <c r="W108" i="48"/>
  <c r="AA108" i="48"/>
  <c r="Q55" i="50" s="1"/>
  <c r="S109" i="48"/>
  <c r="K66" i="50" s="1"/>
  <c r="U109" i="48"/>
  <c r="M66" i="50" s="1"/>
  <c r="W109" i="48"/>
  <c r="AA109" i="48"/>
  <c r="Q66" i="50" s="1"/>
  <c r="S110" i="48"/>
  <c r="K76" i="50" s="1"/>
  <c r="U110" i="48"/>
  <c r="M76" i="50" s="1"/>
  <c r="W110" i="48"/>
  <c r="AA110" i="48"/>
  <c r="Q76" i="50" s="1"/>
  <c r="F86" i="50"/>
  <c r="S111" i="48"/>
  <c r="K86" i="50" s="1"/>
  <c r="U111" i="48"/>
  <c r="M86" i="50" s="1"/>
  <c r="W111" i="48"/>
  <c r="AA111" i="48"/>
  <c r="Q86" i="50" s="1"/>
  <c r="S112" i="48"/>
  <c r="K96" i="50" s="1"/>
  <c r="U112" i="48"/>
  <c r="M96" i="50" s="1"/>
  <c r="W112" i="48"/>
  <c r="AA112" i="48"/>
  <c r="Q96" i="50" s="1"/>
  <c r="S113" i="48"/>
  <c r="K106" i="50" s="1"/>
  <c r="U113" i="48"/>
  <c r="M106" i="50" s="1"/>
  <c r="W113" i="48"/>
  <c r="AA113" i="48"/>
  <c r="Q106" i="50" s="1"/>
  <c r="F116" i="50"/>
  <c r="S114" i="48"/>
  <c r="K116" i="50" s="1"/>
  <c r="U114" i="48"/>
  <c r="M116" i="50" s="1"/>
  <c r="W114" i="48"/>
  <c r="AA114" i="48"/>
  <c r="Q116" i="50" s="1"/>
  <c r="F126" i="50"/>
  <c r="S115" i="48"/>
  <c r="K126" i="50" s="1"/>
  <c r="U115" i="48"/>
  <c r="M126" i="50" s="1"/>
  <c r="W115" i="48"/>
  <c r="AA115" i="48"/>
  <c r="Q126" i="50" s="1"/>
  <c r="F136" i="50"/>
  <c r="S116" i="48"/>
  <c r="K136" i="50" s="1"/>
  <c r="U116" i="48"/>
  <c r="M136" i="50" s="1"/>
  <c r="W116" i="48"/>
  <c r="AA116" i="48"/>
  <c r="Q136" i="50" s="1"/>
  <c r="F146" i="50"/>
  <c r="S117" i="48"/>
  <c r="K146" i="50" s="1"/>
  <c r="U117" i="48"/>
  <c r="M146" i="50" s="1"/>
  <c r="W117" i="48"/>
  <c r="AA117" i="48"/>
  <c r="Q146" i="50" s="1"/>
  <c r="S118" i="48"/>
  <c r="K156" i="50" s="1"/>
  <c r="U118" i="48"/>
  <c r="M156" i="50" s="1"/>
  <c r="W118" i="48"/>
  <c r="AA118" i="48"/>
  <c r="Q156" i="50" s="1"/>
  <c r="H119" i="48"/>
  <c r="J119" i="48"/>
  <c r="L119" i="48"/>
  <c r="AG9" i="49"/>
  <c r="AG12" i="49" s="1"/>
  <c r="M6" i="50" s="1"/>
  <c r="M103" i="6" s="1"/>
  <c r="AI9" i="49"/>
  <c r="AK9" i="49"/>
  <c r="AK12" i="49" s="1"/>
  <c r="AM9" i="49"/>
  <c r="AO9" i="49"/>
  <c r="AO12" i="49" s="1"/>
  <c r="R6" i="50" s="1"/>
  <c r="R103" i="6" s="1"/>
  <c r="AL10" i="49"/>
  <c r="T12" i="49"/>
  <c r="C6" i="50" s="1"/>
  <c r="C103" i="6" s="1"/>
  <c r="V12" i="49"/>
  <c r="B6" i="50" s="1"/>
  <c r="B103" i="6" s="1"/>
  <c r="X12" i="49"/>
  <c r="AB12" i="49"/>
  <c r="H6" i="50" s="1"/>
  <c r="H103" i="6" s="1"/>
  <c r="AF15" i="49"/>
  <c r="AF16" i="49" s="1"/>
  <c r="L16" i="50" s="1"/>
  <c r="AH15" i="49"/>
  <c r="AH16" i="49" s="1"/>
  <c r="K16" i="50" s="1"/>
  <c r="AJ15" i="49"/>
  <c r="AJ16" i="49" s="1"/>
  <c r="AL15" i="49"/>
  <c r="AL16" i="49" s="1"/>
  <c r="AN15" i="49"/>
  <c r="AN16" i="49" s="1"/>
  <c r="Q16" i="50" s="1"/>
  <c r="AP15" i="49"/>
  <c r="AP16" i="49" s="1"/>
  <c r="S16" i="50" s="1"/>
  <c r="AG19" i="49"/>
  <c r="AG21" i="49" s="1"/>
  <c r="M26" i="50" s="1"/>
  <c r="AI19" i="49"/>
  <c r="AI21" i="49" s="1"/>
  <c r="N26" i="50" s="1"/>
  <c r="AK19" i="49"/>
  <c r="AK21" i="49" s="1"/>
  <c r="AO19" i="49"/>
  <c r="AO21" i="49" s="1"/>
  <c r="R26" i="50" s="1"/>
  <c r="AL20" i="49"/>
  <c r="AG24" i="49"/>
  <c r="AG26" i="49" s="1"/>
  <c r="M36" i="50" s="1"/>
  <c r="AI24" i="49"/>
  <c r="AI26" i="49" s="1"/>
  <c r="N36" i="50" s="1"/>
  <c r="AK24" i="49"/>
  <c r="AK26" i="49" s="1"/>
  <c r="AO24" i="49"/>
  <c r="AO26" i="49" s="1"/>
  <c r="R36" i="50" s="1"/>
  <c r="AL25" i="49"/>
  <c r="AG29" i="49"/>
  <c r="AG31" i="49" s="1"/>
  <c r="M46" i="50" s="1"/>
  <c r="AI29" i="49"/>
  <c r="AI31" i="49" s="1"/>
  <c r="N46" i="50" s="1"/>
  <c r="AK29" i="49"/>
  <c r="AK31" i="49" s="1"/>
  <c r="AO29" i="49"/>
  <c r="AO31" i="49" s="1"/>
  <c r="R46" i="50" s="1"/>
  <c r="AL30" i="49"/>
  <c r="AG34" i="49"/>
  <c r="AG35" i="49" s="1"/>
  <c r="M56" i="50" s="1"/>
  <c r="AI34" i="49"/>
  <c r="AI35" i="49" s="1"/>
  <c r="N56" i="50" s="1"/>
  <c r="AK34" i="49"/>
  <c r="AK35" i="49" s="1"/>
  <c r="AO34" i="49"/>
  <c r="AO35" i="49" s="1"/>
  <c r="R56" i="50" s="1"/>
  <c r="AF38" i="49"/>
  <c r="AF41" i="49" s="1"/>
  <c r="L67" i="50" s="1"/>
  <c r="AH38" i="49"/>
  <c r="AJ38" i="49"/>
  <c r="AJ41" i="49" s="1"/>
  <c r="AL38" i="49"/>
  <c r="AN38" i="49"/>
  <c r="AN41" i="49" s="1"/>
  <c r="Q67" i="50" s="1"/>
  <c r="AP38" i="49"/>
  <c r="AP41" i="49" s="1"/>
  <c r="S67" i="50" s="1"/>
  <c r="AL40" i="49"/>
  <c r="U41" i="49"/>
  <c r="D67" i="50" s="1"/>
  <c r="W41" i="49"/>
  <c r="E67" i="50" s="1"/>
  <c r="Y41" i="49"/>
  <c r="AG44" i="49"/>
  <c r="AG45" i="49" s="1"/>
  <c r="M77" i="50" s="1"/>
  <c r="AI44" i="49"/>
  <c r="AI45" i="49" s="1"/>
  <c r="N77" i="50" s="1"/>
  <c r="AK44" i="49"/>
  <c r="AK45" i="49" s="1"/>
  <c r="AM44" i="49"/>
  <c r="AM45" i="49" s="1"/>
  <c r="AO44" i="49"/>
  <c r="AO45" i="49" s="1"/>
  <c r="R77" i="50" s="1"/>
  <c r="AF48" i="49"/>
  <c r="AF49" i="49" s="1"/>
  <c r="L87" i="50" s="1"/>
  <c r="AH48" i="49"/>
  <c r="AH49" i="49" s="1"/>
  <c r="K87" i="50" s="1"/>
  <c r="AJ48" i="49"/>
  <c r="AJ49" i="49" s="1"/>
  <c r="AN48" i="49"/>
  <c r="AN49" i="49" s="1"/>
  <c r="Q87" i="50" s="1"/>
  <c r="AP48" i="49"/>
  <c r="AP49" i="49" s="1"/>
  <c r="S87" i="50" s="1"/>
  <c r="AG52" i="49"/>
  <c r="AG53" i="49" s="1"/>
  <c r="M97" i="50" s="1"/>
  <c r="AI52" i="49"/>
  <c r="AI53" i="49" s="1"/>
  <c r="N97" i="50" s="1"/>
  <c r="AK52" i="49"/>
  <c r="AK53" i="49" s="1"/>
  <c r="AM52" i="49"/>
  <c r="AM53" i="49" s="1"/>
  <c r="AO52" i="49"/>
  <c r="AO53" i="49" s="1"/>
  <c r="R97" i="50" s="1"/>
  <c r="AF56" i="49"/>
  <c r="AF58" i="49" s="1"/>
  <c r="L107" i="50" s="1"/>
  <c r="AH56" i="49"/>
  <c r="AH58" i="49" s="1"/>
  <c r="K107" i="50" s="1"/>
  <c r="AJ56" i="49"/>
  <c r="AJ58" i="49" s="1"/>
  <c r="AL56" i="49"/>
  <c r="AL58" i="49" s="1"/>
  <c r="AN56" i="49"/>
  <c r="AN58" i="49" s="1"/>
  <c r="Q107" i="50" s="1"/>
  <c r="AP56" i="49"/>
  <c r="AP58" i="49" s="1"/>
  <c r="S107" i="50" s="1"/>
  <c r="U58" i="49"/>
  <c r="D107" i="50" s="1"/>
  <c r="W58" i="49"/>
  <c r="E107" i="50" s="1"/>
  <c r="Y58" i="49"/>
  <c r="AG61" i="49"/>
  <c r="AG62" i="49" s="1"/>
  <c r="M117" i="50" s="1"/>
  <c r="AI61" i="49"/>
  <c r="AI62" i="49" s="1"/>
  <c r="N117" i="50" s="1"/>
  <c r="AK61" i="49"/>
  <c r="AK62" i="49" s="1"/>
  <c r="AO61" i="49"/>
  <c r="AO62" i="49" s="1"/>
  <c r="R117" i="50" s="1"/>
  <c r="AF65" i="49"/>
  <c r="AF66" i="49" s="1"/>
  <c r="L127" i="50" s="1"/>
  <c r="AH65" i="49"/>
  <c r="AH66" i="49" s="1"/>
  <c r="K127" i="50" s="1"/>
  <c r="AJ65" i="49"/>
  <c r="AJ66" i="49" s="1"/>
  <c r="AL65" i="49"/>
  <c r="AL66" i="49" s="1"/>
  <c r="AN65" i="49"/>
  <c r="AN66" i="49" s="1"/>
  <c r="Q127" i="50" s="1"/>
  <c r="AP65" i="49"/>
  <c r="AP66" i="49" s="1"/>
  <c r="S127" i="50" s="1"/>
  <c r="U66" i="49"/>
  <c r="D127" i="50" s="1"/>
  <c r="W66" i="49"/>
  <c r="E127" i="50" s="1"/>
  <c r="Y66" i="49"/>
  <c r="AG69" i="49"/>
  <c r="AG70" i="49" s="1"/>
  <c r="M137" i="50" s="1"/>
  <c r="AI69" i="49"/>
  <c r="AI70" i="49" s="1"/>
  <c r="N137" i="50" s="1"/>
  <c r="AK69" i="49"/>
  <c r="AK70" i="49" s="1"/>
  <c r="AO69" i="49"/>
  <c r="AO70" i="49" s="1"/>
  <c r="R137" i="50" s="1"/>
  <c r="T70" i="49"/>
  <c r="C137" i="50" s="1"/>
  <c r="V70" i="49"/>
  <c r="B137" i="50" s="1"/>
  <c r="X70" i="49"/>
  <c r="AB70" i="49"/>
  <c r="H137" i="50" s="1"/>
  <c r="AF73" i="49"/>
  <c r="AF76" i="49" s="1"/>
  <c r="L147" i="50" s="1"/>
  <c r="AH73" i="49"/>
  <c r="AH76" i="49" s="1"/>
  <c r="K147" i="50" s="1"/>
  <c r="AJ73" i="49"/>
  <c r="AJ76" i="49" s="1"/>
  <c r="AL73" i="49"/>
  <c r="AL76" i="49" s="1"/>
  <c r="AN73" i="49"/>
  <c r="AN76" i="49" s="1"/>
  <c r="Q147" i="50" s="1"/>
  <c r="AP73" i="49"/>
  <c r="AP76" i="49" s="1"/>
  <c r="S147" i="50" s="1"/>
  <c r="AL75" i="49"/>
  <c r="U76" i="49"/>
  <c r="D147" i="50" s="1"/>
  <c r="W76" i="49"/>
  <c r="E147" i="50" s="1"/>
  <c r="Y76" i="49"/>
  <c r="AA79" i="49"/>
  <c r="AG79" i="49"/>
  <c r="AG80" i="49" s="1"/>
  <c r="M157" i="50" s="1"/>
  <c r="AI79" i="49"/>
  <c r="AI80" i="49" s="1"/>
  <c r="N157" i="50" s="1"/>
  <c r="AK79" i="49"/>
  <c r="AK80" i="49" s="1"/>
  <c r="T80" i="49"/>
  <c r="C157" i="50" s="1"/>
  <c r="V80" i="49"/>
  <c r="B157" i="50" s="1"/>
  <c r="X80" i="49"/>
  <c r="Z80" i="49"/>
  <c r="AB80" i="49"/>
  <c r="H157" i="50" s="1"/>
  <c r="B5" i="50"/>
  <c r="B102" i="6" s="1"/>
  <c r="D5" i="50"/>
  <c r="D102" i="6" s="1"/>
  <c r="H5" i="50"/>
  <c r="H102" i="6" s="1"/>
  <c r="C15" i="50"/>
  <c r="D25" i="50"/>
  <c r="C35" i="50"/>
  <c r="E35" i="50"/>
  <c r="D45" i="50"/>
  <c r="E55" i="50"/>
  <c r="D66" i="50"/>
  <c r="E76" i="50"/>
  <c r="V103" i="48"/>
  <c r="X103" i="48"/>
  <c r="U104" i="48"/>
  <c r="M15" i="50" s="1"/>
  <c r="W104" i="48"/>
  <c r="AA104" i="48"/>
  <c r="Q15" i="50" s="1"/>
  <c r="V105" i="48"/>
  <c r="N25" i="50" s="1"/>
  <c r="X105" i="48"/>
  <c r="V107" i="48"/>
  <c r="N45" i="50" s="1"/>
  <c r="X107" i="48"/>
  <c r="T108" i="48"/>
  <c r="L55" i="50" s="1"/>
  <c r="V109" i="48"/>
  <c r="N66" i="50" s="1"/>
  <c r="X109" i="48"/>
  <c r="T110" i="48"/>
  <c r="L76" i="50" s="1"/>
  <c r="X110" i="48"/>
  <c r="T111" i="48"/>
  <c r="L86" i="50" s="1"/>
  <c r="V111" i="48"/>
  <c r="N86" i="50" s="1"/>
  <c r="X111" i="48"/>
  <c r="T112" i="48"/>
  <c r="L96" i="50" s="1"/>
  <c r="V112" i="48"/>
  <c r="N96" i="50" s="1"/>
  <c r="X112" i="48"/>
  <c r="T113" i="48"/>
  <c r="L106" i="50" s="1"/>
  <c r="V113" i="48"/>
  <c r="N106" i="50" s="1"/>
  <c r="X113" i="48"/>
  <c r="T114" i="48"/>
  <c r="L116" i="50" s="1"/>
  <c r="V114" i="48"/>
  <c r="N116" i="50" s="1"/>
  <c r="X114" i="48"/>
  <c r="T115" i="48"/>
  <c r="L126" i="50" s="1"/>
  <c r="V115" i="48"/>
  <c r="N126" i="50" s="1"/>
  <c r="X115" i="48"/>
  <c r="T116" i="48"/>
  <c r="L136" i="50" s="1"/>
  <c r="V116" i="48"/>
  <c r="N136" i="50" s="1"/>
  <c r="X116" i="48"/>
  <c r="T117" i="48"/>
  <c r="L146" i="50" s="1"/>
  <c r="V117" i="48"/>
  <c r="N146" i="50" s="1"/>
  <c r="X117" i="48"/>
  <c r="T118" i="48"/>
  <c r="L156" i="50" s="1"/>
  <c r="V118" i="48"/>
  <c r="N156" i="50" s="1"/>
  <c r="X118" i="48"/>
  <c r="G119" i="48"/>
  <c r="AA15" i="49"/>
  <c r="AF19" i="49"/>
  <c r="AH19" i="49"/>
  <c r="AJ19" i="49"/>
  <c r="AJ21" i="49" s="1"/>
  <c r="AL19" i="49"/>
  <c r="AN19" i="49"/>
  <c r="AN21" i="49" s="1"/>
  <c r="Q26" i="50" s="1"/>
  <c r="AF24" i="49"/>
  <c r="AF26" i="49" s="1"/>
  <c r="L36" i="50" s="1"/>
  <c r="AH24" i="49"/>
  <c r="AH26" i="49" s="1"/>
  <c r="K36" i="50" s="1"/>
  <c r="AJ24" i="49"/>
  <c r="AJ26" i="49" s="1"/>
  <c r="AN24" i="49"/>
  <c r="AN26" i="49" s="1"/>
  <c r="Q36" i="50" s="1"/>
  <c r="AF29" i="49"/>
  <c r="AF31" i="49" s="1"/>
  <c r="L46" i="50" s="1"/>
  <c r="AH29" i="49"/>
  <c r="AH31" i="49" s="1"/>
  <c r="K46" i="50" s="1"/>
  <c r="AJ29" i="49"/>
  <c r="AJ31" i="49" s="1"/>
  <c r="AL29" i="49"/>
  <c r="AL31" i="49" s="1"/>
  <c r="AN29" i="49"/>
  <c r="AN31" i="49" s="1"/>
  <c r="Q46" i="50" s="1"/>
  <c r="AA38" i="49"/>
  <c r="AA56" i="49"/>
  <c r="AA65" i="49"/>
  <c r="AA73" i="49"/>
  <c r="AA94" i="49"/>
  <c r="AM94" i="49" s="1"/>
  <c r="D35" i="50"/>
  <c r="O107" i="50" l="1"/>
  <c r="Z21" i="49"/>
  <c r="F26" i="50" s="1"/>
  <c r="AA19" i="49"/>
  <c r="AA48" i="49"/>
  <c r="AA49" i="49" s="1"/>
  <c r="G87" i="50" s="1"/>
  <c r="AF21" i="49"/>
  <c r="L26" i="50" s="1"/>
  <c r="O127" i="50"/>
  <c r="AL48" i="49"/>
  <c r="AL49" i="49" s="1"/>
  <c r="O87" i="50" s="1"/>
  <c r="AL21" i="49"/>
  <c r="AL12" i="49"/>
  <c r="O6" i="50" s="1"/>
  <c r="O103" i="6" s="1"/>
  <c r="F117" i="50"/>
  <c r="AL39" i="49"/>
  <c r="AL41" i="49" s="1"/>
  <c r="O67" i="50" s="1"/>
  <c r="AA39" i="49"/>
  <c r="AM39" i="49" s="1"/>
  <c r="AL61" i="49"/>
  <c r="AL62" i="49" s="1"/>
  <c r="AA61" i="49"/>
  <c r="Z62" i="49"/>
  <c r="AH41" i="49"/>
  <c r="K67" i="50" s="1"/>
  <c r="Z12" i="49"/>
  <c r="AI12" i="49"/>
  <c r="N6" i="50" s="1"/>
  <c r="N103" i="6" s="1"/>
  <c r="F97" i="50"/>
  <c r="AL11" i="49"/>
  <c r="AA11" i="49"/>
  <c r="AM11" i="49" s="1"/>
  <c r="AM12" i="49" s="1"/>
  <c r="P6" i="50" s="1"/>
  <c r="P103" i="6" s="1"/>
  <c r="Z31" i="49"/>
  <c r="F46" i="50" s="1"/>
  <c r="AA29" i="49"/>
  <c r="AL69" i="49"/>
  <c r="AL70" i="49" s="1"/>
  <c r="O137" i="50" s="1"/>
  <c r="AA69" i="49"/>
  <c r="F56" i="50"/>
  <c r="AH21" i="49"/>
  <c r="K26" i="50" s="1"/>
  <c r="F137" i="50"/>
  <c r="AK41" i="49"/>
  <c r="AL74" i="49"/>
  <c r="AA74" i="49"/>
  <c r="AM74" i="49" s="1"/>
  <c r="F67" i="50"/>
  <c r="AL34" i="49"/>
  <c r="AL35" i="49" s="1"/>
  <c r="O56" i="50" s="1"/>
  <c r="Z35" i="49"/>
  <c r="AA34" i="49"/>
  <c r="Z41" i="49"/>
  <c r="AI41" i="49"/>
  <c r="N67" i="50" s="1"/>
  <c r="Z26" i="49"/>
  <c r="F36" i="50" s="1"/>
  <c r="AA24" i="49"/>
  <c r="O16" i="50"/>
  <c r="O36" i="50"/>
  <c r="O117" i="50"/>
  <c r="K134" i="47"/>
  <c r="W46" i="47"/>
  <c r="H141" i="47"/>
  <c r="H148" i="47" s="1"/>
  <c r="T53" i="47"/>
  <c r="F154" i="47"/>
  <c r="R66" i="47"/>
  <c r="F134" i="47"/>
  <c r="R46" i="47"/>
  <c r="X19" i="45"/>
  <c r="L53" i="45"/>
  <c r="L107" i="47"/>
  <c r="X19" i="47"/>
  <c r="L119" i="47"/>
  <c r="X31" i="47"/>
  <c r="X89" i="47"/>
  <c r="L177" i="47"/>
  <c r="J28" i="45"/>
  <c r="I62" i="45"/>
  <c r="U28" i="45"/>
  <c r="J25" i="47"/>
  <c r="I113" i="47"/>
  <c r="U25" i="47"/>
  <c r="J37" i="47"/>
  <c r="I125" i="47"/>
  <c r="U37" i="47"/>
  <c r="J83" i="47"/>
  <c r="U83" i="47"/>
  <c r="I171" i="47"/>
  <c r="M19" i="45"/>
  <c r="S19" i="45"/>
  <c r="G53" i="45"/>
  <c r="M19" i="47"/>
  <c r="G107" i="47"/>
  <c r="S19" i="47"/>
  <c r="M31" i="47"/>
  <c r="G119" i="47"/>
  <c r="S31" i="47"/>
  <c r="M60" i="47"/>
  <c r="Y60" i="47" s="1"/>
  <c r="S60" i="47"/>
  <c r="M89" i="47"/>
  <c r="S89" i="47"/>
  <c r="G177" i="47"/>
  <c r="E62" i="45"/>
  <c r="Q28" i="45"/>
  <c r="E113" i="47"/>
  <c r="Q25" i="47"/>
  <c r="E125" i="47"/>
  <c r="Q37" i="47"/>
  <c r="Q83" i="47"/>
  <c r="E171" i="47"/>
  <c r="L52" i="45"/>
  <c r="X18" i="45"/>
  <c r="L170" i="47"/>
  <c r="X82" i="47"/>
  <c r="J18" i="47"/>
  <c r="I106" i="47"/>
  <c r="U18" i="47"/>
  <c r="M18" i="45"/>
  <c r="S18" i="45"/>
  <c r="G52" i="45"/>
  <c r="M82" i="47"/>
  <c r="S82" i="47"/>
  <c r="G170" i="47"/>
  <c r="E106" i="47"/>
  <c r="Q18" i="47"/>
  <c r="X17" i="45"/>
  <c r="L51" i="45"/>
  <c r="X81" i="47"/>
  <c r="L169" i="47"/>
  <c r="J17" i="47"/>
  <c r="I105" i="47"/>
  <c r="U17" i="47"/>
  <c r="M17" i="45"/>
  <c r="S17" i="45"/>
  <c r="G51" i="45"/>
  <c r="M81" i="47"/>
  <c r="S81" i="47"/>
  <c r="G169" i="47"/>
  <c r="E105" i="47"/>
  <c r="Q17" i="47"/>
  <c r="L50" i="45"/>
  <c r="X16" i="45"/>
  <c r="L168" i="47"/>
  <c r="X80" i="47"/>
  <c r="J16" i="47"/>
  <c r="I104" i="47"/>
  <c r="U16" i="47"/>
  <c r="M16" i="45"/>
  <c r="S16" i="45"/>
  <c r="G50" i="45"/>
  <c r="M80" i="47"/>
  <c r="G168" i="47"/>
  <c r="S80" i="47"/>
  <c r="E104" i="47"/>
  <c r="Q16" i="47"/>
  <c r="L42" i="45"/>
  <c r="X8" i="45"/>
  <c r="L160" i="47"/>
  <c r="X72" i="47"/>
  <c r="J8" i="47"/>
  <c r="I96" i="47"/>
  <c r="U8" i="47"/>
  <c r="M8" i="45"/>
  <c r="G42" i="45"/>
  <c r="S8" i="45"/>
  <c r="M72" i="47"/>
  <c r="G160" i="47"/>
  <c r="S72" i="47"/>
  <c r="E96" i="47"/>
  <c r="Q8" i="47"/>
  <c r="L154" i="47"/>
  <c r="X66" i="47"/>
  <c r="J46" i="47"/>
  <c r="I134" i="47"/>
  <c r="U46" i="47"/>
  <c r="J17" i="46"/>
  <c r="V17" i="46" s="1"/>
  <c r="J39" i="46" s="1"/>
  <c r="U17" i="46"/>
  <c r="I39" i="46" s="1"/>
  <c r="M24" i="46"/>
  <c r="Y24" i="46" s="1"/>
  <c r="M46" i="46" s="1"/>
  <c r="S24" i="46"/>
  <c r="G46" i="46" s="1"/>
  <c r="M53" i="47"/>
  <c r="G141" i="47"/>
  <c r="G148" i="47" s="1"/>
  <c r="S53" i="47"/>
  <c r="M66" i="47"/>
  <c r="G154" i="47"/>
  <c r="S66" i="47"/>
  <c r="E134" i="47"/>
  <c r="Q46" i="47"/>
  <c r="K62" i="45"/>
  <c r="W28" i="45"/>
  <c r="W19" i="47"/>
  <c r="K107" i="47"/>
  <c r="W31" i="47"/>
  <c r="K119" i="47"/>
  <c r="K177" i="47"/>
  <c r="W89" i="47"/>
  <c r="H53" i="45"/>
  <c r="T19" i="45"/>
  <c r="T25" i="47"/>
  <c r="H113" i="47"/>
  <c r="T37" i="47"/>
  <c r="H125" i="47"/>
  <c r="H171" i="47"/>
  <c r="T83" i="47"/>
  <c r="F62" i="45"/>
  <c r="R28" i="45"/>
  <c r="R19" i="47"/>
  <c r="F107" i="47"/>
  <c r="R31" i="47"/>
  <c r="F119" i="47"/>
  <c r="F177" i="47"/>
  <c r="R89" i="47"/>
  <c r="K106" i="47"/>
  <c r="W18" i="47"/>
  <c r="H52" i="45"/>
  <c r="T18" i="45"/>
  <c r="H170" i="47"/>
  <c r="T82" i="47"/>
  <c r="F106" i="47"/>
  <c r="R18" i="47"/>
  <c r="K51" i="45"/>
  <c r="W17" i="45"/>
  <c r="K169" i="47"/>
  <c r="W81" i="47"/>
  <c r="H105" i="47"/>
  <c r="T17" i="47"/>
  <c r="F51" i="45"/>
  <c r="R17" i="45"/>
  <c r="F169" i="47"/>
  <c r="R81" i="47"/>
  <c r="W16" i="47"/>
  <c r="K104" i="47"/>
  <c r="H50" i="45"/>
  <c r="T16" i="45"/>
  <c r="T16" i="47"/>
  <c r="H104" i="47"/>
  <c r="F168" i="47"/>
  <c r="R80" i="47"/>
  <c r="K42" i="45"/>
  <c r="W8" i="45"/>
  <c r="K160" i="47"/>
  <c r="W72" i="47"/>
  <c r="H96" i="47"/>
  <c r="T8" i="47"/>
  <c r="F42" i="45"/>
  <c r="R8" i="45"/>
  <c r="F160" i="47"/>
  <c r="R72" i="47"/>
  <c r="K154" i="47"/>
  <c r="W66" i="47"/>
  <c r="K141" i="47"/>
  <c r="K148" i="47" s="1"/>
  <c r="W53" i="47"/>
  <c r="H154" i="47"/>
  <c r="T66" i="47"/>
  <c r="H134" i="47"/>
  <c r="T46" i="47"/>
  <c r="F141" i="47"/>
  <c r="F148" i="47" s="1"/>
  <c r="R53" i="47"/>
  <c r="L62" i="45"/>
  <c r="X28" i="45"/>
  <c r="L113" i="47"/>
  <c r="X25" i="47"/>
  <c r="L125" i="47"/>
  <c r="X37" i="47"/>
  <c r="X83" i="47"/>
  <c r="L171" i="47"/>
  <c r="J19" i="45"/>
  <c r="U19" i="45"/>
  <c r="I53" i="45"/>
  <c r="J19" i="47"/>
  <c r="I107" i="47"/>
  <c r="U19" i="47"/>
  <c r="J31" i="47"/>
  <c r="I119" i="47"/>
  <c r="U31" i="47"/>
  <c r="J60" i="47"/>
  <c r="V60" i="47" s="1"/>
  <c r="U60" i="47"/>
  <c r="J89" i="47"/>
  <c r="U89" i="47"/>
  <c r="I177" i="47"/>
  <c r="M28" i="45"/>
  <c r="G62" i="45"/>
  <c r="S28" i="45"/>
  <c r="M25" i="47"/>
  <c r="G113" i="47"/>
  <c r="S25" i="47"/>
  <c r="M37" i="47"/>
  <c r="G125" i="47"/>
  <c r="S37" i="47"/>
  <c r="M83" i="47"/>
  <c r="S83" i="47"/>
  <c r="G171" i="47"/>
  <c r="Q19" i="45"/>
  <c r="E53" i="45"/>
  <c r="E107" i="47"/>
  <c r="Q19" i="47"/>
  <c r="E119" i="47"/>
  <c r="Q31" i="47"/>
  <c r="Q89" i="47"/>
  <c r="E177" i="47"/>
  <c r="L106" i="47"/>
  <c r="X18" i="47"/>
  <c r="J18" i="45"/>
  <c r="U18" i="45"/>
  <c r="I52" i="45"/>
  <c r="J82" i="47"/>
  <c r="U82" i="47"/>
  <c r="I170" i="47"/>
  <c r="M18" i="47"/>
  <c r="G106" i="47"/>
  <c r="S18" i="47"/>
  <c r="Q18" i="45"/>
  <c r="E52" i="45"/>
  <c r="Q82" i="47"/>
  <c r="E170" i="47"/>
  <c r="L105" i="47"/>
  <c r="X17" i="47"/>
  <c r="J17" i="45"/>
  <c r="U17" i="45"/>
  <c r="I51" i="45"/>
  <c r="J81" i="47"/>
  <c r="U81" i="47"/>
  <c r="I169" i="47"/>
  <c r="M17" i="47"/>
  <c r="G105" i="47"/>
  <c r="S17" i="47"/>
  <c r="Q17" i="45"/>
  <c r="E51" i="45"/>
  <c r="Q81" i="47"/>
  <c r="E169" i="47"/>
  <c r="L104" i="47"/>
  <c r="X16" i="47"/>
  <c r="J16" i="45"/>
  <c r="U16" i="45"/>
  <c r="I50" i="45"/>
  <c r="J80" i="47"/>
  <c r="I168" i="47"/>
  <c r="U80" i="47"/>
  <c r="M16" i="47"/>
  <c r="G104" i="47"/>
  <c r="S16" i="47"/>
  <c r="Q16" i="45"/>
  <c r="E50" i="45"/>
  <c r="E168" i="47"/>
  <c r="Q80" i="47"/>
  <c r="L96" i="47"/>
  <c r="X8" i="47"/>
  <c r="J8" i="45"/>
  <c r="I42" i="45"/>
  <c r="U8" i="45"/>
  <c r="J72" i="47"/>
  <c r="I160" i="47"/>
  <c r="U72" i="47"/>
  <c r="M8" i="47"/>
  <c r="G96" i="47"/>
  <c r="S8" i="47"/>
  <c r="E42" i="45"/>
  <c r="Q8" i="45"/>
  <c r="E160" i="47"/>
  <c r="Q72" i="47"/>
  <c r="L141" i="47"/>
  <c r="L148" i="47" s="1"/>
  <c r="X53" i="47"/>
  <c r="X46" i="47"/>
  <c r="L134" i="47"/>
  <c r="J24" i="46"/>
  <c r="V24" i="46" s="1"/>
  <c r="J46" i="46" s="1"/>
  <c r="U24" i="46"/>
  <c r="I46" i="46" s="1"/>
  <c r="J53" i="47"/>
  <c r="I141" i="47"/>
  <c r="I148" i="47" s="1"/>
  <c r="U53" i="47"/>
  <c r="J66" i="47"/>
  <c r="I154" i="47"/>
  <c r="U66" i="47"/>
  <c r="M46" i="47"/>
  <c r="G134" i="47"/>
  <c r="S46" i="47"/>
  <c r="M17" i="46"/>
  <c r="Y17" i="46" s="1"/>
  <c r="M39" i="46" s="1"/>
  <c r="S17" i="46"/>
  <c r="G39" i="46" s="1"/>
  <c r="E141" i="47"/>
  <c r="E148" i="47" s="1"/>
  <c r="Q53" i="47"/>
  <c r="E154" i="47"/>
  <c r="Q66" i="47"/>
  <c r="K53" i="45"/>
  <c r="W19" i="45"/>
  <c r="W25" i="47"/>
  <c r="K113" i="47"/>
  <c r="W37" i="47"/>
  <c r="K125" i="47"/>
  <c r="K171" i="47"/>
  <c r="W83" i="47"/>
  <c r="H62" i="45"/>
  <c r="T28" i="45"/>
  <c r="T19" i="47"/>
  <c r="H107" i="47"/>
  <c r="T31" i="47"/>
  <c r="H119" i="47"/>
  <c r="H177" i="47"/>
  <c r="T89" i="47"/>
  <c r="F53" i="45"/>
  <c r="R19" i="45"/>
  <c r="R25" i="47"/>
  <c r="F113" i="47"/>
  <c r="R37" i="47"/>
  <c r="F125" i="47"/>
  <c r="F171" i="47"/>
  <c r="R83" i="47"/>
  <c r="K52" i="45"/>
  <c r="W18" i="45"/>
  <c r="K170" i="47"/>
  <c r="W82" i="47"/>
  <c r="H106" i="47"/>
  <c r="T18" i="47"/>
  <c r="F52" i="45"/>
  <c r="R18" i="45"/>
  <c r="F170" i="47"/>
  <c r="R82" i="47"/>
  <c r="K105" i="47"/>
  <c r="W17" i="47"/>
  <c r="H51" i="45"/>
  <c r="T17" i="45"/>
  <c r="H169" i="47"/>
  <c r="T81" i="47"/>
  <c r="F105" i="47"/>
  <c r="R17" i="47"/>
  <c r="K50" i="45"/>
  <c r="W16" i="45"/>
  <c r="K168" i="47"/>
  <c r="W80" i="47"/>
  <c r="H168" i="47"/>
  <c r="T80" i="47"/>
  <c r="F50" i="45"/>
  <c r="R16" i="45"/>
  <c r="R16" i="47"/>
  <c r="F104" i="47"/>
  <c r="K96" i="47"/>
  <c r="W8" i="47"/>
  <c r="H42" i="45"/>
  <c r="T8" i="45"/>
  <c r="H160" i="47"/>
  <c r="T72" i="47"/>
  <c r="F96" i="47"/>
  <c r="R8" i="47"/>
  <c r="AM73" i="49"/>
  <c r="AM76" i="49" s="1"/>
  <c r="P147" i="50" s="1"/>
  <c r="AM56" i="49"/>
  <c r="AM58" i="49" s="1"/>
  <c r="P107" i="50" s="1"/>
  <c r="AA58" i="49"/>
  <c r="G107" i="50" s="1"/>
  <c r="AM38" i="49"/>
  <c r="AM41" i="49" s="1"/>
  <c r="P67" i="50" s="1"/>
  <c r="AM15" i="49"/>
  <c r="AM16" i="49" s="1"/>
  <c r="P16" i="50" s="1"/>
  <c r="AA16" i="49"/>
  <c r="G16" i="50" s="1"/>
  <c r="V119" i="48"/>
  <c r="N5" i="50"/>
  <c r="N102" i="6" s="1"/>
  <c r="BB90" i="48"/>
  <c r="BB86" i="48"/>
  <c r="BB82" i="48"/>
  <c r="BB78" i="48"/>
  <c r="BB74" i="48"/>
  <c r="BB70" i="48"/>
  <c r="BB66" i="48"/>
  <c r="AX90" i="48"/>
  <c r="AX86" i="48"/>
  <c r="AX82" i="48"/>
  <c r="AX78" i="48"/>
  <c r="AX74" i="48"/>
  <c r="AX70" i="48"/>
  <c r="AX66" i="48"/>
  <c r="AT90" i="48"/>
  <c r="AT86" i="48"/>
  <c r="AT82" i="48"/>
  <c r="AT78" i="48"/>
  <c r="AT74" i="48"/>
  <c r="AT70" i="48"/>
  <c r="AT66" i="48"/>
  <c r="AN90" i="48"/>
  <c r="AN86" i="48"/>
  <c r="AN82" i="48"/>
  <c r="AN78" i="48"/>
  <c r="AN74" i="48"/>
  <c r="AN70" i="48"/>
  <c r="AN66" i="48"/>
  <c r="AJ90" i="48"/>
  <c r="AJ86" i="48"/>
  <c r="AJ82" i="48"/>
  <c r="AJ78" i="48"/>
  <c r="AJ74" i="48"/>
  <c r="AJ70" i="48"/>
  <c r="AJ66" i="48"/>
  <c r="BB89" i="48"/>
  <c r="BB85" i="48"/>
  <c r="BB81" i="48"/>
  <c r="BB77" i="48"/>
  <c r="BB73" i="48"/>
  <c r="BB69" i="48"/>
  <c r="BB65" i="48"/>
  <c r="AX89" i="48"/>
  <c r="AX85" i="48"/>
  <c r="AX81" i="48"/>
  <c r="AX77" i="48"/>
  <c r="AX73" i="48"/>
  <c r="AX69" i="48"/>
  <c r="AX65" i="48"/>
  <c r="AT89" i="48"/>
  <c r="AT85" i="48"/>
  <c r="AT81" i="48"/>
  <c r="AT77" i="48"/>
  <c r="AT73" i="48"/>
  <c r="AT69" i="48"/>
  <c r="AT65" i="48"/>
  <c r="AN89" i="48"/>
  <c r="AN85" i="48"/>
  <c r="AN81" i="48"/>
  <c r="AN77" i="48"/>
  <c r="AN73" i="48"/>
  <c r="AN69" i="48"/>
  <c r="AN65" i="48"/>
  <c r="AJ89" i="48"/>
  <c r="AJ85" i="48"/>
  <c r="AJ81" i="48"/>
  <c r="AJ77" i="48"/>
  <c r="AJ73" i="48"/>
  <c r="AJ69" i="48"/>
  <c r="AJ65" i="48"/>
  <c r="BA88" i="48"/>
  <c r="BA84" i="48"/>
  <c r="BA80" i="48"/>
  <c r="BA76" i="48"/>
  <c r="BA72" i="48"/>
  <c r="BA68" i="48"/>
  <c r="BA64" i="48"/>
  <c r="AW88" i="48"/>
  <c r="AW84" i="48"/>
  <c r="AW80" i="48"/>
  <c r="AW76" i="48"/>
  <c r="AW72" i="48"/>
  <c r="AW68" i="48"/>
  <c r="AW64" i="48"/>
  <c r="AS88" i="48"/>
  <c r="AS84" i="48"/>
  <c r="AS80" i="48"/>
  <c r="AS76" i="48"/>
  <c r="AS72" i="48"/>
  <c r="AS68" i="48"/>
  <c r="AS64" i="48"/>
  <c r="AM88" i="48"/>
  <c r="AM84" i="48"/>
  <c r="AM80" i="48"/>
  <c r="AM76" i="48"/>
  <c r="AM72" i="48"/>
  <c r="AM68" i="48"/>
  <c r="AM64" i="48"/>
  <c r="AI88" i="48"/>
  <c r="AI84" i="48"/>
  <c r="AI80" i="48"/>
  <c r="AI76" i="48"/>
  <c r="AI72" i="48"/>
  <c r="AI68" i="48"/>
  <c r="AI64" i="48"/>
  <c r="Y104" i="48"/>
  <c r="N104" i="48"/>
  <c r="N107" i="48"/>
  <c r="Y107" i="48"/>
  <c r="N109" i="48"/>
  <c r="Y109" i="48"/>
  <c r="N111" i="48"/>
  <c r="Y111" i="48"/>
  <c r="N113" i="48"/>
  <c r="Y113" i="48"/>
  <c r="O106" i="50" s="1"/>
  <c r="N115" i="48"/>
  <c r="Y115" i="48"/>
  <c r="N117" i="48"/>
  <c r="Y117" i="48"/>
  <c r="M119" i="48"/>
  <c r="Y103" i="48"/>
  <c r="N103" i="48"/>
  <c r="AB119" i="48"/>
  <c r="R5" i="50"/>
  <c r="R102" i="6" s="1"/>
  <c r="AY90" i="48"/>
  <c r="AY86" i="48"/>
  <c r="AY82" i="48"/>
  <c r="AY78" i="48"/>
  <c r="AY74" i="48"/>
  <c r="AY70" i="48"/>
  <c r="AY66" i="48"/>
  <c r="AU90" i="48"/>
  <c r="AU86" i="48"/>
  <c r="AU82" i="48"/>
  <c r="AU78" i="48"/>
  <c r="AU74" i="48"/>
  <c r="AU70" i="48"/>
  <c r="AU66" i="48"/>
  <c r="AO90" i="48"/>
  <c r="AO86" i="48"/>
  <c r="AO82" i="48"/>
  <c r="AO78" i="48"/>
  <c r="AO74" i="48"/>
  <c r="AO70" i="48"/>
  <c r="AO66" i="48"/>
  <c r="AK90" i="48"/>
  <c r="AK86" i="48"/>
  <c r="AK82" i="48"/>
  <c r="AK78" i="48"/>
  <c r="AK74" i="48"/>
  <c r="AK70" i="48"/>
  <c r="AK66" i="48"/>
  <c r="AG90" i="48"/>
  <c r="AG86" i="48"/>
  <c r="AG82" i="48"/>
  <c r="AG78" i="48"/>
  <c r="AG74" i="48"/>
  <c r="AG70" i="48"/>
  <c r="AG66" i="48"/>
  <c r="AY89" i="48"/>
  <c r="AY85" i="48"/>
  <c r="AY81" i="48"/>
  <c r="AY77" i="48"/>
  <c r="AY73" i="48"/>
  <c r="AY69" i="48"/>
  <c r="AY65" i="48"/>
  <c r="AU89" i="48"/>
  <c r="AU85" i="48"/>
  <c r="AU81" i="48"/>
  <c r="AU77" i="48"/>
  <c r="AU73" i="48"/>
  <c r="AU69" i="48"/>
  <c r="AU65" i="48"/>
  <c r="AO89" i="48"/>
  <c r="AO85" i="48"/>
  <c r="AO81" i="48"/>
  <c r="AO77" i="48"/>
  <c r="AO73" i="48"/>
  <c r="AO69" i="48"/>
  <c r="AO65" i="48"/>
  <c r="AK89" i="48"/>
  <c r="AK85" i="48"/>
  <c r="AK81" i="48"/>
  <c r="AK77" i="48"/>
  <c r="AK73" i="48"/>
  <c r="AK69" i="48"/>
  <c r="AK65" i="48"/>
  <c r="AG89" i="48"/>
  <c r="AG85" i="48"/>
  <c r="AG81" i="48"/>
  <c r="AG77" i="48"/>
  <c r="AG73" i="48"/>
  <c r="AG69" i="48"/>
  <c r="AG65" i="48"/>
  <c r="AZ88" i="48"/>
  <c r="AZ84" i="48"/>
  <c r="AZ80" i="48"/>
  <c r="AZ76" i="48"/>
  <c r="AZ72" i="48"/>
  <c r="AZ68" i="48"/>
  <c r="AZ64" i="48"/>
  <c r="AV88" i="48"/>
  <c r="AV84" i="48"/>
  <c r="AV80" i="48"/>
  <c r="AV76" i="48"/>
  <c r="AV72" i="48"/>
  <c r="AV68" i="48"/>
  <c r="AV64" i="48"/>
  <c r="AP88" i="48"/>
  <c r="AP84" i="48"/>
  <c r="AP80" i="48"/>
  <c r="AP76" i="48"/>
  <c r="AP72" i="48"/>
  <c r="AP68" i="48"/>
  <c r="AP64" i="48"/>
  <c r="AL88" i="48"/>
  <c r="AL84" i="48"/>
  <c r="AL80" i="48"/>
  <c r="AL76" i="48"/>
  <c r="AL72" i="48"/>
  <c r="AL68" i="48"/>
  <c r="AL64" i="48"/>
  <c r="AH88" i="48"/>
  <c r="AH84" i="48"/>
  <c r="AH80" i="48"/>
  <c r="AH76" i="48"/>
  <c r="AH72" i="48"/>
  <c r="AH68" i="48"/>
  <c r="AH64" i="48"/>
  <c r="AA119" i="48"/>
  <c r="U119" i="48"/>
  <c r="O66" i="50"/>
  <c r="O45" i="50"/>
  <c r="F15" i="50"/>
  <c r="AM65" i="49"/>
  <c r="AM66" i="49" s="1"/>
  <c r="P127" i="50" s="1"/>
  <c r="AA66" i="49"/>
  <c r="G127" i="50" s="1"/>
  <c r="X119" i="48"/>
  <c r="AA80" i="49"/>
  <c r="G157" i="50" s="1"/>
  <c r="AM79" i="49"/>
  <c r="AM80" i="49" s="1"/>
  <c r="P157" i="50" s="1"/>
  <c r="AZ90" i="48"/>
  <c r="AZ86" i="48"/>
  <c r="AZ82" i="48"/>
  <c r="AZ78" i="48"/>
  <c r="AZ74" i="48"/>
  <c r="AZ70" i="48"/>
  <c r="AZ66" i="48"/>
  <c r="AV90" i="48"/>
  <c r="AV86" i="48"/>
  <c r="AV82" i="48"/>
  <c r="AV78" i="48"/>
  <c r="AV74" i="48"/>
  <c r="AV70" i="48"/>
  <c r="AV66" i="48"/>
  <c r="AP90" i="48"/>
  <c r="AP86" i="48"/>
  <c r="AP82" i="48"/>
  <c r="AP78" i="48"/>
  <c r="AP74" i="48"/>
  <c r="AP70" i="48"/>
  <c r="AP66" i="48"/>
  <c r="AL90" i="48"/>
  <c r="AL86" i="48"/>
  <c r="AL82" i="48"/>
  <c r="AL78" i="48"/>
  <c r="AL74" i="48"/>
  <c r="AL70" i="48"/>
  <c r="AL66" i="48"/>
  <c r="AH90" i="48"/>
  <c r="AH86" i="48"/>
  <c r="AH82" i="48"/>
  <c r="AH78" i="48"/>
  <c r="AH74" i="48"/>
  <c r="AH70" i="48"/>
  <c r="AH66" i="48"/>
  <c r="AZ89" i="48"/>
  <c r="AZ85" i="48"/>
  <c r="AZ81" i="48"/>
  <c r="AZ77" i="48"/>
  <c r="AZ73" i="48"/>
  <c r="AZ69" i="48"/>
  <c r="AZ65" i="48"/>
  <c r="AV89" i="48"/>
  <c r="AV85" i="48"/>
  <c r="AV81" i="48"/>
  <c r="AV77" i="48"/>
  <c r="AV73" i="48"/>
  <c r="AV69" i="48"/>
  <c r="AV65" i="48"/>
  <c r="AP89" i="48"/>
  <c r="AP85" i="48"/>
  <c r="AP81" i="48"/>
  <c r="AP77" i="48"/>
  <c r="AP73" i="48"/>
  <c r="AP69" i="48"/>
  <c r="AP65" i="48"/>
  <c r="AL89" i="48"/>
  <c r="AL85" i="48"/>
  <c r="AL81" i="48"/>
  <c r="AL77" i="48"/>
  <c r="AL73" i="48"/>
  <c r="AL69" i="48"/>
  <c r="AL65" i="48"/>
  <c r="AH89" i="48"/>
  <c r="AH85" i="48"/>
  <c r="AH81" i="48"/>
  <c r="AH77" i="48"/>
  <c r="AH73" i="48"/>
  <c r="AH69" i="48"/>
  <c r="AH65" i="48"/>
  <c r="AY88" i="48"/>
  <c r="AY84" i="48"/>
  <c r="AY80" i="48"/>
  <c r="AY76" i="48"/>
  <c r="AY72" i="48"/>
  <c r="AY68" i="48"/>
  <c r="AY64" i="48"/>
  <c r="AU88" i="48"/>
  <c r="AU84" i="48"/>
  <c r="AU80" i="48"/>
  <c r="AU76" i="48"/>
  <c r="AU72" i="48"/>
  <c r="AU68" i="48"/>
  <c r="AU64" i="48"/>
  <c r="AO88" i="48"/>
  <c r="AO84" i="48"/>
  <c r="AO80" i="48"/>
  <c r="AO76" i="48"/>
  <c r="AO72" i="48"/>
  <c r="AO68" i="48"/>
  <c r="AO64" i="48"/>
  <c r="AK88" i="48"/>
  <c r="AK84" i="48"/>
  <c r="AK80" i="48"/>
  <c r="AK76" i="48"/>
  <c r="AK72" i="48"/>
  <c r="AK68" i="48"/>
  <c r="AK64" i="48"/>
  <c r="AG88" i="48"/>
  <c r="AG84" i="48"/>
  <c r="AG80" i="48"/>
  <c r="AG76" i="48"/>
  <c r="AG72" i="48"/>
  <c r="AG68" i="48"/>
  <c r="AG64" i="48"/>
  <c r="N106" i="48"/>
  <c r="Y106" i="48"/>
  <c r="O35" i="50" s="1"/>
  <c r="N108" i="48"/>
  <c r="Y108" i="48"/>
  <c r="O55" i="50" s="1"/>
  <c r="N110" i="48"/>
  <c r="Y110" i="48"/>
  <c r="O76" i="50" s="1"/>
  <c r="N112" i="48"/>
  <c r="Y112" i="48"/>
  <c r="O96" i="50" s="1"/>
  <c r="N114" i="48"/>
  <c r="Y114" i="48"/>
  <c r="O116" i="50" s="1"/>
  <c r="N116" i="48"/>
  <c r="Y116" i="48"/>
  <c r="O136" i="50" s="1"/>
  <c r="N118" i="48"/>
  <c r="Y118" i="48"/>
  <c r="O156" i="50" s="1"/>
  <c r="Y105" i="48"/>
  <c r="O25" i="50" s="1"/>
  <c r="N105" i="48"/>
  <c r="BA90" i="48"/>
  <c r="BA86" i="48"/>
  <c r="BA82" i="48"/>
  <c r="BA78" i="48"/>
  <c r="BA74" i="48"/>
  <c r="BA70" i="48"/>
  <c r="BA66" i="48"/>
  <c r="AW90" i="48"/>
  <c r="AW86" i="48"/>
  <c r="AW82" i="48"/>
  <c r="AW78" i="48"/>
  <c r="AW74" i="48"/>
  <c r="AW70" i="48"/>
  <c r="AW66" i="48"/>
  <c r="AS90" i="48"/>
  <c r="AS86" i="48"/>
  <c r="AS82" i="48"/>
  <c r="AS78" i="48"/>
  <c r="AS74" i="48"/>
  <c r="AS70" i="48"/>
  <c r="AS66" i="48"/>
  <c r="AM90" i="48"/>
  <c r="AM86" i="48"/>
  <c r="AM82" i="48"/>
  <c r="AM78" i="48"/>
  <c r="AM74" i="48"/>
  <c r="AM70" i="48"/>
  <c r="AM66" i="48"/>
  <c r="AI90" i="48"/>
  <c r="AI86" i="48"/>
  <c r="AI82" i="48"/>
  <c r="AI78" i="48"/>
  <c r="AI74" i="48"/>
  <c r="AI70" i="48"/>
  <c r="AI66" i="48"/>
  <c r="BA89" i="48"/>
  <c r="BA85" i="48"/>
  <c r="BA81" i="48"/>
  <c r="BA77" i="48"/>
  <c r="BA73" i="48"/>
  <c r="BA69" i="48"/>
  <c r="BA65" i="48"/>
  <c r="AW89" i="48"/>
  <c r="AW85" i="48"/>
  <c r="AW81" i="48"/>
  <c r="AW77" i="48"/>
  <c r="AW73" i="48"/>
  <c r="AW69" i="48"/>
  <c r="AW65" i="48"/>
  <c r="AS89" i="48"/>
  <c r="AS85" i="48"/>
  <c r="AS81" i="48"/>
  <c r="AS77" i="48"/>
  <c r="AS73" i="48"/>
  <c r="AS69" i="48"/>
  <c r="AS65" i="48"/>
  <c r="AM89" i="48"/>
  <c r="AM85" i="48"/>
  <c r="AM81" i="48"/>
  <c r="AM77" i="48"/>
  <c r="AM73" i="48"/>
  <c r="AM69" i="48"/>
  <c r="AM65" i="48"/>
  <c r="AI89" i="48"/>
  <c r="AI85" i="48"/>
  <c r="AI81" i="48"/>
  <c r="AI77" i="48"/>
  <c r="AI73" i="48"/>
  <c r="AI69" i="48"/>
  <c r="AI65" i="48"/>
  <c r="BB88" i="48"/>
  <c r="BB84" i="48"/>
  <c r="BB80" i="48"/>
  <c r="BB76" i="48"/>
  <c r="BB72" i="48"/>
  <c r="BB68" i="48"/>
  <c r="BB64" i="48"/>
  <c r="AX88" i="48"/>
  <c r="AX84" i="48"/>
  <c r="AX80" i="48"/>
  <c r="AX76" i="48"/>
  <c r="AX72" i="48"/>
  <c r="AX68" i="48"/>
  <c r="AX64" i="48"/>
  <c r="AT88" i="48"/>
  <c r="AT84" i="48"/>
  <c r="AT80" i="48"/>
  <c r="AT76" i="48"/>
  <c r="AT72" i="48"/>
  <c r="AT68" i="48"/>
  <c r="AT64" i="48"/>
  <c r="AN88" i="48"/>
  <c r="AN84" i="48"/>
  <c r="AN80" i="48"/>
  <c r="AN76" i="48"/>
  <c r="AN72" i="48"/>
  <c r="AN68" i="48"/>
  <c r="AN64" i="48"/>
  <c r="AJ88" i="48"/>
  <c r="AJ84" i="48"/>
  <c r="AJ80" i="48"/>
  <c r="AJ76" i="48"/>
  <c r="AJ72" i="48"/>
  <c r="AJ68" i="48"/>
  <c r="AJ64" i="48"/>
  <c r="S5" i="50"/>
  <c r="S102" i="6" s="1"/>
  <c r="AC119" i="48"/>
  <c r="O46" i="50"/>
  <c r="O26" i="50"/>
  <c r="O15" i="50"/>
  <c r="F157" i="50"/>
  <c r="O147" i="50"/>
  <c r="P97" i="50"/>
  <c r="P77" i="50"/>
  <c r="F6" i="50"/>
  <c r="F103" i="6" s="1"/>
  <c r="W119" i="48"/>
  <c r="S119" i="48"/>
  <c r="O146" i="50"/>
  <c r="O126" i="50"/>
  <c r="O86" i="50"/>
  <c r="T119" i="48"/>
  <c r="AA26" i="49" l="1"/>
  <c r="G36" i="50" s="1"/>
  <c r="AM24" i="49"/>
  <c r="AM26" i="49" s="1"/>
  <c r="P36" i="50" s="1"/>
  <c r="AM48" i="49"/>
  <c r="AM49" i="49" s="1"/>
  <c r="P87" i="50" s="1"/>
  <c r="AA12" i="49"/>
  <c r="G6" i="50" s="1"/>
  <c r="G103" i="6" s="1"/>
  <c r="AA35" i="49"/>
  <c r="G56" i="50" s="1"/>
  <c r="AM34" i="49"/>
  <c r="AM35" i="49" s="1"/>
  <c r="P56" i="50" s="1"/>
  <c r="AA62" i="49"/>
  <c r="G117" i="50" s="1"/>
  <c r="AM61" i="49"/>
  <c r="AM62" i="49" s="1"/>
  <c r="P117" i="50" s="1"/>
  <c r="AA70" i="49"/>
  <c r="G137" i="50" s="1"/>
  <c r="AM69" i="49"/>
  <c r="AM70" i="49" s="1"/>
  <c r="P137" i="50" s="1"/>
  <c r="AA21" i="49"/>
  <c r="G26" i="50" s="1"/>
  <c r="AM19" i="49"/>
  <c r="AM21" i="49" s="1"/>
  <c r="P26" i="50" s="1"/>
  <c r="AA76" i="49"/>
  <c r="G147" i="50" s="1"/>
  <c r="AA31" i="49"/>
  <c r="G46" i="50" s="1"/>
  <c r="AM29" i="49"/>
  <c r="AM31" i="49" s="1"/>
  <c r="P46" i="50" s="1"/>
  <c r="AA41" i="49"/>
  <c r="G67" i="50" s="1"/>
  <c r="V66" i="47"/>
  <c r="J154" i="47"/>
  <c r="Y8" i="47"/>
  <c r="M96" i="47"/>
  <c r="V8" i="45"/>
  <c r="J42" i="45"/>
  <c r="V80" i="47"/>
  <c r="J168" i="47"/>
  <c r="M105" i="47"/>
  <c r="Y17" i="47"/>
  <c r="J51" i="45"/>
  <c r="V17" i="45"/>
  <c r="V82" i="47"/>
  <c r="J170" i="47"/>
  <c r="Y83" i="47"/>
  <c r="M171" i="47"/>
  <c r="M113" i="47"/>
  <c r="Y25" i="47"/>
  <c r="J177" i="47"/>
  <c r="V89" i="47"/>
  <c r="J107" i="47"/>
  <c r="V19" i="47"/>
  <c r="M154" i="47"/>
  <c r="Y66" i="47"/>
  <c r="V46" i="47"/>
  <c r="J134" i="47"/>
  <c r="M42" i="45"/>
  <c r="Y8" i="45"/>
  <c r="M168" i="47"/>
  <c r="Y80" i="47"/>
  <c r="J104" i="47"/>
  <c r="V16" i="47"/>
  <c r="M51" i="45"/>
  <c r="Y17" i="45"/>
  <c r="M170" i="47"/>
  <c r="Y82" i="47"/>
  <c r="J106" i="47"/>
  <c r="V18" i="47"/>
  <c r="M119" i="47"/>
  <c r="Y31" i="47"/>
  <c r="M53" i="45"/>
  <c r="Y19" i="45"/>
  <c r="V37" i="47"/>
  <c r="J125" i="47"/>
  <c r="J62" i="45"/>
  <c r="V28" i="45"/>
  <c r="M134" i="47"/>
  <c r="Y46" i="47"/>
  <c r="J141" i="47"/>
  <c r="J148" i="47" s="1"/>
  <c r="V53" i="47"/>
  <c r="V72" i="47"/>
  <c r="J160" i="47"/>
  <c r="M104" i="47"/>
  <c r="Y16" i="47"/>
  <c r="V16" i="45"/>
  <c r="J50" i="45"/>
  <c r="J169" i="47"/>
  <c r="V81" i="47"/>
  <c r="Y18" i="47"/>
  <c r="M106" i="47"/>
  <c r="V18" i="45"/>
  <c r="J52" i="45"/>
  <c r="M125" i="47"/>
  <c r="Y37" i="47"/>
  <c r="M62" i="45"/>
  <c r="Y28" i="45"/>
  <c r="J119" i="47"/>
  <c r="V31" i="47"/>
  <c r="J53" i="45"/>
  <c r="V19" i="45"/>
  <c r="M141" i="47"/>
  <c r="M148" i="47" s="1"/>
  <c r="Y53" i="47"/>
  <c r="M160" i="47"/>
  <c r="Y72" i="47"/>
  <c r="J96" i="47"/>
  <c r="V8" i="47"/>
  <c r="M50" i="45"/>
  <c r="Y16" i="45"/>
  <c r="M169" i="47"/>
  <c r="Y81" i="47"/>
  <c r="V17" i="47"/>
  <c r="J105" i="47"/>
  <c r="M52" i="45"/>
  <c r="Y18" i="45"/>
  <c r="M177" i="47"/>
  <c r="Y89" i="47"/>
  <c r="M107" i="47"/>
  <c r="Y19" i="47"/>
  <c r="J171" i="47"/>
  <c r="V83" i="47"/>
  <c r="V25" i="47"/>
  <c r="J113" i="47"/>
  <c r="Z118" i="48"/>
  <c r="P156" i="50" s="1"/>
  <c r="G156" i="50"/>
  <c r="Z116" i="48"/>
  <c r="P136" i="50" s="1"/>
  <c r="G136" i="50"/>
  <c r="Z114" i="48"/>
  <c r="P116" i="50" s="1"/>
  <c r="G116" i="50"/>
  <c r="Z112" i="48"/>
  <c r="P96" i="50" s="1"/>
  <c r="G96" i="50"/>
  <c r="Z110" i="48"/>
  <c r="P76" i="50" s="1"/>
  <c r="G76" i="50"/>
  <c r="Z108" i="48"/>
  <c r="P55" i="50" s="1"/>
  <c r="G55" i="50"/>
  <c r="Z106" i="48"/>
  <c r="P35" i="50" s="1"/>
  <c r="G35" i="50"/>
  <c r="Z103" i="48"/>
  <c r="N119" i="48"/>
  <c r="G5" i="50"/>
  <c r="G102" i="6" s="1"/>
  <c r="Z117" i="48"/>
  <c r="P146" i="50" s="1"/>
  <c r="G146" i="50"/>
  <c r="Z115" i="48"/>
  <c r="P126" i="50" s="1"/>
  <c r="G126" i="50"/>
  <c r="Z113" i="48"/>
  <c r="P106" i="50" s="1"/>
  <c r="G106" i="50"/>
  <c r="Z111" i="48"/>
  <c r="P86" i="50" s="1"/>
  <c r="G86" i="50"/>
  <c r="Z109" i="48"/>
  <c r="P66" i="50" s="1"/>
  <c r="G66" i="50"/>
  <c r="Z107" i="48"/>
  <c r="P45" i="50" s="1"/>
  <c r="G45" i="50"/>
  <c r="Z105" i="48"/>
  <c r="P25" i="50" s="1"/>
  <c r="G25" i="50"/>
  <c r="Y119" i="48"/>
  <c r="O5" i="50"/>
  <c r="O102" i="6" s="1"/>
  <c r="Z104" i="48"/>
  <c r="P15" i="50" s="1"/>
  <c r="G15" i="50"/>
  <c r="Z119" i="48" l="1"/>
  <c r="P5" i="50"/>
  <c r="P102" i="6" s="1"/>
  <c r="AS14" i="35" l="1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I2" i="44"/>
  <c r="H2" i="44"/>
  <c r="G2" i="44"/>
  <c r="F2" i="44"/>
  <c r="E2" i="44"/>
  <c r="D2" i="44"/>
  <c r="I1" i="44"/>
  <c r="H1" i="44"/>
  <c r="G1" i="44"/>
  <c r="F1" i="44"/>
  <c r="E1" i="44"/>
  <c r="D1" i="44"/>
  <c r="I2" i="43"/>
  <c r="H2" i="43"/>
  <c r="G2" i="43"/>
  <c r="F2" i="43"/>
  <c r="E2" i="43"/>
  <c r="D2" i="43"/>
  <c r="I1" i="43"/>
  <c r="H1" i="43"/>
  <c r="G1" i="43"/>
  <c r="F1" i="43"/>
  <c r="E1" i="43"/>
  <c r="D1" i="43"/>
  <c r="I2" i="42"/>
  <c r="H2" i="42"/>
  <c r="G2" i="42"/>
  <c r="F2" i="42"/>
  <c r="E2" i="42"/>
  <c r="D2" i="42"/>
  <c r="I1" i="42"/>
  <c r="H1" i="42"/>
  <c r="G1" i="42"/>
  <c r="F1" i="42"/>
  <c r="E1" i="42"/>
  <c r="D1" i="42"/>
  <c r="I2" i="41"/>
  <c r="H2" i="41"/>
  <c r="G2" i="41"/>
  <c r="F2" i="41"/>
  <c r="E2" i="41"/>
  <c r="D2" i="41"/>
  <c r="I1" i="41"/>
  <c r="H1" i="41"/>
  <c r="G1" i="41"/>
  <c r="F1" i="41"/>
  <c r="E1" i="41"/>
  <c r="D1" i="41"/>
  <c r="I2" i="40"/>
  <c r="H2" i="40"/>
  <c r="G2" i="40"/>
  <c r="F2" i="40"/>
  <c r="E2" i="40"/>
  <c r="D2" i="40"/>
  <c r="I1" i="40"/>
  <c r="H1" i="40"/>
  <c r="G1" i="40"/>
  <c r="F1" i="40"/>
  <c r="E1" i="40"/>
  <c r="D1" i="40"/>
  <c r="I2" i="39"/>
  <c r="H2" i="39"/>
  <c r="G2" i="39"/>
  <c r="F2" i="39"/>
  <c r="E2" i="39"/>
  <c r="D2" i="39"/>
  <c r="I1" i="39"/>
  <c r="H1" i="39"/>
  <c r="G1" i="39"/>
  <c r="F1" i="39"/>
  <c r="E1" i="39"/>
  <c r="D1" i="39"/>
  <c r="I2" i="38"/>
  <c r="I1" i="38"/>
  <c r="H2" i="38"/>
  <c r="H1" i="38"/>
  <c r="G2" i="38"/>
  <c r="G1" i="38"/>
  <c r="F2" i="38"/>
  <c r="F1" i="38"/>
  <c r="E2" i="38"/>
  <c r="E1" i="38"/>
  <c r="D2" i="38"/>
  <c r="D1" i="38"/>
  <c r="AS29" i="35"/>
  <c r="AR29" i="35"/>
  <c r="AQ29" i="35"/>
  <c r="AP29" i="35"/>
  <c r="AO29" i="35"/>
  <c r="AN29" i="35"/>
  <c r="AM29" i="35"/>
  <c r="I29" i="38" s="1"/>
  <c r="AL29" i="35"/>
  <c r="AK29" i="35"/>
  <c r="AJ29" i="35"/>
  <c r="AI29" i="35"/>
  <c r="AH29" i="35"/>
  <c r="AG29" i="35"/>
  <c r="AF29" i="35"/>
  <c r="H29" i="38" s="1"/>
  <c r="AE29" i="35"/>
  <c r="AD29" i="35"/>
  <c r="AC29" i="35"/>
  <c r="AB29" i="35"/>
  <c r="AA29" i="35"/>
  <c r="Z29" i="35"/>
  <c r="Y29" i="35"/>
  <c r="G29" i="38" s="1"/>
  <c r="E36" i="11" s="1"/>
  <c r="X29" i="35"/>
  <c r="W29" i="35"/>
  <c r="V29" i="35"/>
  <c r="U29" i="35"/>
  <c r="T29" i="35"/>
  <c r="S29" i="35"/>
  <c r="R29" i="35"/>
  <c r="F29" i="38" s="1"/>
  <c r="Q29" i="35"/>
  <c r="P29" i="35"/>
  <c r="O29" i="35"/>
  <c r="N29" i="35"/>
  <c r="M29" i="35"/>
  <c r="L29" i="35"/>
  <c r="K29" i="35"/>
  <c r="E29" i="38" s="1"/>
  <c r="J29" i="35"/>
  <c r="I29" i="35"/>
  <c r="H29" i="35"/>
  <c r="G29" i="35"/>
  <c r="F29" i="35"/>
  <c r="E29" i="35"/>
  <c r="D29" i="35"/>
  <c r="D29" i="38" s="1"/>
  <c r="I31" i="42"/>
  <c r="I31" i="40"/>
  <c r="I31" i="38"/>
  <c r="I31" i="44"/>
  <c r="I31" i="43"/>
  <c r="I31" i="41"/>
  <c r="I14" i="44"/>
  <c r="L25" i="16" s="1"/>
  <c r="I14" i="41"/>
  <c r="H25" i="16" s="1"/>
  <c r="H31" i="38"/>
  <c r="E59" i="11" s="1"/>
  <c r="H14" i="44"/>
  <c r="H14" i="43"/>
  <c r="H14" i="41"/>
  <c r="G31" i="38"/>
  <c r="E45" i="11" s="1"/>
  <c r="G14" i="44"/>
  <c r="G14" i="41"/>
  <c r="F31" i="38"/>
  <c r="E31" i="38"/>
  <c r="F14" i="43"/>
  <c r="F14" i="41"/>
  <c r="E14" i="44"/>
  <c r="E14" i="41"/>
  <c r="H27" i="19" s="1"/>
  <c r="D31" i="38"/>
  <c r="E36" i="1" s="1"/>
  <c r="D14" i="44"/>
  <c r="D14" i="43"/>
  <c r="D14" i="41"/>
  <c r="AS38" i="35"/>
  <c r="AR38" i="35"/>
  <c r="AQ38" i="35"/>
  <c r="AP38" i="35"/>
  <c r="AO38" i="35"/>
  <c r="AN38" i="35"/>
  <c r="AM38" i="35"/>
  <c r="AS37" i="35"/>
  <c r="AR37" i="35"/>
  <c r="AQ37" i="35"/>
  <c r="AP37" i="35"/>
  <c r="AO37" i="35"/>
  <c r="AN37" i="35"/>
  <c r="AM37" i="35"/>
  <c r="AS36" i="35"/>
  <c r="AR36" i="35"/>
  <c r="AQ36" i="35"/>
  <c r="AP36" i="35"/>
  <c r="AO36" i="35"/>
  <c r="AN36" i="35"/>
  <c r="AM36" i="35"/>
  <c r="AS35" i="35"/>
  <c r="AR35" i="35"/>
  <c r="AQ35" i="35"/>
  <c r="AP35" i="35"/>
  <c r="AO35" i="35"/>
  <c r="AN35" i="35"/>
  <c r="AM35" i="35"/>
  <c r="AS34" i="35"/>
  <c r="AR34" i="35"/>
  <c r="AQ34" i="35"/>
  <c r="AP34" i="35"/>
  <c r="AO34" i="35"/>
  <c r="AN34" i="35"/>
  <c r="AM34" i="35"/>
  <c r="AS33" i="35"/>
  <c r="AR33" i="35"/>
  <c r="AQ33" i="35"/>
  <c r="AP33" i="35"/>
  <c r="AO33" i="35"/>
  <c r="AN33" i="35"/>
  <c r="AM33" i="35"/>
  <c r="AS32" i="35"/>
  <c r="AR32" i="35"/>
  <c r="AQ32" i="35"/>
  <c r="AP32" i="35"/>
  <c r="AO32" i="35"/>
  <c r="AN32" i="35"/>
  <c r="AM32" i="35"/>
  <c r="AS30" i="35"/>
  <c r="AR30" i="35"/>
  <c r="AQ30" i="35"/>
  <c r="AP30" i="35"/>
  <c r="AO30" i="35"/>
  <c r="AN30" i="35"/>
  <c r="AM30" i="35"/>
  <c r="AS28" i="35"/>
  <c r="AR28" i="35"/>
  <c r="AQ28" i="35"/>
  <c r="AP28" i="35"/>
  <c r="AO28" i="35"/>
  <c r="AN28" i="35"/>
  <c r="AM28" i="35"/>
  <c r="AS27" i="35"/>
  <c r="AR27" i="35"/>
  <c r="AQ27" i="35"/>
  <c r="AP27" i="35"/>
  <c r="AO27" i="35"/>
  <c r="AN27" i="35"/>
  <c r="AM27" i="35"/>
  <c r="I27" i="38" s="1"/>
  <c r="AS26" i="35"/>
  <c r="AR26" i="35"/>
  <c r="AQ26" i="35"/>
  <c r="AP26" i="35"/>
  <c r="AO26" i="35"/>
  <c r="AN26" i="35"/>
  <c r="AM26" i="35"/>
  <c r="I26" i="38" s="1"/>
  <c r="AS25" i="35"/>
  <c r="AR25" i="35"/>
  <c r="AQ25" i="35"/>
  <c r="AP25" i="35"/>
  <c r="AO25" i="35"/>
  <c r="AN25" i="35"/>
  <c r="AM25" i="35"/>
  <c r="AS24" i="35"/>
  <c r="AR24" i="35"/>
  <c r="AQ24" i="35"/>
  <c r="AP24" i="35"/>
  <c r="AO24" i="35"/>
  <c r="AN24" i="35"/>
  <c r="AM24" i="35"/>
  <c r="AS23" i="35"/>
  <c r="AR23" i="35"/>
  <c r="AQ23" i="35"/>
  <c r="AP23" i="35"/>
  <c r="AO23" i="35"/>
  <c r="AN23" i="35"/>
  <c r="AM23" i="35"/>
  <c r="I23" i="38" s="1"/>
  <c r="E46" i="16" s="1"/>
  <c r="AS22" i="35"/>
  <c r="AR22" i="35"/>
  <c r="AQ22" i="35"/>
  <c r="AP22" i="35"/>
  <c r="AO22" i="35"/>
  <c r="AN22" i="35"/>
  <c r="AM22" i="35"/>
  <c r="AS21" i="35"/>
  <c r="AR21" i="35"/>
  <c r="AQ21" i="35"/>
  <c r="AP21" i="35"/>
  <c r="AO21" i="35"/>
  <c r="AN21" i="35"/>
  <c r="AM21" i="35"/>
  <c r="AS20" i="35"/>
  <c r="AR20" i="35"/>
  <c r="AQ20" i="35"/>
  <c r="AP20" i="35"/>
  <c r="AO20" i="35"/>
  <c r="AN20" i="35"/>
  <c r="AM20" i="35"/>
  <c r="AS19" i="35"/>
  <c r="AR19" i="35"/>
  <c r="AQ19" i="35"/>
  <c r="AP19" i="35"/>
  <c r="AO19" i="35"/>
  <c r="AN19" i="35"/>
  <c r="AM19" i="35"/>
  <c r="AS18" i="35"/>
  <c r="AR18" i="35"/>
  <c r="AQ18" i="35"/>
  <c r="AP18" i="35"/>
  <c r="AO18" i="35"/>
  <c r="AN18" i="35"/>
  <c r="AM18" i="35"/>
  <c r="AS17" i="35"/>
  <c r="AR17" i="35"/>
  <c r="AQ17" i="35"/>
  <c r="AP17" i="35"/>
  <c r="AO17" i="35"/>
  <c r="AN17" i="35"/>
  <c r="AM17" i="35"/>
  <c r="AS16" i="35"/>
  <c r="AR16" i="35"/>
  <c r="AQ16" i="35"/>
  <c r="AP16" i="35"/>
  <c r="AO16" i="35"/>
  <c r="AN16" i="35"/>
  <c r="AM16" i="35"/>
  <c r="AS15" i="35"/>
  <c r="AR15" i="35"/>
  <c r="AQ15" i="35"/>
  <c r="AP15" i="35"/>
  <c r="AO15" i="35"/>
  <c r="AN15" i="35"/>
  <c r="AM15" i="35"/>
  <c r="AS13" i="35"/>
  <c r="AR13" i="35"/>
  <c r="AQ13" i="35"/>
  <c r="AP13" i="35"/>
  <c r="AO13" i="35"/>
  <c r="AN13" i="35"/>
  <c r="AM13" i="35"/>
  <c r="AS12" i="35"/>
  <c r="AR12" i="35"/>
  <c r="AQ12" i="35"/>
  <c r="AP12" i="35"/>
  <c r="AO12" i="35"/>
  <c r="AN12" i="35"/>
  <c r="AM12" i="35"/>
  <c r="AS11" i="35"/>
  <c r="AR11" i="35"/>
  <c r="AQ11" i="35"/>
  <c r="AP11" i="35"/>
  <c r="AO11" i="35"/>
  <c r="AN11" i="35"/>
  <c r="AM11" i="35"/>
  <c r="AS10" i="35"/>
  <c r="AR10" i="35"/>
  <c r="AQ10" i="35"/>
  <c r="AP10" i="35"/>
  <c r="AO10" i="35"/>
  <c r="AN10" i="35"/>
  <c r="AM10" i="35"/>
  <c r="AS9" i="35"/>
  <c r="AR9" i="35"/>
  <c r="AQ9" i="35"/>
  <c r="AP9" i="35"/>
  <c r="AO9" i="35"/>
  <c r="AN9" i="35"/>
  <c r="AM9" i="35"/>
  <c r="AS8" i="35"/>
  <c r="AR8" i="35"/>
  <c r="AQ8" i="35"/>
  <c r="AP8" i="35"/>
  <c r="AO8" i="35"/>
  <c r="AN8" i="35"/>
  <c r="AM8" i="35"/>
  <c r="AS7" i="35"/>
  <c r="AR7" i="35"/>
  <c r="AQ7" i="35"/>
  <c r="AP7" i="35"/>
  <c r="AO7" i="35"/>
  <c r="AN7" i="35"/>
  <c r="AM7" i="35"/>
  <c r="AS6" i="35"/>
  <c r="AR6" i="35"/>
  <c r="AQ6" i="35"/>
  <c r="AP6" i="35"/>
  <c r="AO6" i="35"/>
  <c r="AN6" i="35"/>
  <c r="AM6" i="35"/>
  <c r="AL38" i="35"/>
  <c r="AK38" i="35"/>
  <c r="AJ38" i="35"/>
  <c r="AI38" i="35"/>
  <c r="AH38" i="35"/>
  <c r="AG38" i="35"/>
  <c r="AF38" i="35"/>
  <c r="AL37" i="35"/>
  <c r="AK37" i="35"/>
  <c r="AJ37" i="35"/>
  <c r="AI37" i="35"/>
  <c r="AH37" i="35"/>
  <c r="AG37" i="35"/>
  <c r="AF37" i="35"/>
  <c r="AL36" i="35"/>
  <c r="AK36" i="35"/>
  <c r="AJ36" i="35"/>
  <c r="AI36" i="35"/>
  <c r="AH36" i="35"/>
  <c r="AG36" i="35"/>
  <c r="AF36" i="35"/>
  <c r="AL35" i="35"/>
  <c r="AK35" i="35"/>
  <c r="AJ35" i="35"/>
  <c r="AI35" i="35"/>
  <c r="AH35" i="35"/>
  <c r="AG35" i="35"/>
  <c r="AF35" i="35"/>
  <c r="AL34" i="35"/>
  <c r="AK34" i="35"/>
  <c r="AJ34" i="35"/>
  <c r="AI34" i="35"/>
  <c r="AH34" i="35"/>
  <c r="AG34" i="35"/>
  <c r="AF34" i="35"/>
  <c r="AL33" i="35"/>
  <c r="AK33" i="35"/>
  <c r="AJ33" i="35"/>
  <c r="AI33" i="35"/>
  <c r="AH33" i="35"/>
  <c r="AG33" i="35"/>
  <c r="AF33" i="35"/>
  <c r="AL32" i="35"/>
  <c r="AK32" i="35"/>
  <c r="AJ32" i="35"/>
  <c r="AI32" i="35"/>
  <c r="AH32" i="35"/>
  <c r="AG32" i="35"/>
  <c r="AF32" i="35"/>
  <c r="AL30" i="35"/>
  <c r="AK30" i="35"/>
  <c r="AJ30" i="35"/>
  <c r="AI30" i="35"/>
  <c r="AH30" i="35"/>
  <c r="AG30" i="35"/>
  <c r="AF30" i="35"/>
  <c r="AL28" i="35"/>
  <c r="AK28" i="35"/>
  <c r="AJ28" i="35"/>
  <c r="AI28" i="35"/>
  <c r="AH28" i="35"/>
  <c r="AG28" i="35"/>
  <c r="AF28" i="35"/>
  <c r="AL27" i="35"/>
  <c r="AK27" i="35"/>
  <c r="AJ27" i="35"/>
  <c r="AI27" i="35"/>
  <c r="AH27" i="35"/>
  <c r="AG27" i="35"/>
  <c r="AF27" i="35"/>
  <c r="H27" i="38" s="1"/>
  <c r="AL26" i="35"/>
  <c r="AK26" i="35"/>
  <c r="AJ26" i="35"/>
  <c r="AI26" i="35"/>
  <c r="AH26" i="35"/>
  <c r="AG26" i="35"/>
  <c r="AF26" i="35"/>
  <c r="H26" i="38" s="1"/>
  <c r="AL25" i="35"/>
  <c r="AK25" i="35"/>
  <c r="AJ25" i="35"/>
  <c r="AI25" i="35"/>
  <c r="AH25" i="35"/>
  <c r="AG25" i="35"/>
  <c r="AF25" i="35"/>
  <c r="AL24" i="35"/>
  <c r="AK24" i="35"/>
  <c r="AJ24" i="35"/>
  <c r="AI24" i="35"/>
  <c r="AH24" i="35"/>
  <c r="AG24" i="35"/>
  <c r="AF24" i="35"/>
  <c r="AL23" i="35"/>
  <c r="AK23" i="35"/>
  <c r="AJ23" i="35"/>
  <c r="AI23" i="35"/>
  <c r="AH23" i="35"/>
  <c r="AG23" i="35"/>
  <c r="AF23" i="35"/>
  <c r="H23" i="38" s="1"/>
  <c r="AL22" i="35"/>
  <c r="AK22" i="35"/>
  <c r="AJ22" i="35"/>
  <c r="AI22" i="35"/>
  <c r="AH22" i="35"/>
  <c r="AG22" i="35"/>
  <c r="AF22" i="35"/>
  <c r="AL21" i="35"/>
  <c r="AK21" i="35"/>
  <c r="AJ21" i="35"/>
  <c r="AI21" i="35"/>
  <c r="AH21" i="35"/>
  <c r="AG21" i="35"/>
  <c r="AF21" i="35"/>
  <c r="AL20" i="35"/>
  <c r="AK20" i="35"/>
  <c r="AJ20" i="35"/>
  <c r="AI20" i="35"/>
  <c r="AH20" i="35"/>
  <c r="AG20" i="35"/>
  <c r="AF20" i="35"/>
  <c r="AL19" i="35"/>
  <c r="AK19" i="35"/>
  <c r="AJ19" i="35"/>
  <c r="AI19" i="35"/>
  <c r="AH19" i="35"/>
  <c r="AG19" i="35"/>
  <c r="AF19" i="35"/>
  <c r="AL18" i="35"/>
  <c r="AK18" i="35"/>
  <c r="AJ18" i="35"/>
  <c r="AI18" i="35"/>
  <c r="AH18" i="35"/>
  <c r="AG18" i="35"/>
  <c r="AF18" i="35"/>
  <c r="AL17" i="35"/>
  <c r="AK17" i="35"/>
  <c r="AJ17" i="35"/>
  <c r="AI17" i="35"/>
  <c r="AH17" i="35"/>
  <c r="AG17" i="35"/>
  <c r="AF17" i="35"/>
  <c r="AL16" i="35"/>
  <c r="AK16" i="35"/>
  <c r="AJ16" i="35"/>
  <c r="AI16" i="35"/>
  <c r="AH16" i="35"/>
  <c r="AG16" i="35"/>
  <c r="AF16" i="35"/>
  <c r="AL15" i="35"/>
  <c r="AK15" i="35"/>
  <c r="AJ15" i="35"/>
  <c r="AI15" i="35"/>
  <c r="AH15" i="35"/>
  <c r="AG15" i="35"/>
  <c r="AF15" i="35"/>
  <c r="AL13" i="35"/>
  <c r="AK13" i="35"/>
  <c r="AJ13" i="35"/>
  <c r="AI13" i="35"/>
  <c r="AH13" i="35"/>
  <c r="AG13" i="35"/>
  <c r="AF13" i="35"/>
  <c r="AL12" i="35"/>
  <c r="AK12" i="35"/>
  <c r="AJ12" i="35"/>
  <c r="AI12" i="35"/>
  <c r="AH12" i="35"/>
  <c r="AG12" i="35"/>
  <c r="AF12" i="35"/>
  <c r="AL11" i="35"/>
  <c r="AK11" i="35"/>
  <c r="AJ11" i="35"/>
  <c r="AI11" i="35"/>
  <c r="AH11" i="35"/>
  <c r="AG11" i="35"/>
  <c r="AF11" i="35"/>
  <c r="AL10" i="35"/>
  <c r="AK10" i="35"/>
  <c r="AJ10" i="35"/>
  <c r="AI10" i="35"/>
  <c r="AH10" i="35"/>
  <c r="AG10" i="35"/>
  <c r="AF10" i="35"/>
  <c r="AL9" i="35"/>
  <c r="AK9" i="35"/>
  <c r="AJ9" i="35"/>
  <c r="AI9" i="35"/>
  <c r="AH9" i="35"/>
  <c r="AG9" i="35"/>
  <c r="AF9" i="35"/>
  <c r="AL8" i="35"/>
  <c r="AK8" i="35"/>
  <c r="AJ8" i="35"/>
  <c r="AI8" i="35"/>
  <c r="AH8" i="35"/>
  <c r="AG8" i="35"/>
  <c r="AF8" i="35"/>
  <c r="AL7" i="35"/>
  <c r="AK7" i="35"/>
  <c r="AJ7" i="35"/>
  <c r="AI7" i="35"/>
  <c r="AH7" i="35"/>
  <c r="AG7" i="35"/>
  <c r="AF7" i="35"/>
  <c r="AL6" i="35"/>
  <c r="AK6" i="35"/>
  <c r="AJ6" i="35"/>
  <c r="AI6" i="35"/>
  <c r="AH6" i="35"/>
  <c r="AG6" i="35"/>
  <c r="AF6" i="35"/>
  <c r="AE38" i="35"/>
  <c r="AD38" i="35"/>
  <c r="AC38" i="35"/>
  <c r="AB38" i="35"/>
  <c r="AA38" i="35"/>
  <c r="Z38" i="35"/>
  <c r="Y38" i="35"/>
  <c r="AE37" i="35"/>
  <c r="AD37" i="35"/>
  <c r="AC37" i="35"/>
  <c r="AB37" i="35"/>
  <c r="AA37" i="35"/>
  <c r="Z37" i="35"/>
  <c r="Y37" i="35"/>
  <c r="AE36" i="35"/>
  <c r="AD36" i="35"/>
  <c r="AC36" i="35"/>
  <c r="AB36" i="35"/>
  <c r="AA36" i="35"/>
  <c r="Z36" i="35"/>
  <c r="Y36" i="35"/>
  <c r="AE35" i="35"/>
  <c r="AD35" i="35"/>
  <c r="AC35" i="35"/>
  <c r="AB35" i="35"/>
  <c r="AA35" i="35"/>
  <c r="Z35" i="35"/>
  <c r="Y35" i="35"/>
  <c r="AE34" i="35"/>
  <c r="AD34" i="35"/>
  <c r="AC34" i="35"/>
  <c r="AB34" i="35"/>
  <c r="AA34" i="35"/>
  <c r="Z34" i="35"/>
  <c r="Y34" i="35"/>
  <c r="AE33" i="35"/>
  <c r="AD33" i="35"/>
  <c r="AC33" i="35"/>
  <c r="AB33" i="35"/>
  <c r="AA33" i="35"/>
  <c r="Z33" i="35"/>
  <c r="Y33" i="35"/>
  <c r="AE32" i="35"/>
  <c r="AD32" i="35"/>
  <c r="AC32" i="35"/>
  <c r="AB32" i="35"/>
  <c r="AA32" i="35"/>
  <c r="Z32" i="35"/>
  <c r="Y32" i="35"/>
  <c r="AE30" i="35"/>
  <c r="AD30" i="35"/>
  <c r="AC30" i="35"/>
  <c r="AB30" i="35"/>
  <c r="AA30" i="35"/>
  <c r="Z30" i="35"/>
  <c r="Y30" i="35"/>
  <c r="AE28" i="35"/>
  <c r="AD28" i="35"/>
  <c r="AC28" i="35"/>
  <c r="AB28" i="35"/>
  <c r="AA28" i="35"/>
  <c r="Z28" i="35"/>
  <c r="Y28" i="35"/>
  <c r="AE27" i="35"/>
  <c r="AD27" i="35"/>
  <c r="AC27" i="35"/>
  <c r="AB27" i="35"/>
  <c r="AA27" i="35"/>
  <c r="Z27" i="35"/>
  <c r="Y27" i="35"/>
  <c r="G27" i="38" s="1"/>
  <c r="AE26" i="35"/>
  <c r="AD26" i="35"/>
  <c r="AC26" i="35"/>
  <c r="AB26" i="35"/>
  <c r="AA26" i="35"/>
  <c r="Z26" i="35"/>
  <c r="Y26" i="35"/>
  <c r="G26" i="38" s="1"/>
  <c r="AE25" i="35"/>
  <c r="AD25" i="35"/>
  <c r="AC25" i="35"/>
  <c r="AB25" i="35"/>
  <c r="AA25" i="35"/>
  <c r="Z25" i="35"/>
  <c r="Y25" i="35"/>
  <c r="AE24" i="35"/>
  <c r="AD24" i="35"/>
  <c r="AC24" i="35"/>
  <c r="AB24" i="35"/>
  <c r="AA24" i="35"/>
  <c r="Z24" i="35"/>
  <c r="Y24" i="35"/>
  <c r="AE23" i="35"/>
  <c r="AD23" i="35"/>
  <c r="AC23" i="35"/>
  <c r="AB23" i="35"/>
  <c r="AA23" i="35"/>
  <c r="Z23" i="35"/>
  <c r="Y23" i="35"/>
  <c r="G23" i="38" s="1"/>
  <c r="AE22" i="35"/>
  <c r="AD22" i="35"/>
  <c r="AC22" i="35"/>
  <c r="AB22" i="35"/>
  <c r="AA22" i="35"/>
  <c r="Z22" i="35"/>
  <c r="Y22" i="35"/>
  <c r="AE21" i="35"/>
  <c r="AD21" i="35"/>
  <c r="AC21" i="35"/>
  <c r="AB21" i="35"/>
  <c r="AA21" i="35"/>
  <c r="Z21" i="35"/>
  <c r="Y21" i="35"/>
  <c r="AE20" i="35"/>
  <c r="AD20" i="35"/>
  <c r="AC20" i="35"/>
  <c r="AB20" i="35"/>
  <c r="AA20" i="35"/>
  <c r="Z20" i="35"/>
  <c r="Y20" i="35"/>
  <c r="AE19" i="35"/>
  <c r="AD19" i="35"/>
  <c r="AC19" i="35"/>
  <c r="AB19" i="35"/>
  <c r="AA19" i="35"/>
  <c r="Z19" i="35"/>
  <c r="Y19" i="35"/>
  <c r="AE18" i="35"/>
  <c r="AD18" i="35"/>
  <c r="AC18" i="35"/>
  <c r="AB18" i="35"/>
  <c r="AA18" i="35"/>
  <c r="Z18" i="35"/>
  <c r="Y18" i="35"/>
  <c r="AE17" i="35"/>
  <c r="AD17" i="35"/>
  <c r="AC17" i="35"/>
  <c r="AB17" i="35"/>
  <c r="AA17" i="35"/>
  <c r="Z17" i="35"/>
  <c r="Y17" i="35"/>
  <c r="AE16" i="35"/>
  <c r="AD16" i="35"/>
  <c r="AC16" i="35"/>
  <c r="AB16" i="35"/>
  <c r="AA16" i="35"/>
  <c r="Z16" i="35"/>
  <c r="Y16" i="35"/>
  <c r="AE15" i="35"/>
  <c r="AD15" i="35"/>
  <c r="AC15" i="35"/>
  <c r="AB15" i="35"/>
  <c r="AA15" i="35"/>
  <c r="Z15" i="35"/>
  <c r="Y15" i="35"/>
  <c r="AE13" i="35"/>
  <c r="AD13" i="35"/>
  <c r="AC13" i="35"/>
  <c r="AB13" i="35"/>
  <c r="AA13" i="35"/>
  <c r="Z13" i="35"/>
  <c r="Y13" i="35"/>
  <c r="AE12" i="35"/>
  <c r="AD12" i="35"/>
  <c r="AC12" i="35"/>
  <c r="AB12" i="35"/>
  <c r="AA12" i="35"/>
  <c r="Z12" i="35"/>
  <c r="Y12" i="35"/>
  <c r="AE11" i="35"/>
  <c r="AD11" i="35"/>
  <c r="AC11" i="35"/>
  <c r="AB11" i="35"/>
  <c r="AA11" i="35"/>
  <c r="Z11" i="35"/>
  <c r="Y11" i="35"/>
  <c r="AE10" i="35"/>
  <c r="AD10" i="35"/>
  <c r="AC10" i="35"/>
  <c r="AB10" i="35"/>
  <c r="AA10" i="35"/>
  <c r="Z10" i="35"/>
  <c r="Y10" i="35"/>
  <c r="AE9" i="35"/>
  <c r="AD9" i="35"/>
  <c r="AC9" i="35"/>
  <c r="AB9" i="35"/>
  <c r="AA9" i="35"/>
  <c r="Z9" i="35"/>
  <c r="Y9" i="35"/>
  <c r="AE8" i="35"/>
  <c r="AD8" i="35"/>
  <c r="AC8" i="35"/>
  <c r="AB8" i="35"/>
  <c r="AA8" i="35"/>
  <c r="Z8" i="35"/>
  <c r="Y8" i="35"/>
  <c r="AE7" i="35"/>
  <c r="AD7" i="35"/>
  <c r="AC7" i="35"/>
  <c r="AB7" i="35"/>
  <c r="AA7" i="35"/>
  <c r="Z7" i="35"/>
  <c r="Y7" i="35"/>
  <c r="AE6" i="35"/>
  <c r="AD6" i="35"/>
  <c r="AC6" i="35"/>
  <c r="AB6" i="35"/>
  <c r="AA6" i="35"/>
  <c r="Z6" i="35"/>
  <c r="Y6" i="35"/>
  <c r="X38" i="35"/>
  <c r="W38" i="35"/>
  <c r="V38" i="35"/>
  <c r="U38" i="35"/>
  <c r="T38" i="35"/>
  <c r="S38" i="35"/>
  <c r="R38" i="35"/>
  <c r="X37" i="35"/>
  <c r="W37" i="35"/>
  <c r="V37" i="35"/>
  <c r="U37" i="35"/>
  <c r="T37" i="35"/>
  <c r="S37" i="35"/>
  <c r="R37" i="35"/>
  <c r="X36" i="35"/>
  <c r="W36" i="35"/>
  <c r="V36" i="35"/>
  <c r="U36" i="35"/>
  <c r="T36" i="35"/>
  <c r="S36" i="35"/>
  <c r="R36" i="35"/>
  <c r="X35" i="35"/>
  <c r="W35" i="35"/>
  <c r="V35" i="35"/>
  <c r="U35" i="35"/>
  <c r="T35" i="35"/>
  <c r="S35" i="35"/>
  <c r="R35" i="35"/>
  <c r="X34" i="35"/>
  <c r="W34" i="35"/>
  <c r="V34" i="35"/>
  <c r="U34" i="35"/>
  <c r="T34" i="35"/>
  <c r="S34" i="35"/>
  <c r="R34" i="35"/>
  <c r="X33" i="35"/>
  <c r="W33" i="35"/>
  <c r="V33" i="35"/>
  <c r="U33" i="35"/>
  <c r="T33" i="35"/>
  <c r="S33" i="35"/>
  <c r="R33" i="35"/>
  <c r="X32" i="35"/>
  <c r="W32" i="35"/>
  <c r="V32" i="35"/>
  <c r="U32" i="35"/>
  <c r="T32" i="35"/>
  <c r="S32" i="35"/>
  <c r="R32" i="35"/>
  <c r="X30" i="35"/>
  <c r="W30" i="35"/>
  <c r="V30" i="35"/>
  <c r="U30" i="35"/>
  <c r="T30" i="35"/>
  <c r="S30" i="35"/>
  <c r="R30" i="35"/>
  <c r="X28" i="35"/>
  <c r="W28" i="35"/>
  <c r="V28" i="35"/>
  <c r="U28" i="35"/>
  <c r="T28" i="35"/>
  <c r="S28" i="35"/>
  <c r="R28" i="35"/>
  <c r="X27" i="35"/>
  <c r="W27" i="35"/>
  <c r="V27" i="35"/>
  <c r="U27" i="35"/>
  <c r="T27" i="35"/>
  <c r="S27" i="35"/>
  <c r="R27" i="35"/>
  <c r="F27" i="38" s="1"/>
  <c r="X26" i="35"/>
  <c r="W26" i="35"/>
  <c r="V26" i="35"/>
  <c r="U26" i="35"/>
  <c r="T26" i="35"/>
  <c r="S26" i="35"/>
  <c r="R26" i="35"/>
  <c r="F26" i="38" s="1"/>
  <c r="X25" i="35"/>
  <c r="W25" i="35"/>
  <c r="V25" i="35"/>
  <c r="U25" i="35"/>
  <c r="T25" i="35"/>
  <c r="S25" i="35"/>
  <c r="R25" i="35"/>
  <c r="X24" i="35"/>
  <c r="W24" i="35"/>
  <c r="V24" i="35"/>
  <c r="U24" i="35"/>
  <c r="T24" i="35"/>
  <c r="S24" i="35"/>
  <c r="R24" i="35"/>
  <c r="X23" i="35"/>
  <c r="W23" i="35"/>
  <c r="V23" i="35"/>
  <c r="U23" i="35"/>
  <c r="T23" i="35"/>
  <c r="S23" i="35"/>
  <c r="R23" i="35"/>
  <c r="F23" i="38" s="1"/>
  <c r="X22" i="35"/>
  <c r="W22" i="35"/>
  <c r="V22" i="35"/>
  <c r="U22" i="35"/>
  <c r="T22" i="35"/>
  <c r="S22" i="35"/>
  <c r="R22" i="35"/>
  <c r="X21" i="35"/>
  <c r="W21" i="35"/>
  <c r="V21" i="35"/>
  <c r="U21" i="35"/>
  <c r="T21" i="35"/>
  <c r="S21" i="35"/>
  <c r="R21" i="35"/>
  <c r="X20" i="35"/>
  <c r="W20" i="35"/>
  <c r="V20" i="35"/>
  <c r="U20" i="35"/>
  <c r="T20" i="35"/>
  <c r="S20" i="35"/>
  <c r="R20" i="35"/>
  <c r="X19" i="35"/>
  <c r="W19" i="35"/>
  <c r="V19" i="35"/>
  <c r="U19" i="35"/>
  <c r="T19" i="35"/>
  <c r="S19" i="35"/>
  <c r="R19" i="35"/>
  <c r="X18" i="35"/>
  <c r="W18" i="35"/>
  <c r="V18" i="35"/>
  <c r="U18" i="35"/>
  <c r="T18" i="35"/>
  <c r="S18" i="35"/>
  <c r="R18" i="35"/>
  <c r="X17" i="35"/>
  <c r="W17" i="35"/>
  <c r="V17" i="35"/>
  <c r="U17" i="35"/>
  <c r="T17" i="35"/>
  <c r="S17" i="35"/>
  <c r="R17" i="35"/>
  <c r="X16" i="35"/>
  <c r="W16" i="35"/>
  <c r="V16" i="35"/>
  <c r="U16" i="35"/>
  <c r="T16" i="35"/>
  <c r="S16" i="35"/>
  <c r="R16" i="35"/>
  <c r="X15" i="35"/>
  <c r="W15" i="35"/>
  <c r="V15" i="35"/>
  <c r="U15" i="35"/>
  <c r="T15" i="35"/>
  <c r="S15" i="35"/>
  <c r="R15" i="35"/>
  <c r="X13" i="35"/>
  <c r="W13" i="35"/>
  <c r="V13" i="35"/>
  <c r="U13" i="35"/>
  <c r="T13" i="35"/>
  <c r="S13" i="35"/>
  <c r="R13" i="35"/>
  <c r="X12" i="35"/>
  <c r="W12" i="35"/>
  <c r="V12" i="35"/>
  <c r="U12" i="35"/>
  <c r="T12" i="35"/>
  <c r="S12" i="35"/>
  <c r="R12" i="35"/>
  <c r="X11" i="35"/>
  <c r="W11" i="35"/>
  <c r="V11" i="35"/>
  <c r="U11" i="35"/>
  <c r="T11" i="35"/>
  <c r="S11" i="35"/>
  <c r="R11" i="35"/>
  <c r="X10" i="35"/>
  <c r="W10" i="35"/>
  <c r="V10" i="35"/>
  <c r="U10" i="35"/>
  <c r="T10" i="35"/>
  <c r="S10" i="35"/>
  <c r="R10" i="35"/>
  <c r="X9" i="35"/>
  <c r="W9" i="35"/>
  <c r="V9" i="35"/>
  <c r="U9" i="35"/>
  <c r="T9" i="35"/>
  <c r="S9" i="35"/>
  <c r="R9" i="35"/>
  <c r="X8" i="35"/>
  <c r="W8" i="35"/>
  <c r="V8" i="35"/>
  <c r="U8" i="35"/>
  <c r="T8" i="35"/>
  <c r="S8" i="35"/>
  <c r="R8" i="35"/>
  <c r="X7" i="35"/>
  <c r="W7" i="35"/>
  <c r="V7" i="35"/>
  <c r="U7" i="35"/>
  <c r="T7" i="35"/>
  <c r="S7" i="35"/>
  <c r="R7" i="35"/>
  <c r="X6" i="35"/>
  <c r="W6" i="35"/>
  <c r="V6" i="35"/>
  <c r="U6" i="35"/>
  <c r="T6" i="35"/>
  <c r="S6" i="35"/>
  <c r="R6" i="35"/>
  <c r="Q38" i="35"/>
  <c r="P38" i="35"/>
  <c r="O38" i="35"/>
  <c r="N38" i="35"/>
  <c r="M38" i="35"/>
  <c r="L38" i="35"/>
  <c r="K38" i="35"/>
  <c r="Q37" i="35"/>
  <c r="P37" i="35"/>
  <c r="O37" i="35"/>
  <c r="N37" i="35"/>
  <c r="M37" i="35"/>
  <c r="L37" i="35"/>
  <c r="K37" i="35"/>
  <c r="Q36" i="35"/>
  <c r="P36" i="35"/>
  <c r="O36" i="35"/>
  <c r="N36" i="35"/>
  <c r="M36" i="35"/>
  <c r="L36" i="35"/>
  <c r="K36" i="35"/>
  <c r="Q35" i="35"/>
  <c r="P35" i="35"/>
  <c r="O35" i="35"/>
  <c r="N35" i="35"/>
  <c r="M35" i="35"/>
  <c r="L35" i="35"/>
  <c r="K35" i="35"/>
  <c r="Q34" i="35"/>
  <c r="P34" i="35"/>
  <c r="O34" i="35"/>
  <c r="N34" i="35"/>
  <c r="M34" i="35"/>
  <c r="L34" i="35"/>
  <c r="K34" i="35"/>
  <c r="Q33" i="35"/>
  <c r="P33" i="35"/>
  <c r="O33" i="35"/>
  <c r="N33" i="35"/>
  <c r="M33" i="35"/>
  <c r="L33" i="35"/>
  <c r="K33" i="35"/>
  <c r="Q32" i="35"/>
  <c r="P32" i="35"/>
  <c r="O32" i="35"/>
  <c r="N32" i="35"/>
  <c r="M32" i="35"/>
  <c r="L32" i="35"/>
  <c r="K32" i="35"/>
  <c r="Q30" i="35"/>
  <c r="P30" i="35"/>
  <c r="O30" i="35"/>
  <c r="N30" i="35"/>
  <c r="M30" i="35"/>
  <c r="L30" i="35"/>
  <c r="K30" i="35"/>
  <c r="Q28" i="35"/>
  <c r="P28" i="35"/>
  <c r="O28" i="35"/>
  <c r="N28" i="35"/>
  <c r="M28" i="35"/>
  <c r="L28" i="35"/>
  <c r="K28" i="35"/>
  <c r="Q27" i="35"/>
  <c r="P27" i="35"/>
  <c r="O27" i="35"/>
  <c r="N27" i="35"/>
  <c r="M27" i="35"/>
  <c r="L27" i="35"/>
  <c r="K27" i="35"/>
  <c r="E27" i="38" s="1"/>
  <c r="Q26" i="35"/>
  <c r="P26" i="35"/>
  <c r="O26" i="35"/>
  <c r="N26" i="35"/>
  <c r="M26" i="35"/>
  <c r="L26" i="35"/>
  <c r="K26" i="35"/>
  <c r="E26" i="38" s="1"/>
  <c r="Q25" i="35"/>
  <c r="P25" i="35"/>
  <c r="O25" i="35"/>
  <c r="N25" i="35"/>
  <c r="M25" i="35"/>
  <c r="L25" i="35"/>
  <c r="K25" i="35"/>
  <c r="Q24" i="35"/>
  <c r="P24" i="35"/>
  <c r="O24" i="35"/>
  <c r="N24" i="35"/>
  <c r="M24" i="35"/>
  <c r="L24" i="35"/>
  <c r="K24" i="35"/>
  <c r="Q23" i="35"/>
  <c r="P23" i="35"/>
  <c r="O23" i="35"/>
  <c r="N23" i="35"/>
  <c r="M23" i="35"/>
  <c r="L23" i="35"/>
  <c r="K23" i="35"/>
  <c r="E23" i="38" s="1"/>
  <c r="E46" i="21" s="1"/>
  <c r="Q22" i="35"/>
  <c r="P22" i="35"/>
  <c r="O22" i="35"/>
  <c r="N22" i="35"/>
  <c r="M22" i="35"/>
  <c r="L22" i="35"/>
  <c r="K22" i="35"/>
  <c r="Q21" i="35"/>
  <c r="P21" i="35"/>
  <c r="O21" i="35"/>
  <c r="N21" i="35"/>
  <c r="M21" i="35"/>
  <c r="L21" i="35"/>
  <c r="K21" i="35"/>
  <c r="Q20" i="35"/>
  <c r="P20" i="35"/>
  <c r="O20" i="35"/>
  <c r="N20" i="35"/>
  <c r="M20" i="35"/>
  <c r="L20" i="35"/>
  <c r="K20" i="35"/>
  <c r="Q19" i="35"/>
  <c r="P19" i="35"/>
  <c r="O19" i="35"/>
  <c r="N19" i="35"/>
  <c r="M19" i="35"/>
  <c r="L19" i="35"/>
  <c r="K19" i="35"/>
  <c r="Q18" i="35"/>
  <c r="P18" i="35"/>
  <c r="O18" i="35"/>
  <c r="N18" i="35"/>
  <c r="M18" i="35"/>
  <c r="L18" i="35"/>
  <c r="K18" i="35"/>
  <c r="Q17" i="35"/>
  <c r="P17" i="35"/>
  <c r="O17" i="35"/>
  <c r="N17" i="35"/>
  <c r="M17" i="35"/>
  <c r="L17" i="35"/>
  <c r="K17" i="35"/>
  <c r="Q16" i="35"/>
  <c r="P16" i="35"/>
  <c r="O16" i="35"/>
  <c r="N16" i="35"/>
  <c r="M16" i="35"/>
  <c r="L16" i="35"/>
  <c r="K16" i="35"/>
  <c r="Q15" i="35"/>
  <c r="P15" i="35"/>
  <c r="O15" i="35"/>
  <c r="N15" i="35"/>
  <c r="M15" i="35"/>
  <c r="L15" i="35"/>
  <c r="K15" i="35"/>
  <c r="Q13" i="35"/>
  <c r="P13" i="35"/>
  <c r="O13" i="35"/>
  <c r="N13" i="35"/>
  <c r="M13" i="35"/>
  <c r="L13" i="35"/>
  <c r="K13" i="35"/>
  <c r="Q12" i="35"/>
  <c r="P12" i="35"/>
  <c r="O12" i="35"/>
  <c r="N12" i="35"/>
  <c r="M12" i="35"/>
  <c r="L12" i="35"/>
  <c r="K12" i="35"/>
  <c r="Q11" i="35"/>
  <c r="P11" i="35"/>
  <c r="O11" i="35"/>
  <c r="N11" i="35"/>
  <c r="M11" i="35"/>
  <c r="L11" i="35"/>
  <c r="K11" i="35"/>
  <c r="Q10" i="35"/>
  <c r="P10" i="35"/>
  <c r="O10" i="35"/>
  <c r="N10" i="35"/>
  <c r="M10" i="35"/>
  <c r="L10" i="35"/>
  <c r="K10" i="35"/>
  <c r="Q9" i="35"/>
  <c r="P9" i="35"/>
  <c r="O9" i="35"/>
  <c r="N9" i="35"/>
  <c r="M9" i="35"/>
  <c r="L9" i="35"/>
  <c r="K9" i="35"/>
  <c r="Q8" i="35"/>
  <c r="P8" i="35"/>
  <c r="O8" i="35"/>
  <c r="N8" i="35"/>
  <c r="M8" i="35"/>
  <c r="L8" i="35"/>
  <c r="K8" i="35"/>
  <c r="Q7" i="35"/>
  <c r="P7" i="35"/>
  <c r="O7" i="35"/>
  <c r="N7" i="35"/>
  <c r="M7" i="35"/>
  <c r="L7" i="35"/>
  <c r="K7" i="35"/>
  <c r="Q6" i="35"/>
  <c r="P6" i="35"/>
  <c r="O6" i="35"/>
  <c r="N6" i="35"/>
  <c r="M6" i="35"/>
  <c r="L6" i="35"/>
  <c r="K6" i="35"/>
  <c r="J38" i="35"/>
  <c r="I38" i="35"/>
  <c r="H38" i="35"/>
  <c r="G38" i="35"/>
  <c r="F38" i="35"/>
  <c r="E38" i="35"/>
  <c r="D38" i="35"/>
  <c r="J37" i="35"/>
  <c r="I37" i="35"/>
  <c r="H37" i="35"/>
  <c r="G37" i="35"/>
  <c r="F37" i="35"/>
  <c r="E37" i="35"/>
  <c r="D37" i="35"/>
  <c r="J36" i="35"/>
  <c r="I36" i="35"/>
  <c r="H36" i="35"/>
  <c r="G36" i="35"/>
  <c r="F36" i="35"/>
  <c r="E36" i="35"/>
  <c r="D36" i="35"/>
  <c r="J35" i="35"/>
  <c r="I35" i="35"/>
  <c r="H35" i="35"/>
  <c r="G35" i="35"/>
  <c r="F35" i="35"/>
  <c r="E35" i="35"/>
  <c r="D35" i="35"/>
  <c r="J34" i="35"/>
  <c r="I34" i="35"/>
  <c r="H34" i="35"/>
  <c r="G34" i="35"/>
  <c r="F34" i="35"/>
  <c r="E34" i="35"/>
  <c r="D34" i="35"/>
  <c r="J33" i="35"/>
  <c r="I33" i="35"/>
  <c r="H33" i="35"/>
  <c r="G33" i="35"/>
  <c r="F33" i="35"/>
  <c r="E33" i="35"/>
  <c r="D33" i="35"/>
  <c r="J32" i="35"/>
  <c r="I32" i="35"/>
  <c r="H32" i="35"/>
  <c r="G32" i="35"/>
  <c r="F32" i="35"/>
  <c r="E32" i="35"/>
  <c r="D32" i="35"/>
  <c r="J30" i="35"/>
  <c r="I30" i="35"/>
  <c r="H30" i="35"/>
  <c r="G30" i="35"/>
  <c r="F30" i="35"/>
  <c r="E30" i="35"/>
  <c r="D30" i="35"/>
  <c r="J28" i="35"/>
  <c r="I28" i="35"/>
  <c r="H28" i="35"/>
  <c r="G28" i="35"/>
  <c r="F28" i="35"/>
  <c r="E28" i="35"/>
  <c r="D28" i="35"/>
  <c r="J27" i="35"/>
  <c r="I27" i="35"/>
  <c r="H27" i="35"/>
  <c r="G27" i="35"/>
  <c r="F27" i="35"/>
  <c r="E27" i="35"/>
  <c r="D27" i="35"/>
  <c r="D27" i="38" s="1"/>
  <c r="J26" i="35"/>
  <c r="I26" i="35"/>
  <c r="H26" i="35"/>
  <c r="G26" i="35"/>
  <c r="F26" i="35"/>
  <c r="E26" i="35"/>
  <c r="D26" i="35"/>
  <c r="D26" i="38" s="1"/>
  <c r="E47" i="18" s="1"/>
  <c r="J25" i="35"/>
  <c r="I25" i="35"/>
  <c r="H25" i="35"/>
  <c r="G25" i="35"/>
  <c r="F25" i="35"/>
  <c r="E25" i="35"/>
  <c r="D25" i="35"/>
  <c r="J24" i="35"/>
  <c r="I24" i="35"/>
  <c r="H24" i="35"/>
  <c r="G24" i="35"/>
  <c r="F24" i="35"/>
  <c r="E24" i="35"/>
  <c r="D24" i="35"/>
  <c r="J23" i="35"/>
  <c r="I23" i="35"/>
  <c r="H23" i="35"/>
  <c r="G23" i="35"/>
  <c r="F23" i="35"/>
  <c r="E23" i="35"/>
  <c r="D23" i="35"/>
  <c r="D23" i="38" s="1"/>
  <c r="J22" i="35"/>
  <c r="I22" i="35"/>
  <c r="H22" i="35"/>
  <c r="G22" i="35"/>
  <c r="F22" i="35"/>
  <c r="E22" i="35"/>
  <c r="D22" i="35"/>
  <c r="J21" i="35"/>
  <c r="I21" i="35"/>
  <c r="H21" i="35"/>
  <c r="G21" i="35"/>
  <c r="F21" i="35"/>
  <c r="E21" i="35"/>
  <c r="D21" i="35"/>
  <c r="J20" i="35"/>
  <c r="I20" i="35"/>
  <c r="H20" i="35"/>
  <c r="G20" i="35"/>
  <c r="F20" i="35"/>
  <c r="E20" i="35"/>
  <c r="D20" i="35"/>
  <c r="J19" i="35"/>
  <c r="I19" i="35"/>
  <c r="H19" i="35"/>
  <c r="G19" i="35"/>
  <c r="F19" i="35"/>
  <c r="E19" i="35"/>
  <c r="D19" i="35"/>
  <c r="D19" i="38" s="1"/>
  <c r="J18" i="35"/>
  <c r="I18" i="35"/>
  <c r="H18" i="35"/>
  <c r="G18" i="35"/>
  <c r="F18" i="35"/>
  <c r="E18" i="35"/>
  <c r="D18" i="35"/>
  <c r="J17" i="35"/>
  <c r="I17" i="35"/>
  <c r="H17" i="35"/>
  <c r="G17" i="35"/>
  <c r="F17" i="35"/>
  <c r="E17" i="35"/>
  <c r="D17" i="35"/>
  <c r="J16" i="35"/>
  <c r="I16" i="35"/>
  <c r="H16" i="35"/>
  <c r="G16" i="35"/>
  <c r="F16" i="35"/>
  <c r="E16" i="35"/>
  <c r="D16" i="35"/>
  <c r="J15" i="35"/>
  <c r="I15" i="35"/>
  <c r="H15" i="35"/>
  <c r="G15" i="35"/>
  <c r="F15" i="35"/>
  <c r="E15" i="35"/>
  <c r="D15" i="35"/>
  <c r="J13" i="35"/>
  <c r="I13" i="35"/>
  <c r="H13" i="35"/>
  <c r="G13" i="35"/>
  <c r="F13" i="35"/>
  <c r="E13" i="35"/>
  <c r="D13" i="35"/>
  <c r="J12" i="35"/>
  <c r="I12" i="35"/>
  <c r="H12" i="35"/>
  <c r="G12" i="35"/>
  <c r="F12" i="35"/>
  <c r="E12" i="35"/>
  <c r="D12" i="35"/>
  <c r="J11" i="35"/>
  <c r="I11" i="35"/>
  <c r="H11" i="35"/>
  <c r="G11" i="35"/>
  <c r="F11" i="35"/>
  <c r="E11" i="35"/>
  <c r="D11" i="35"/>
  <c r="J10" i="35"/>
  <c r="I10" i="35"/>
  <c r="H10" i="35"/>
  <c r="G10" i="35"/>
  <c r="F10" i="35"/>
  <c r="E10" i="35"/>
  <c r="D10" i="35"/>
  <c r="J9" i="35"/>
  <c r="I9" i="35"/>
  <c r="H9" i="35"/>
  <c r="G9" i="35"/>
  <c r="F9" i="35"/>
  <c r="E9" i="35"/>
  <c r="D9" i="35"/>
  <c r="J8" i="35"/>
  <c r="I8" i="35"/>
  <c r="H8" i="35"/>
  <c r="G8" i="35"/>
  <c r="F8" i="35"/>
  <c r="E8" i="35"/>
  <c r="D8" i="35"/>
  <c r="J7" i="35"/>
  <c r="I7" i="35"/>
  <c r="H7" i="35"/>
  <c r="G7" i="35"/>
  <c r="F7" i="35"/>
  <c r="E7" i="35"/>
  <c r="D7" i="35"/>
  <c r="J6" i="35"/>
  <c r="I6" i="35"/>
  <c r="H6" i="35"/>
  <c r="G6" i="35"/>
  <c r="F6" i="35"/>
  <c r="E6" i="35"/>
  <c r="D6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H5" i="35"/>
  <c r="G5" i="35"/>
  <c r="F5" i="35"/>
  <c r="E5" i="35"/>
  <c r="D5" i="35"/>
  <c r="AS4" i="35"/>
  <c r="AR4" i="35"/>
  <c r="AQ4" i="35"/>
  <c r="AP4" i="35"/>
  <c r="AO4" i="35"/>
  <c r="AN4" i="35"/>
  <c r="AM4" i="35"/>
  <c r="AL4" i="35"/>
  <c r="AK4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V4" i="35"/>
  <c r="U4" i="35"/>
  <c r="T4" i="35"/>
  <c r="S4" i="35"/>
  <c r="R4" i="35"/>
  <c r="Q4" i="35"/>
  <c r="P4" i="35"/>
  <c r="O4" i="35"/>
  <c r="N4" i="35"/>
  <c r="M4" i="35"/>
  <c r="L4" i="35"/>
  <c r="K4" i="35"/>
  <c r="J4" i="35"/>
  <c r="I4" i="35"/>
  <c r="H4" i="35"/>
  <c r="G4" i="35"/>
  <c r="F4" i="35"/>
  <c r="E4" i="35"/>
  <c r="D4" i="35"/>
  <c r="AS3" i="35"/>
  <c r="AR3" i="35"/>
  <c r="AQ3" i="35"/>
  <c r="AP3" i="35"/>
  <c r="AO3" i="35"/>
  <c r="AN3" i="35"/>
  <c r="AM3" i="35"/>
  <c r="AL3" i="35"/>
  <c r="AK3" i="35"/>
  <c r="AJ3" i="35"/>
  <c r="AI3" i="35"/>
  <c r="AH3" i="35"/>
  <c r="AG3" i="35"/>
  <c r="AF3" i="35"/>
  <c r="AE3" i="35"/>
  <c r="AD3" i="35"/>
  <c r="AC3" i="35"/>
  <c r="AB3" i="35"/>
  <c r="AA3" i="35"/>
  <c r="Z3" i="35"/>
  <c r="Y3" i="35"/>
  <c r="X3" i="35"/>
  <c r="W3" i="35"/>
  <c r="V3" i="35"/>
  <c r="U3" i="35"/>
  <c r="T3" i="35"/>
  <c r="S3" i="35"/>
  <c r="R3" i="35"/>
  <c r="Q3" i="35"/>
  <c r="P3" i="35"/>
  <c r="O3" i="35"/>
  <c r="N3" i="35"/>
  <c r="M3" i="35"/>
  <c r="L3" i="35"/>
  <c r="K3" i="35"/>
  <c r="J3" i="35"/>
  <c r="I3" i="35"/>
  <c r="H3" i="35"/>
  <c r="G3" i="35"/>
  <c r="F3" i="35"/>
  <c r="E3" i="35"/>
  <c r="D3" i="35"/>
  <c r="A3" i="34"/>
  <c r="A3" i="33"/>
  <c r="A3" i="32"/>
  <c r="A3" i="31"/>
  <c r="A3" i="30"/>
  <c r="A3" i="29"/>
  <c r="E46" i="9" l="1"/>
  <c r="E37" i="9"/>
  <c r="E33" i="9"/>
  <c r="E46" i="20"/>
  <c r="E50" i="19"/>
  <c r="E11" i="9"/>
  <c r="E43" i="22"/>
  <c r="H73" i="47"/>
  <c r="H9" i="47"/>
  <c r="H9" i="45"/>
  <c r="H24" i="21"/>
  <c r="H24" i="20"/>
  <c r="H20" i="1"/>
  <c r="H19" i="19"/>
  <c r="H24" i="18"/>
  <c r="H33" i="17"/>
  <c r="H25" i="17"/>
  <c r="H11" i="17"/>
  <c r="K73" i="47"/>
  <c r="K9" i="47"/>
  <c r="K9" i="45"/>
  <c r="K24" i="21"/>
  <c r="K24" i="20"/>
  <c r="K19" i="19"/>
  <c r="K24" i="18"/>
  <c r="K33" i="17"/>
  <c r="K25" i="17"/>
  <c r="K11" i="17"/>
  <c r="L73" i="47"/>
  <c r="L9" i="47"/>
  <c r="L9" i="45"/>
  <c r="L20" i="1"/>
  <c r="L24" i="21"/>
  <c r="L24" i="20"/>
  <c r="L25" i="17"/>
  <c r="L11" i="17"/>
  <c r="L24" i="18"/>
  <c r="L33" i="17"/>
  <c r="K19" i="22"/>
  <c r="K22" i="9"/>
  <c r="H27" i="11"/>
  <c r="H20" i="11"/>
  <c r="D14" i="38"/>
  <c r="D20" i="38"/>
  <c r="D22" i="38"/>
  <c r="D32" i="38"/>
  <c r="D34" i="38"/>
  <c r="E9" i="46" s="1"/>
  <c r="Q9" i="46" s="1"/>
  <c r="E31" i="46" s="1"/>
  <c r="D36" i="38"/>
  <c r="D38" i="38"/>
  <c r="E3" i="38"/>
  <c r="E4" i="38"/>
  <c r="E5" i="38"/>
  <c r="E7" i="38"/>
  <c r="E9" i="38"/>
  <c r="E11" i="38"/>
  <c r="E13" i="38"/>
  <c r="E16" i="38"/>
  <c r="E18" i="38"/>
  <c r="E20" i="38"/>
  <c r="E22" i="38"/>
  <c r="E32" i="38"/>
  <c r="E34" i="38"/>
  <c r="E36" i="38"/>
  <c r="E38" i="38"/>
  <c r="F7" i="38"/>
  <c r="F9" i="38"/>
  <c r="F11" i="38"/>
  <c r="F13" i="38"/>
  <c r="F16" i="38"/>
  <c r="F18" i="38"/>
  <c r="F20" i="38"/>
  <c r="F22" i="38"/>
  <c r="F32" i="38"/>
  <c r="F34" i="38"/>
  <c r="E44" i="9" s="1"/>
  <c r="F36" i="38"/>
  <c r="F38" i="38"/>
  <c r="G3" i="38"/>
  <c r="G4" i="38"/>
  <c r="G5" i="38"/>
  <c r="G7" i="38"/>
  <c r="G9" i="38"/>
  <c r="G11" i="38"/>
  <c r="E28" i="11" s="1"/>
  <c r="G13" i="38"/>
  <c r="E34" i="11" s="1"/>
  <c r="G16" i="38"/>
  <c r="G18" i="38"/>
  <c r="G20" i="38"/>
  <c r="G22" i="38"/>
  <c r="G32" i="38"/>
  <c r="E46" i="11" s="1"/>
  <c r="G34" i="38"/>
  <c r="G36" i="38"/>
  <c r="G38" i="38"/>
  <c r="H7" i="38"/>
  <c r="E12" i="16" s="1"/>
  <c r="H9" i="38"/>
  <c r="E14" i="16" s="1"/>
  <c r="H11" i="38"/>
  <c r="E16" i="16" s="1"/>
  <c r="H13" i="38"/>
  <c r="E18" i="16" s="1"/>
  <c r="H16" i="38"/>
  <c r="H18" i="38"/>
  <c r="H20" i="38"/>
  <c r="H22" i="38"/>
  <c r="H32" i="38"/>
  <c r="H34" i="38"/>
  <c r="H36" i="38"/>
  <c r="H38" i="38"/>
  <c r="I3" i="38"/>
  <c r="I4" i="38"/>
  <c r="I5" i="38"/>
  <c r="I7" i="38"/>
  <c r="E47" i="16" s="1"/>
  <c r="I9" i="38"/>
  <c r="I11" i="38"/>
  <c r="E24" i="16" s="1"/>
  <c r="I13" i="38"/>
  <c r="E23" i="16" s="1"/>
  <c r="I16" i="38"/>
  <c r="I18" i="38"/>
  <c r="I20" i="38"/>
  <c r="E38" i="16" s="1"/>
  <c r="I22" i="38"/>
  <c r="E40" i="16" s="1"/>
  <c r="I32" i="38"/>
  <c r="I34" i="38"/>
  <c r="I36" i="38"/>
  <c r="I38" i="38"/>
  <c r="E77" i="47"/>
  <c r="E45" i="47"/>
  <c r="E13" i="47"/>
  <c r="E11" i="46"/>
  <c r="Q11" i="46" s="1"/>
  <c r="E33" i="46" s="1"/>
  <c r="E32" i="45"/>
  <c r="E13" i="45"/>
  <c r="E74" i="47"/>
  <c r="E10" i="47"/>
  <c r="E10" i="45"/>
  <c r="E33" i="1"/>
  <c r="E24" i="1"/>
  <c r="E31" i="11"/>
  <c r="E43" i="11"/>
  <c r="H19" i="22"/>
  <c r="H29" i="9"/>
  <c r="H22" i="9"/>
  <c r="L27" i="11"/>
  <c r="E15" i="47"/>
  <c r="E79" i="47"/>
  <c r="E15" i="45"/>
  <c r="E28" i="1"/>
  <c r="F3" i="38"/>
  <c r="H3" i="38"/>
  <c r="E8" i="16" s="1"/>
  <c r="F4" i="38"/>
  <c r="H4" i="38"/>
  <c r="E9" i="16" s="1"/>
  <c r="Q9" i="16" s="1"/>
  <c r="F5" i="38"/>
  <c r="H5" i="38"/>
  <c r="E10" i="16" s="1"/>
  <c r="D21" i="38"/>
  <c r="D30" i="38"/>
  <c r="D33" i="38"/>
  <c r="D35" i="38"/>
  <c r="D37" i="38"/>
  <c r="E6" i="38"/>
  <c r="E8" i="38"/>
  <c r="E10" i="38"/>
  <c r="E12" i="38"/>
  <c r="E15" i="38"/>
  <c r="E17" i="38"/>
  <c r="E19" i="38"/>
  <c r="E33" i="21" s="1"/>
  <c r="E21" i="38"/>
  <c r="E30" i="38"/>
  <c r="E33" i="38"/>
  <c r="E35" i="38"/>
  <c r="E37" i="38"/>
  <c r="F6" i="38"/>
  <c r="F8" i="38"/>
  <c r="F10" i="38"/>
  <c r="F12" i="38"/>
  <c r="F15" i="38"/>
  <c r="F17" i="38"/>
  <c r="F19" i="38"/>
  <c r="E28" i="22" s="1"/>
  <c r="F21" i="38"/>
  <c r="F30" i="38"/>
  <c r="F33" i="38"/>
  <c r="F35" i="38"/>
  <c r="F37" i="38"/>
  <c r="G6" i="38"/>
  <c r="E18" i="11" s="1"/>
  <c r="G8" i="38"/>
  <c r="G10" i="38"/>
  <c r="G12" i="38"/>
  <c r="G15" i="38"/>
  <c r="G17" i="38"/>
  <c r="G19" i="38"/>
  <c r="E39" i="1" s="1"/>
  <c r="G21" i="38"/>
  <c r="G30" i="38"/>
  <c r="E40" i="11" s="1"/>
  <c r="G33" i="38"/>
  <c r="E44" i="11" s="1"/>
  <c r="G35" i="38"/>
  <c r="G37" i="38"/>
  <c r="E49" i="11" s="1"/>
  <c r="H6" i="38"/>
  <c r="E11" i="16" s="1"/>
  <c r="H8" i="38"/>
  <c r="E13" i="16" s="1"/>
  <c r="H10" i="38"/>
  <c r="E15" i="16" s="1"/>
  <c r="H12" i="38"/>
  <c r="E17" i="16" s="1"/>
  <c r="H15" i="38"/>
  <c r="H17" i="38"/>
  <c r="H19" i="38"/>
  <c r="H21" i="38"/>
  <c r="H30" i="38"/>
  <c r="E60" i="11" s="1"/>
  <c r="H33" i="38"/>
  <c r="H35" i="38"/>
  <c r="H37" i="38"/>
  <c r="I6" i="38"/>
  <c r="I8" i="38"/>
  <c r="I10" i="38"/>
  <c r="I12" i="38"/>
  <c r="I15" i="38"/>
  <c r="E26" i="16" s="1"/>
  <c r="I17" i="38"/>
  <c r="I19" i="38"/>
  <c r="E33" i="16" s="1"/>
  <c r="I21" i="38"/>
  <c r="E39" i="16" s="1"/>
  <c r="I30" i="38"/>
  <c r="I33" i="38"/>
  <c r="I35" i="38"/>
  <c r="I37" i="38"/>
  <c r="D14" i="42"/>
  <c r="I14" i="38"/>
  <c r="E25" i="16" s="1"/>
  <c r="F14" i="39"/>
  <c r="I14" i="40"/>
  <c r="G25" i="16" s="1"/>
  <c r="D3" i="38"/>
  <c r="D4" i="38"/>
  <c r="D5" i="38"/>
  <c r="D6" i="38"/>
  <c r="D7" i="38"/>
  <c r="D8" i="38"/>
  <c r="D9" i="38"/>
  <c r="D10" i="38"/>
  <c r="D11" i="38"/>
  <c r="D12" i="38"/>
  <c r="D13" i="38"/>
  <c r="D15" i="38"/>
  <c r="D16" i="38"/>
  <c r="D17" i="38"/>
  <c r="D18" i="38"/>
  <c r="D24" i="38"/>
  <c r="E19" i="17" s="1"/>
  <c r="D25" i="38"/>
  <c r="D28" i="38"/>
  <c r="E24" i="38"/>
  <c r="E25" i="38"/>
  <c r="E28" i="38"/>
  <c r="F24" i="38"/>
  <c r="F25" i="38"/>
  <c r="F28" i="38"/>
  <c r="G24" i="38"/>
  <c r="G25" i="38"/>
  <c r="G28" i="38"/>
  <c r="E35" i="11" s="1"/>
  <c r="H24" i="38"/>
  <c r="H25" i="38"/>
  <c r="H28" i="38"/>
  <c r="I24" i="38"/>
  <c r="I25" i="38"/>
  <c r="I28" i="38"/>
  <c r="D3" i="41"/>
  <c r="G3" i="42"/>
  <c r="H3" i="39"/>
  <c r="F8" i="16" s="1"/>
  <c r="H3" i="43"/>
  <c r="K8" i="16" s="1"/>
  <c r="D4" i="39"/>
  <c r="D4" i="41"/>
  <c r="D4" i="43"/>
  <c r="E4" i="40"/>
  <c r="E4" i="42"/>
  <c r="E4" i="44"/>
  <c r="F4" i="39"/>
  <c r="F4" i="41"/>
  <c r="F4" i="43"/>
  <c r="K18" i="9" s="1"/>
  <c r="G4" i="40"/>
  <c r="H4" i="39"/>
  <c r="F9" i="16" s="1"/>
  <c r="H4" i="43"/>
  <c r="K9" i="16" s="1"/>
  <c r="D5" i="39"/>
  <c r="D5" i="43"/>
  <c r="E5" i="40"/>
  <c r="F5" i="41"/>
  <c r="D3" i="40"/>
  <c r="D3" i="42"/>
  <c r="D3" i="44"/>
  <c r="E3" i="39"/>
  <c r="E3" i="41"/>
  <c r="E3" i="43"/>
  <c r="F3" i="40"/>
  <c r="F3" i="42"/>
  <c r="F3" i="44"/>
  <c r="L17" i="9" s="1"/>
  <c r="D3" i="39"/>
  <c r="D3" i="43"/>
  <c r="E3" i="40"/>
  <c r="E3" i="42"/>
  <c r="E3" i="44"/>
  <c r="F3" i="39"/>
  <c r="F3" i="41"/>
  <c r="F3" i="43"/>
  <c r="K17" i="9" s="1"/>
  <c r="G3" i="40"/>
  <c r="G3" i="44"/>
  <c r="H3" i="41"/>
  <c r="H8" i="16" s="1"/>
  <c r="G4" i="42"/>
  <c r="G4" i="44"/>
  <c r="H4" i="41"/>
  <c r="H9" i="16" s="1"/>
  <c r="D5" i="41"/>
  <c r="E5" i="42"/>
  <c r="E5" i="44"/>
  <c r="F5" i="39"/>
  <c r="F5" i="43"/>
  <c r="K19" i="9" s="1"/>
  <c r="G5" i="40"/>
  <c r="G5" i="42"/>
  <c r="G5" i="44"/>
  <c r="H5" i="39"/>
  <c r="F10" i="16" s="1"/>
  <c r="H5" i="41"/>
  <c r="H10" i="16" s="1"/>
  <c r="H5" i="43"/>
  <c r="K10" i="16" s="1"/>
  <c r="D6" i="39"/>
  <c r="D6" i="41"/>
  <c r="D6" i="43"/>
  <c r="D7" i="40"/>
  <c r="D7" i="42"/>
  <c r="D7" i="44"/>
  <c r="D8" i="39"/>
  <c r="G3" i="39"/>
  <c r="G3" i="41"/>
  <c r="G3" i="43"/>
  <c r="H3" i="40"/>
  <c r="G8" i="16" s="1"/>
  <c r="H3" i="42"/>
  <c r="I8" i="16" s="1"/>
  <c r="H3" i="44"/>
  <c r="L8" i="16" s="1"/>
  <c r="D4" i="40"/>
  <c r="D4" i="42"/>
  <c r="D4" i="44"/>
  <c r="E4" i="39"/>
  <c r="E4" i="41"/>
  <c r="E4" i="43"/>
  <c r="F4" i="40"/>
  <c r="F4" i="42"/>
  <c r="F4" i="44"/>
  <c r="L18" i="9" s="1"/>
  <c r="G4" i="39"/>
  <c r="F16" i="11" s="1"/>
  <c r="G4" i="41"/>
  <c r="G4" i="43"/>
  <c r="H4" i="40"/>
  <c r="G9" i="16" s="1"/>
  <c r="H4" i="42"/>
  <c r="I9" i="16" s="1"/>
  <c r="H4" i="44"/>
  <c r="L9" i="16" s="1"/>
  <c r="D5" i="40"/>
  <c r="D5" i="42"/>
  <c r="D5" i="44"/>
  <c r="E5" i="39"/>
  <c r="E5" i="41"/>
  <c r="E5" i="43"/>
  <c r="F5" i="40"/>
  <c r="F5" i="42"/>
  <c r="F5" i="44"/>
  <c r="G5" i="39"/>
  <c r="F17" i="11" s="1"/>
  <c r="G5" i="41"/>
  <c r="H17" i="11" s="1"/>
  <c r="G5" i="43"/>
  <c r="H5" i="40"/>
  <c r="G10" i="16" s="1"/>
  <c r="H5" i="42"/>
  <c r="I10" i="16" s="1"/>
  <c r="H5" i="44"/>
  <c r="L10" i="16" s="1"/>
  <c r="D6" i="40"/>
  <c r="D6" i="42"/>
  <c r="D6" i="44"/>
  <c r="D7" i="39"/>
  <c r="D7" i="41"/>
  <c r="D7" i="43"/>
  <c r="D8" i="40"/>
  <c r="D8" i="42"/>
  <c r="D8" i="44"/>
  <c r="D9" i="39"/>
  <c r="D9" i="41"/>
  <c r="D9" i="43"/>
  <c r="D10" i="40"/>
  <c r="D10" i="42"/>
  <c r="D10" i="44"/>
  <c r="D11" i="39"/>
  <c r="D11" i="41"/>
  <c r="D11" i="43"/>
  <c r="D12" i="40"/>
  <c r="D12" i="42"/>
  <c r="D12" i="44"/>
  <c r="D13" i="39"/>
  <c r="D13" i="41"/>
  <c r="D13" i="43"/>
  <c r="D15" i="40"/>
  <c r="D15" i="42"/>
  <c r="D15" i="44"/>
  <c r="D16" i="39"/>
  <c r="D16" i="41"/>
  <c r="D16" i="43"/>
  <c r="D17" i="40"/>
  <c r="D17" i="42"/>
  <c r="D17" i="44"/>
  <c r="D18" i="39"/>
  <c r="D18" i="41"/>
  <c r="D18" i="43"/>
  <c r="D19" i="40"/>
  <c r="D19" i="42"/>
  <c r="D19" i="44"/>
  <c r="D20" i="39"/>
  <c r="D20" i="41"/>
  <c r="D20" i="43"/>
  <c r="D21" i="40"/>
  <c r="D21" i="42"/>
  <c r="D21" i="44"/>
  <c r="D22" i="39"/>
  <c r="D22" i="41"/>
  <c r="D22" i="43"/>
  <c r="D23" i="40"/>
  <c r="D23" i="42"/>
  <c r="D23" i="44"/>
  <c r="D24" i="39"/>
  <c r="F19" i="17" s="1"/>
  <c r="D24" i="41"/>
  <c r="H19" i="17" s="1"/>
  <c r="D24" i="43"/>
  <c r="K19" i="17" s="1"/>
  <c r="D25" i="40"/>
  <c r="D25" i="42"/>
  <c r="D25" i="44"/>
  <c r="D26" i="39"/>
  <c r="D26" i="41"/>
  <c r="D26" i="43"/>
  <c r="D27" i="40"/>
  <c r="D27" i="42"/>
  <c r="D27" i="44"/>
  <c r="D28" i="39"/>
  <c r="D28" i="41"/>
  <c r="D28" i="43"/>
  <c r="D30" i="40"/>
  <c r="D30" i="42"/>
  <c r="D30" i="44"/>
  <c r="D32" i="39"/>
  <c r="D32" i="41"/>
  <c r="D32" i="43"/>
  <c r="D33" i="40"/>
  <c r="D33" i="42"/>
  <c r="D33" i="44"/>
  <c r="D34" i="39"/>
  <c r="F9" i="46" s="1"/>
  <c r="R9" i="46" s="1"/>
  <c r="F31" i="46" s="1"/>
  <c r="D34" i="41"/>
  <c r="H9" i="46" s="1"/>
  <c r="T9" i="46" s="1"/>
  <c r="H31" i="46" s="1"/>
  <c r="D34" i="43"/>
  <c r="K9" i="46" s="1"/>
  <c r="W9" i="46" s="1"/>
  <c r="K31" i="46" s="1"/>
  <c r="D35" i="40"/>
  <c r="D35" i="42"/>
  <c r="D35" i="44"/>
  <c r="D36" i="39"/>
  <c r="D36" i="41"/>
  <c r="D36" i="43"/>
  <c r="D37" i="40"/>
  <c r="D37" i="42"/>
  <c r="D37" i="44"/>
  <c r="D38" i="39"/>
  <c r="D38" i="41"/>
  <c r="D38" i="43"/>
  <c r="E6" i="40"/>
  <c r="E6" i="42"/>
  <c r="E6" i="44"/>
  <c r="E7" i="39"/>
  <c r="E7" i="41"/>
  <c r="E7" i="43"/>
  <c r="E8" i="40"/>
  <c r="E8" i="42"/>
  <c r="E8" i="44"/>
  <c r="E9" i="39"/>
  <c r="E9" i="41"/>
  <c r="E9" i="43"/>
  <c r="E10" i="40"/>
  <c r="E10" i="42"/>
  <c r="E10" i="44"/>
  <c r="E11" i="39"/>
  <c r="E11" i="41"/>
  <c r="E11" i="43"/>
  <c r="E12" i="40"/>
  <c r="E12" i="42"/>
  <c r="E12" i="44"/>
  <c r="E13" i="39"/>
  <c r="E13" i="41"/>
  <c r="E13" i="43"/>
  <c r="E15" i="40"/>
  <c r="E15" i="42"/>
  <c r="E15" i="44"/>
  <c r="E16" i="39"/>
  <c r="E16" i="41"/>
  <c r="E16" i="43"/>
  <c r="E17" i="40"/>
  <c r="E17" i="42"/>
  <c r="E17" i="44"/>
  <c r="E18" i="39"/>
  <c r="E18" i="41"/>
  <c r="E18" i="43"/>
  <c r="E19" i="40"/>
  <c r="E19" i="42"/>
  <c r="E19" i="44"/>
  <c r="E20" i="39"/>
  <c r="E20" i="41"/>
  <c r="E20" i="43"/>
  <c r="E21" i="40"/>
  <c r="E21" i="42"/>
  <c r="E21" i="44"/>
  <c r="E22" i="39"/>
  <c r="E22" i="41"/>
  <c r="E22" i="43"/>
  <c r="E23" i="40"/>
  <c r="E23" i="42"/>
  <c r="E23" i="44"/>
  <c r="E24" i="39"/>
  <c r="E24" i="41"/>
  <c r="E24" i="43"/>
  <c r="E25" i="40"/>
  <c r="E25" i="42"/>
  <c r="E25" i="44"/>
  <c r="E26" i="39"/>
  <c r="E26" i="41"/>
  <c r="E26" i="43"/>
  <c r="E27" i="40"/>
  <c r="E27" i="42"/>
  <c r="E27" i="44"/>
  <c r="E28" i="39"/>
  <c r="E28" i="41"/>
  <c r="E28" i="43"/>
  <c r="E30" i="40"/>
  <c r="E30" i="42"/>
  <c r="E30" i="44"/>
  <c r="E32" i="39"/>
  <c r="E32" i="41"/>
  <c r="E32" i="43"/>
  <c r="E33" i="40"/>
  <c r="E33" i="42"/>
  <c r="E33" i="44"/>
  <c r="E34" i="39"/>
  <c r="E34" i="41"/>
  <c r="E34" i="43"/>
  <c r="E35" i="40"/>
  <c r="E35" i="42"/>
  <c r="E35" i="44"/>
  <c r="E36" i="39"/>
  <c r="E36" i="41"/>
  <c r="E36" i="43"/>
  <c r="E37" i="40"/>
  <c r="E37" i="42"/>
  <c r="E37" i="44"/>
  <c r="E38" i="39"/>
  <c r="E38" i="41"/>
  <c r="E38" i="43"/>
  <c r="F6" i="40"/>
  <c r="F6" i="42"/>
  <c r="F6" i="44"/>
  <c r="F7" i="39"/>
  <c r="F7" i="41"/>
  <c r="F7" i="43"/>
  <c r="F8" i="40"/>
  <c r="F8" i="42"/>
  <c r="F8" i="44"/>
  <c r="F9" i="39"/>
  <c r="F24" i="9" s="1"/>
  <c r="F9" i="41"/>
  <c r="H24" i="9" s="1"/>
  <c r="F9" i="43"/>
  <c r="F10" i="40"/>
  <c r="F10" i="42"/>
  <c r="F10" i="44"/>
  <c r="F11" i="39"/>
  <c r="F30" i="9" s="1"/>
  <c r="F11" i="41"/>
  <c r="F11" i="43"/>
  <c r="F12" i="40"/>
  <c r="F12" i="42"/>
  <c r="D8" i="41"/>
  <c r="D8" i="43"/>
  <c r="D9" i="40"/>
  <c r="D9" i="42"/>
  <c r="D9" i="44"/>
  <c r="D10" i="39"/>
  <c r="D10" i="41"/>
  <c r="D10" i="43"/>
  <c r="D11" i="40"/>
  <c r="D11" i="42"/>
  <c r="D11" i="44"/>
  <c r="D12" i="39"/>
  <c r="D12" i="41"/>
  <c r="D12" i="43"/>
  <c r="D13" i="40"/>
  <c r="D13" i="42"/>
  <c r="D13" i="44"/>
  <c r="D15" i="39"/>
  <c r="D15" i="41"/>
  <c r="D15" i="43"/>
  <c r="D16" i="40"/>
  <c r="D16" i="42"/>
  <c r="D16" i="44"/>
  <c r="D17" i="39"/>
  <c r="D17" i="41"/>
  <c r="D17" i="43"/>
  <c r="D18" i="40"/>
  <c r="D18" i="42"/>
  <c r="D18" i="44"/>
  <c r="D19" i="39"/>
  <c r="D19" i="41"/>
  <c r="D19" i="43"/>
  <c r="D20" i="40"/>
  <c r="D20" i="42"/>
  <c r="D20" i="44"/>
  <c r="D21" i="39"/>
  <c r="D21" i="41"/>
  <c r="D21" i="43"/>
  <c r="D22" i="40"/>
  <c r="D22" i="42"/>
  <c r="D22" i="44"/>
  <c r="D23" i="39"/>
  <c r="D23" i="41"/>
  <c r="D23" i="43"/>
  <c r="D24" i="40"/>
  <c r="D24" i="42"/>
  <c r="D24" i="44"/>
  <c r="L19" i="17" s="1"/>
  <c r="D25" i="39"/>
  <c r="D25" i="41"/>
  <c r="D25" i="43"/>
  <c r="D26" i="40"/>
  <c r="D26" i="42"/>
  <c r="D26" i="44"/>
  <c r="D27" i="39"/>
  <c r="D27" i="41"/>
  <c r="D27" i="43"/>
  <c r="D28" i="40"/>
  <c r="D28" i="42"/>
  <c r="D28" i="44"/>
  <c r="D30" i="39"/>
  <c r="D30" i="41"/>
  <c r="D30" i="43"/>
  <c r="D32" i="40"/>
  <c r="D32" i="42"/>
  <c r="D32" i="44"/>
  <c r="D33" i="39"/>
  <c r="D33" i="41"/>
  <c r="D33" i="43"/>
  <c r="D34" i="40"/>
  <c r="G9" i="46" s="1"/>
  <c r="D34" i="42"/>
  <c r="I9" i="46" s="1"/>
  <c r="D34" i="44"/>
  <c r="L9" i="46" s="1"/>
  <c r="X9" i="46" s="1"/>
  <c r="L31" i="46" s="1"/>
  <c r="D35" i="39"/>
  <c r="D35" i="41"/>
  <c r="D35" i="43"/>
  <c r="D36" i="40"/>
  <c r="D36" i="42"/>
  <c r="D36" i="44"/>
  <c r="D37" i="39"/>
  <c r="D37" i="41"/>
  <c r="D37" i="43"/>
  <c r="D38" i="40"/>
  <c r="D38" i="42"/>
  <c r="D38" i="44"/>
  <c r="E6" i="39"/>
  <c r="E6" i="41"/>
  <c r="E6" i="43"/>
  <c r="E7" i="40"/>
  <c r="E7" i="42"/>
  <c r="E7" i="44"/>
  <c r="E8" i="39"/>
  <c r="E8" i="41"/>
  <c r="E8" i="43"/>
  <c r="E9" i="40"/>
  <c r="E9" i="42"/>
  <c r="E9" i="44"/>
  <c r="E10" i="39"/>
  <c r="E10" i="41"/>
  <c r="E10" i="43"/>
  <c r="E11" i="40"/>
  <c r="E11" i="42"/>
  <c r="E11" i="44"/>
  <c r="E12" i="39"/>
  <c r="E12" i="41"/>
  <c r="E12" i="43"/>
  <c r="E13" i="40"/>
  <c r="E13" i="42"/>
  <c r="E13" i="44"/>
  <c r="E15" i="39"/>
  <c r="E15" i="41"/>
  <c r="E15" i="43"/>
  <c r="E16" i="40"/>
  <c r="E16" i="42"/>
  <c r="E16" i="44"/>
  <c r="E17" i="39"/>
  <c r="E17" i="41"/>
  <c r="E17" i="43"/>
  <c r="E18" i="40"/>
  <c r="E18" i="42"/>
  <c r="E18" i="44"/>
  <c r="E19" i="39"/>
  <c r="E19" i="41"/>
  <c r="E19" i="43"/>
  <c r="E20" i="40"/>
  <c r="E20" i="42"/>
  <c r="E20" i="44"/>
  <c r="E21" i="39"/>
  <c r="E21" i="41"/>
  <c r="E21" i="43"/>
  <c r="E22" i="40"/>
  <c r="E22" i="42"/>
  <c r="E22" i="44"/>
  <c r="E23" i="39"/>
  <c r="E23" i="41"/>
  <c r="E23" i="43"/>
  <c r="E24" i="40"/>
  <c r="E24" i="42"/>
  <c r="E24" i="44"/>
  <c r="E25" i="39"/>
  <c r="E25" i="41"/>
  <c r="E25" i="43"/>
  <c r="E26" i="40"/>
  <c r="E26" i="42"/>
  <c r="E26" i="44"/>
  <c r="E27" i="39"/>
  <c r="E27" i="41"/>
  <c r="E27" i="43"/>
  <c r="E28" i="40"/>
  <c r="E28" i="42"/>
  <c r="E28" i="44"/>
  <c r="E30" i="39"/>
  <c r="E30" i="41"/>
  <c r="E30" i="43"/>
  <c r="E32" i="40"/>
  <c r="E32" i="42"/>
  <c r="E32" i="44"/>
  <c r="E33" i="39"/>
  <c r="E33" i="41"/>
  <c r="E33" i="43"/>
  <c r="E34" i="40"/>
  <c r="E34" i="42"/>
  <c r="E34" i="44"/>
  <c r="E35" i="39"/>
  <c r="E35" i="41"/>
  <c r="E35" i="43"/>
  <c r="E36" i="40"/>
  <c r="E36" i="42"/>
  <c r="E36" i="44"/>
  <c r="E37" i="39"/>
  <c r="E37" i="41"/>
  <c r="E37" i="43"/>
  <c r="E38" i="40"/>
  <c r="E38" i="42"/>
  <c r="E38" i="44"/>
  <c r="F6" i="39"/>
  <c r="F6" i="41"/>
  <c r="F6" i="43"/>
  <c r="F7" i="40"/>
  <c r="F7" i="42"/>
  <c r="F7" i="44"/>
  <c r="F8" i="39"/>
  <c r="F8" i="41"/>
  <c r="F8" i="43"/>
  <c r="F9" i="40"/>
  <c r="F9" i="42"/>
  <c r="F9" i="44"/>
  <c r="L24" i="9" s="1"/>
  <c r="F10" i="39"/>
  <c r="F10" i="41"/>
  <c r="F10" i="43"/>
  <c r="F11" i="40"/>
  <c r="F11" i="42"/>
  <c r="F11" i="44"/>
  <c r="L30" i="9" s="1"/>
  <c r="F12" i="39"/>
  <c r="F12" i="41"/>
  <c r="F12" i="44"/>
  <c r="F13" i="39"/>
  <c r="F13" i="41"/>
  <c r="F13" i="43"/>
  <c r="F15" i="40"/>
  <c r="F15" i="42"/>
  <c r="F15" i="44"/>
  <c r="F16" i="39"/>
  <c r="F16" i="41"/>
  <c r="F16" i="43"/>
  <c r="F17" i="40"/>
  <c r="F17" i="42"/>
  <c r="F17" i="44"/>
  <c r="F18" i="39"/>
  <c r="F18" i="41"/>
  <c r="F18" i="43"/>
  <c r="F19" i="40"/>
  <c r="F19" i="42"/>
  <c r="F19" i="44"/>
  <c r="L28" i="22" s="1"/>
  <c r="F20" i="39"/>
  <c r="F20" i="41"/>
  <c r="F20" i="43"/>
  <c r="F21" i="40"/>
  <c r="F21" i="42"/>
  <c r="F21" i="44"/>
  <c r="F22" i="39"/>
  <c r="F22" i="41"/>
  <c r="F22" i="43"/>
  <c r="F23" i="40"/>
  <c r="F23" i="42"/>
  <c r="F23" i="44"/>
  <c r="F24" i="39"/>
  <c r="F24" i="41"/>
  <c r="F24" i="43"/>
  <c r="F25" i="40"/>
  <c r="F25" i="42"/>
  <c r="F25" i="44"/>
  <c r="F26" i="39"/>
  <c r="F26" i="41"/>
  <c r="F26" i="43"/>
  <c r="F27" i="40"/>
  <c r="F27" i="42"/>
  <c r="F27" i="44"/>
  <c r="L33" i="9" s="1"/>
  <c r="F28" i="39"/>
  <c r="F28" i="41"/>
  <c r="H36" i="9" s="1"/>
  <c r="F28" i="43"/>
  <c r="F30" i="40"/>
  <c r="F30" i="42"/>
  <c r="F30" i="44"/>
  <c r="F32" i="39"/>
  <c r="F32" i="41"/>
  <c r="H47" i="9" s="1"/>
  <c r="F32" i="43"/>
  <c r="F33" i="40"/>
  <c r="F33" i="42"/>
  <c r="F33" i="44"/>
  <c r="F34" i="39"/>
  <c r="F34" i="41"/>
  <c r="F34" i="43"/>
  <c r="F35" i="40"/>
  <c r="F35" i="42"/>
  <c r="F35" i="44"/>
  <c r="F36" i="39"/>
  <c r="F36" i="41"/>
  <c r="H48" i="9" s="1"/>
  <c r="F36" i="43"/>
  <c r="F37" i="40"/>
  <c r="F37" i="42"/>
  <c r="F37" i="44"/>
  <c r="L49" i="9" s="1"/>
  <c r="F38" i="39"/>
  <c r="F38" i="41"/>
  <c r="F38" i="43"/>
  <c r="G6" i="40"/>
  <c r="G6" i="42"/>
  <c r="G6" i="44"/>
  <c r="G7" i="39"/>
  <c r="G7" i="41"/>
  <c r="G7" i="43"/>
  <c r="G8" i="40"/>
  <c r="G8" i="42"/>
  <c r="G8" i="44"/>
  <c r="G9" i="39"/>
  <c r="G9" i="41"/>
  <c r="G9" i="43"/>
  <c r="G10" i="40"/>
  <c r="G10" i="42"/>
  <c r="G10" i="44"/>
  <c r="L23" i="11" s="1"/>
  <c r="G11" i="39"/>
  <c r="F28" i="11" s="1"/>
  <c r="G11" i="41"/>
  <c r="H28" i="11" s="1"/>
  <c r="G11" i="43"/>
  <c r="K28" i="11" s="1"/>
  <c r="G12" i="40"/>
  <c r="G12" i="42"/>
  <c r="G12" i="44"/>
  <c r="G13" i="39"/>
  <c r="F34" i="11" s="1"/>
  <c r="G13" i="41"/>
  <c r="H34" i="11" s="1"/>
  <c r="G13" i="43"/>
  <c r="K34" i="11" s="1"/>
  <c r="G15" i="40"/>
  <c r="G15" i="42"/>
  <c r="G15" i="44"/>
  <c r="G16" i="39"/>
  <c r="G16" i="41"/>
  <c r="G16" i="43"/>
  <c r="G17" i="40"/>
  <c r="G17" i="42"/>
  <c r="G17" i="44"/>
  <c r="G18" i="39"/>
  <c r="G18" i="41"/>
  <c r="G18" i="43"/>
  <c r="G19" i="40"/>
  <c r="G19" i="42"/>
  <c r="G19" i="44"/>
  <c r="G20" i="39"/>
  <c r="G20" i="41"/>
  <c r="G20" i="43"/>
  <c r="G21" i="40"/>
  <c r="G21" i="42"/>
  <c r="G21" i="44"/>
  <c r="G22" i="39"/>
  <c r="G22" i="41"/>
  <c r="G22" i="43"/>
  <c r="G23" i="40"/>
  <c r="G23" i="42"/>
  <c r="G23" i="44"/>
  <c r="G24" i="39"/>
  <c r="G24" i="41"/>
  <c r="G24" i="43"/>
  <c r="G25" i="40"/>
  <c r="G25" i="42"/>
  <c r="G25" i="44"/>
  <c r="G26" i="39"/>
  <c r="G26" i="41"/>
  <c r="G26" i="43"/>
  <c r="G27" i="40"/>
  <c r="G27" i="42"/>
  <c r="G27" i="44"/>
  <c r="G28" i="39"/>
  <c r="F35" i="11" s="1"/>
  <c r="G28" i="41"/>
  <c r="H35" i="11" s="1"/>
  <c r="G28" i="43"/>
  <c r="K35" i="11" s="1"/>
  <c r="G30" i="40"/>
  <c r="G30" i="42"/>
  <c r="G30" i="44"/>
  <c r="L40" i="11" s="1"/>
  <c r="G32" i="39"/>
  <c r="F46" i="11" s="1"/>
  <c r="G32" i="41"/>
  <c r="H46" i="11" s="1"/>
  <c r="G32" i="43"/>
  <c r="K46" i="11" s="1"/>
  <c r="G33" i="40"/>
  <c r="G33" i="42"/>
  <c r="G33" i="44"/>
  <c r="L44" i="11" s="1"/>
  <c r="G34" i="39"/>
  <c r="G34" i="41"/>
  <c r="G34" i="43"/>
  <c r="G35" i="40"/>
  <c r="G35" i="42"/>
  <c r="G35" i="44"/>
  <c r="G36" i="39"/>
  <c r="G36" i="41"/>
  <c r="G36" i="43"/>
  <c r="G37" i="40"/>
  <c r="G37" i="42"/>
  <c r="G37" i="44"/>
  <c r="L49" i="11" s="1"/>
  <c r="G38" i="39"/>
  <c r="G38" i="41"/>
  <c r="G38" i="43"/>
  <c r="H6" i="40"/>
  <c r="G11" i="16" s="1"/>
  <c r="H6" i="42"/>
  <c r="I11" i="16" s="1"/>
  <c r="H6" i="44"/>
  <c r="L11" i="16" s="1"/>
  <c r="H7" i="39"/>
  <c r="F12" i="16" s="1"/>
  <c r="H7" i="41"/>
  <c r="H12" i="16" s="1"/>
  <c r="H7" i="43"/>
  <c r="K12" i="16" s="1"/>
  <c r="H8" i="40"/>
  <c r="G13" i="16" s="1"/>
  <c r="H8" i="42"/>
  <c r="I13" i="16" s="1"/>
  <c r="H8" i="44"/>
  <c r="L13" i="16" s="1"/>
  <c r="H9" i="39"/>
  <c r="F14" i="16" s="1"/>
  <c r="H9" i="41"/>
  <c r="H14" i="16" s="1"/>
  <c r="H9" i="43"/>
  <c r="K14" i="16" s="1"/>
  <c r="H10" i="40"/>
  <c r="G15" i="16" s="1"/>
  <c r="H10" i="42"/>
  <c r="I15" i="16" s="1"/>
  <c r="H10" i="44"/>
  <c r="L15" i="16" s="1"/>
  <c r="H11" i="39"/>
  <c r="F16" i="16" s="1"/>
  <c r="H11" i="41"/>
  <c r="H16" i="16" s="1"/>
  <c r="H11" i="43"/>
  <c r="K16" i="16" s="1"/>
  <c r="H12" i="40"/>
  <c r="G17" i="16" s="1"/>
  <c r="H12" i="42"/>
  <c r="I17" i="16" s="1"/>
  <c r="H12" i="44"/>
  <c r="L17" i="16" s="1"/>
  <c r="H13" i="39"/>
  <c r="F18" i="16" s="1"/>
  <c r="H13" i="41"/>
  <c r="H18" i="16" s="1"/>
  <c r="H13" i="43"/>
  <c r="K18" i="16" s="1"/>
  <c r="H15" i="40"/>
  <c r="H15" i="42"/>
  <c r="H15" i="44"/>
  <c r="H16" i="39"/>
  <c r="H16" i="41"/>
  <c r="H16" i="43"/>
  <c r="H17" i="40"/>
  <c r="H17" i="42"/>
  <c r="H17" i="44"/>
  <c r="H18" i="39"/>
  <c r="H18" i="41"/>
  <c r="H18" i="43"/>
  <c r="H19" i="40"/>
  <c r="H19" i="42"/>
  <c r="H19" i="44"/>
  <c r="H20" i="39"/>
  <c r="H20" i="41"/>
  <c r="H20" i="43"/>
  <c r="H21" i="40"/>
  <c r="H21" i="42"/>
  <c r="H21" i="44"/>
  <c r="H22" i="39"/>
  <c r="H22" i="41"/>
  <c r="H22" i="43"/>
  <c r="H23" i="40"/>
  <c r="H23" i="42"/>
  <c r="H23" i="44"/>
  <c r="H24" i="39"/>
  <c r="H24" i="41"/>
  <c r="H24" i="43"/>
  <c r="H25" i="40"/>
  <c r="H25" i="42"/>
  <c r="H25" i="44"/>
  <c r="H26" i="39"/>
  <c r="H26" i="41"/>
  <c r="H26" i="43"/>
  <c r="H27" i="40"/>
  <c r="H27" i="42"/>
  <c r="H27" i="44"/>
  <c r="H28" i="39"/>
  <c r="H28" i="41"/>
  <c r="H28" i="43"/>
  <c r="H30" i="40"/>
  <c r="H30" i="42"/>
  <c r="H30" i="44"/>
  <c r="L60" i="11" s="1"/>
  <c r="H32" i="39"/>
  <c r="H32" i="41"/>
  <c r="H32" i="43"/>
  <c r="H33" i="40"/>
  <c r="H33" i="42"/>
  <c r="H33" i="44"/>
  <c r="H34" i="39"/>
  <c r="H34" i="41"/>
  <c r="H34" i="43"/>
  <c r="H35" i="40"/>
  <c r="H35" i="42"/>
  <c r="H35" i="44"/>
  <c r="H36" i="39"/>
  <c r="H36" i="41"/>
  <c r="H36" i="43"/>
  <c r="H37" i="44"/>
  <c r="H38" i="41"/>
  <c r="H38" i="43"/>
  <c r="F12" i="43"/>
  <c r="F13" i="40"/>
  <c r="F13" i="42"/>
  <c r="F13" i="44"/>
  <c r="F15" i="39"/>
  <c r="F15" i="41"/>
  <c r="F15" i="43"/>
  <c r="F16" i="40"/>
  <c r="F16" i="42"/>
  <c r="F16" i="44"/>
  <c r="F17" i="39"/>
  <c r="F17" i="41"/>
  <c r="F17" i="43"/>
  <c r="F18" i="40"/>
  <c r="F18" i="42"/>
  <c r="F18" i="44"/>
  <c r="F19" i="39"/>
  <c r="F28" i="22" s="1"/>
  <c r="F19" i="41"/>
  <c r="H28" i="22" s="1"/>
  <c r="F19" i="43"/>
  <c r="K28" i="22" s="1"/>
  <c r="F20" i="40"/>
  <c r="F20" i="42"/>
  <c r="F20" i="44"/>
  <c r="F21" i="39"/>
  <c r="F21" i="41"/>
  <c r="F21" i="43"/>
  <c r="F22" i="40"/>
  <c r="F22" i="42"/>
  <c r="F22" i="44"/>
  <c r="F23" i="39"/>
  <c r="F23" i="41"/>
  <c r="F23" i="43"/>
  <c r="F24" i="40"/>
  <c r="F24" i="42"/>
  <c r="F24" i="44"/>
  <c r="F25" i="39"/>
  <c r="F25" i="41"/>
  <c r="F25" i="43"/>
  <c r="F26" i="40"/>
  <c r="F26" i="42"/>
  <c r="F26" i="44"/>
  <c r="F27" i="39"/>
  <c r="F27" i="41"/>
  <c r="F27" i="43"/>
  <c r="F28" i="40"/>
  <c r="F28" i="42"/>
  <c r="F28" i="44"/>
  <c r="L36" i="9" s="1"/>
  <c r="F30" i="39"/>
  <c r="F30" i="41"/>
  <c r="F30" i="43"/>
  <c r="F32" i="40"/>
  <c r="F32" i="42"/>
  <c r="F32" i="44"/>
  <c r="L47" i="9" s="1"/>
  <c r="F33" i="39"/>
  <c r="F33" i="41"/>
  <c r="F33" i="43"/>
  <c r="F34" i="40"/>
  <c r="F34" i="42"/>
  <c r="F34" i="44"/>
  <c r="F35" i="39"/>
  <c r="F35" i="41"/>
  <c r="F35" i="43"/>
  <c r="F36" i="40"/>
  <c r="F36" i="42"/>
  <c r="F36" i="44"/>
  <c r="F37" i="39"/>
  <c r="F37" i="41"/>
  <c r="F37" i="43"/>
  <c r="F38" i="40"/>
  <c r="F38" i="42"/>
  <c r="F38" i="44"/>
  <c r="G6" i="39"/>
  <c r="G6" i="41"/>
  <c r="G6" i="43"/>
  <c r="G7" i="40"/>
  <c r="G7" i="42"/>
  <c r="G7" i="44"/>
  <c r="G8" i="39"/>
  <c r="G8" i="41"/>
  <c r="G8" i="43"/>
  <c r="G9" i="40"/>
  <c r="G9" i="42"/>
  <c r="G9" i="44"/>
  <c r="G10" i="39"/>
  <c r="G10" i="41"/>
  <c r="H23" i="11" s="1"/>
  <c r="G10" i="43"/>
  <c r="G11" i="40"/>
  <c r="G11" i="42"/>
  <c r="G11" i="44"/>
  <c r="L28" i="11" s="1"/>
  <c r="G12" i="39"/>
  <c r="G12" i="41"/>
  <c r="G12" i="43"/>
  <c r="G13" i="40"/>
  <c r="G13" i="42"/>
  <c r="G13" i="44"/>
  <c r="L34" i="11" s="1"/>
  <c r="G15" i="39"/>
  <c r="G15" i="41"/>
  <c r="G15" i="43"/>
  <c r="G16" i="40"/>
  <c r="G16" i="42"/>
  <c r="G16" i="44"/>
  <c r="G17" i="39"/>
  <c r="G17" i="41"/>
  <c r="G17" i="43"/>
  <c r="K9" i="11" s="1"/>
  <c r="G18" i="40"/>
  <c r="G18" i="42"/>
  <c r="G18" i="44"/>
  <c r="G19" i="39"/>
  <c r="G19" i="41"/>
  <c r="G19" i="43"/>
  <c r="G20" i="40"/>
  <c r="G20" i="42"/>
  <c r="G20" i="44"/>
  <c r="G21" i="39"/>
  <c r="G21" i="41"/>
  <c r="G21" i="43"/>
  <c r="G22" i="40"/>
  <c r="G22" i="42"/>
  <c r="G22" i="44"/>
  <c r="G23" i="39"/>
  <c r="G23" i="41"/>
  <c r="G23" i="43"/>
  <c r="G24" i="40"/>
  <c r="G24" i="42"/>
  <c r="G24" i="44"/>
  <c r="G25" i="39"/>
  <c r="G25" i="41"/>
  <c r="G25" i="43"/>
  <c r="G26" i="40"/>
  <c r="G26" i="42"/>
  <c r="G26" i="44"/>
  <c r="G27" i="39"/>
  <c r="G27" i="41"/>
  <c r="G27" i="43"/>
  <c r="G28" i="40"/>
  <c r="G28" i="42"/>
  <c r="G28" i="44"/>
  <c r="L35" i="11" s="1"/>
  <c r="G30" i="39"/>
  <c r="F40" i="11" s="1"/>
  <c r="G30" i="41"/>
  <c r="H40" i="11" s="1"/>
  <c r="G30" i="43"/>
  <c r="K40" i="11" s="1"/>
  <c r="G32" i="40"/>
  <c r="G32" i="42"/>
  <c r="G32" i="44"/>
  <c r="L46" i="11" s="1"/>
  <c r="G33" i="39"/>
  <c r="F44" i="11" s="1"/>
  <c r="G33" i="41"/>
  <c r="H44" i="11" s="1"/>
  <c r="G33" i="43"/>
  <c r="K44" i="11" s="1"/>
  <c r="G34" i="40"/>
  <c r="G34" i="42"/>
  <c r="G34" i="44"/>
  <c r="G35" i="39"/>
  <c r="G35" i="41"/>
  <c r="G35" i="43"/>
  <c r="G36" i="40"/>
  <c r="G36" i="42"/>
  <c r="G36" i="44"/>
  <c r="G37" i="39"/>
  <c r="F49" i="11" s="1"/>
  <c r="G37" i="41"/>
  <c r="H49" i="11" s="1"/>
  <c r="G37" i="43"/>
  <c r="K49" i="11" s="1"/>
  <c r="G38" i="40"/>
  <c r="G38" i="42"/>
  <c r="G38" i="44"/>
  <c r="H6" i="39"/>
  <c r="F11" i="16" s="1"/>
  <c r="H6" i="41"/>
  <c r="H11" i="16" s="1"/>
  <c r="H6" i="43"/>
  <c r="K11" i="16" s="1"/>
  <c r="H7" i="40"/>
  <c r="G12" i="16" s="1"/>
  <c r="H7" i="42"/>
  <c r="I12" i="16" s="1"/>
  <c r="H7" i="44"/>
  <c r="L12" i="16" s="1"/>
  <c r="H8" i="39"/>
  <c r="F13" i="16" s="1"/>
  <c r="H8" i="41"/>
  <c r="H13" i="16" s="1"/>
  <c r="H8" i="43"/>
  <c r="K13" i="16" s="1"/>
  <c r="H9" i="40"/>
  <c r="G14" i="16" s="1"/>
  <c r="H9" i="42"/>
  <c r="I14" i="16" s="1"/>
  <c r="H9" i="44"/>
  <c r="L14" i="16" s="1"/>
  <c r="H10" i="39"/>
  <c r="F15" i="16" s="1"/>
  <c r="H10" i="41"/>
  <c r="H15" i="16" s="1"/>
  <c r="H10" i="43"/>
  <c r="K15" i="16" s="1"/>
  <c r="H11" i="40"/>
  <c r="G16" i="16" s="1"/>
  <c r="H11" i="42"/>
  <c r="I16" i="16" s="1"/>
  <c r="H11" i="44"/>
  <c r="L16" i="16" s="1"/>
  <c r="H12" i="39"/>
  <c r="F17" i="16" s="1"/>
  <c r="H12" i="41"/>
  <c r="H17" i="16" s="1"/>
  <c r="H12" i="43"/>
  <c r="K17" i="16" s="1"/>
  <c r="H13" i="40"/>
  <c r="G18" i="16" s="1"/>
  <c r="H13" i="42"/>
  <c r="I18" i="16" s="1"/>
  <c r="H13" i="44"/>
  <c r="L18" i="16" s="1"/>
  <c r="H15" i="39"/>
  <c r="H15" i="41"/>
  <c r="H15" i="43"/>
  <c r="H16" i="40"/>
  <c r="H16" i="42"/>
  <c r="H16" i="44"/>
  <c r="H17" i="39"/>
  <c r="H17" i="41"/>
  <c r="H17" i="43"/>
  <c r="H18" i="40"/>
  <c r="H18" i="42"/>
  <c r="H18" i="44"/>
  <c r="H19" i="39"/>
  <c r="H19" i="41"/>
  <c r="H19" i="43"/>
  <c r="H20" i="40"/>
  <c r="H20" i="42"/>
  <c r="H20" i="44"/>
  <c r="H21" i="39"/>
  <c r="H21" i="41"/>
  <c r="H21" i="43"/>
  <c r="H22" i="40"/>
  <c r="H22" i="42"/>
  <c r="H22" i="44"/>
  <c r="H23" i="39"/>
  <c r="H23" i="41"/>
  <c r="H23" i="43"/>
  <c r="H24" i="40"/>
  <c r="H24" i="42"/>
  <c r="H24" i="44"/>
  <c r="H25" i="39"/>
  <c r="H25" i="41"/>
  <c r="H25" i="43"/>
  <c r="H26" i="40"/>
  <c r="H26" i="42"/>
  <c r="H26" i="44"/>
  <c r="H27" i="39"/>
  <c r="H27" i="41"/>
  <c r="H27" i="43"/>
  <c r="H28" i="40"/>
  <c r="H28" i="42"/>
  <c r="H28" i="44"/>
  <c r="H30" i="39"/>
  <c r="F60" i="11" s="1"/>
  <c r="H30" i="41"/>
  <c r="H60" i="11" s="1"/>
  <c r="H30" i="43"/>
  <c r="K60" i="11" s="1"/>
  <c r="H32" i="40"/>
  <c r="H32" i="42"/>
  <c r="H32" i="44"/>
  <c r="H33" i="39"/>
  <c r="H33" i="41"/>
  <c r="H33" i="43"/>
  <c r="H34" i="40"/>
  <c r="H34" i="42"/>
  <c r="H34" i="44"/>
  <c r="H35" i="39"/>
  <c r="H35" i="41"/>
  <c r="H35" i="43"/>
  <c r="H36" i="40"/>
  <c r="H36" i="44"/>
  <c r="H37" i="41"/>
  <c r="H37" i="43"/>
  <c r="H38" i="44"/>
  <c r="I3" i="39"/>
  <c r="I3" i="41"/>
  <c r="I3" i="43"/>
  <c r="I4" i="39"/>
  <c r="I4" i="41"/>
  <c r="I4" i="43"/>
  <c r="I5" i="39"/>
  <c r="I5" i="41"/>
  <c r="I5" i="43"/>
  <c r="H37" i="40"/>
  <c r="H37" i="42"/>
  <c r="H38" i="39"/>
  <c r="I6" i="40"/>
  <c r="I6" i="42"/>
  <c r="I6" i="44"/>
  <c r="I7" i="39"/>
  <c r="F47" i="16" s="1"/>
  <c r="I7" i="41"/>
  <c r="H47" i="16" s="1"/>
  <c r="I7" i="43"/>
  <c r="K47" i="16" s="1"/>
  <c r="I8" i="40"/>
  <c r="I8" i="42"/>
  <c r="I8" i="44"/>
  <c r="I9" i="39"/>
  <c r="I9" i="41"/>
  <c r="I9" i="43"/>
  <c r="I10" i="40"/>
  <c r="I10" i="42"/>
  <c r="I10" i="44"/>
  <c r="I11" i="39"/>
  <c r="F24" i="16" s="1"/>
  <c r="I11" i="41"/>
  <c r="H24" i="16" s="1"/>
  <c r="I11" i="43"/>
  <c r="K24" i="16" s="1"/>
  <c r="I12" i="40"/>
  <c r="I12" i="42"/>
  <c r="I12" i="44"/>
  <c r="I13" i="39"/>
  <c r="F23" i="16" s="1"/>
  <c r="I13" i="41"/>
  <c r="H23" i="16" s="1"/>
  <c r="I13" i="43"/>
  <c r="K23" i="16" s="1"/>
  <c r="I15" i="40"/>
  <c r="G26" i="16" s="1"/>
  <c r="I15" i="42"/>
  <c r="I26" i="16" s="1"/>
  <c r="I15" i="44"/>
  <c r="L26" i="16" s="1"/>
  <c r="I16" i="39"/>
  <c r="I16" i="41"/>
  <c r="I16" i="43"/>
  <c r="I17" i="40"/>
  <c r="I17" i="42"/>
  <c r="I17" i="44"/>
  <c r="I18" i="39"/>
  <c r="I18" i="41"/>
  <c r="I18" i="43"/>
  <c r="I19" i="40"/>
  <c r="G33" i="16" s="1"/>
  <c r="I19" i="42"/>
  <c r="I33" i="16" s="1"/>
  <c r="I19" i="44"/>
  <c r="L33" i="16" s="1"/>
  <c r="I20" i="39"/>
  <c r="F38" i="16" s="1"/>
  <c r="I20" i="41"/>
  <c r="H38" i="16" s="1"/>
  <c r="I20" i="43"/>
  <c r="K38" i="16" s="1"/>
  <c r="I21" i="40"/>
  <c r="G39" i="16" s="1"/>
  <c r="I21" i="42"/>
  <c r="I39" i="16" s="1"/>
  <c r="I21" i="44"/>
  <c r="L39" i="16" s="1"/>
  <c r="I22" i="39"/>
  <c r="F40" i="16" s="1"/>
  <c r="I22" i="41"/>
  <c r="H40" i="16" s="1"/>
  <c r="I22" i="43"/>
  <c r="K40" i="16" s="1"/>
  <c r="I23" i="40"/>
  <c r="G46" i="16" s="1"/>
  <c r="I23" i="42"/>
  <c r="I46" i="16" s="1"/>
  <c r="I23" i="44"/>
  <c r="L46" i="16" s="1"/>
  <c r="I24" i="39"/>
  <c r="I24" i="41"/>
  <c r="I24" i="43"/>
  <c r="I25" i="40"/>
  <c r="I25" i="42"/>
  <c r="I25" i="44"/>
  <c r="I26" i="39"/>
  <c r="I26" i="41"/>
  <c r="I26" i="43"/>
  <c r="I27" i="40"/>
  <c r="I27" i="42"/>
  <c r="I27" i="44"/>
  <c r="I28" i="39"/>
  <c r="I28" i="41"/>
  <c r="I28" i="43"/>
  <c r="I30" i="40"/>
  <c r="I30" i="42"/>
  <c r="I30" i="44"/>
  <c r="I32" i="39"/>
  <c r="I32" i="41"/>
  <c r="I32" i="43"/>
  <c r="I33" i="40"/>
  <c r="I33" i="42"/>
  <c r="I33" i="44"/>
  <c r="I34" i="39"/>
  <c r="I34" i="41"/>
  <c r="I34" i="43"/>
  <c r="I35" i="40"/>
  <c r="I35" i="42"/>
  <c r="I35" i="44"/>
  <c r="I36" i="39"/>
  <c r="I36" i="41"/>
  <c r="I36" i="43"/>
  <c r="I37" i="40"/>
  <c r="I37" i="42"/>
  <c r="I37" i="44"/>
  <c r="I38" i="39"/>
  <c r="I38" i="41"/>
  <c r="I38" i="43"/>
  <c r="D31" i="41"/>
  <c r="D31" i="44"/>
  <c r="D31" i="39"/>
  <c r="D31" i="40"/>
  <c r="E31" i="41"/>
  <c r="E31" i="44"/>
  <c r="F31" i="41"/>
  <c r="H46" i="9" s="1"/>
  <c r="F31" i="44"/>
  <c r="L46" i="9" s="1"/>
  <c r="E31" i="39"/>
  <c r="E31" i="42"/>
  <c r="F31" i="39"/>
  <c r="F46" i="9" s="1"/>
  <c r="F31" i="42"/>
  <c r="G31" i="43"/>
  <c r="K45" i="11" s="1"/>
  <c r="G31" i="39"/>
  <c r="F45" i="11" s="1"/>
  <c r="G31" i="42"/>
  <c r="H31" i="41"/>
  <c r="H59" i="11" s="1"/>
  <c r="H31" i="44"/>
  <c r="L59" i="11" s="1"/>
  <c r="H31" i="40"/>
  <c r="D29" i="40"/>
  <c r="D29" i="42"/>
  <c r="D29" i="44"/>
  <c r="E29" i="39"/>
  <c r="E29" i="41"/>
  <c r="E29" i="43"/>
  <c r="F29" i="40"/>
  <c r="F29" i="42"/>
  <c r="F29" i="44"/>
  <c r="G29" i="39"/>
  <c r="F36" i="11" s="1"/>
  <c r="G29" i="41"/>
  <c r="H36" i="11" s="1"/>
  <c r="G29" i="43"/>
  <c r="K36" i="11" s="1"/>
  <c r="H29" i="40"/>
  <c r="H29" i="42"/>
  <c r="H29" i="44"/>
  <c r="I29" i="39"/>
  <c r="I29" i="41"/>
  <c r="I29" i="43"/>
  <c r="E14" i="38"/>
  <c r="G14" i="40"/>
  <c r="H14" i="38"/>
  <c r="H14" i="40"/>
  <c r="I3" i="40"/>
  <c r="I3" i="42"/>
  <c r="I3" i="44"/>
  <c r="I4" i="40"/>
  <c r="I4" i="42"/>
  <c r="I4" i="44"/>
  <c r="I5" i="40"/>
  <c r="I5" i="42"/>
  <c r="I5" i="44"/>
  <c r="H36" i="42"/>
  <c r="H37" i="39"/>
  <c r="H38" i="40"/>
  <c r="H38" i="42"/>
  <c r="I6" i="39"/>
  <c r="I6" i="41"/>
  <c r="I6" i="43"/>
  <c r="I7" i="40"/>
  <c r="G47" i="16" s="1"/>
  <c r="I7" i="42"/>
  <c r="I47" i="16" s="1"/>
  <c r="I7" i="44"/>
  <c r="L47" i="16" s="1"/>
  <c r="I8" i="39"/>
  <c r="I8" i="41"/>
  <c r="I8" i="43"/>
  <c r="I9" i="40"/>
  <c r="I9" i="42"/>
  <c r="I9" i="44"/>
  <c r="I10" i="39"/>
  <c r="I10" i="41"/>
  <c r="I10" i="43"/>
  <c r="I11" i="40"/>
  <c r="G24" i="16" s="1"/>
  <c r="I11" i="42"/>
  <c r="I24" i="16" s="1"/>
  <c r="I11" i="44"/>
  <c r="L24" i="16" s="1"/>
  <c r="I12" i="39"/>
  <c r="I12" i="41"/>
  <c r="I12" i="43"/>
  <c r="I13" i="40"/>
  <c r="G23" i="16" s="1"/>
  <c r="I13" i="42"/>
  <c r="I23" i="16" s="1"/>
  <c r="I13" i="44"/>
  <c r="L23" i="16" s="1"/>
  <c r="I15" i="39"/>
  <c r="F26" i="16" s="1"/>
  <c r="I15" i="41"/>
  <c r="H26" i="16" s="1"/>
  <c r="I15" i="43"/>
  <c r="K26" i="16" s="1"/>
  <c r="I16" i="40"/>
  <c r="I16" i="42"/>
  <c r="I16" i="44"/>
  <c r="I17" i="39"/>
  <c r="I17" i="41"/>
  <c r="I17" i="43"/>
  <c r="I18" i="40"/>
  <c r="I18" i="42"/>
  <c r="I18" i="44"/>
  <c r="I19" i="39"/>
  <c r="F33" i="16" s="1"/>
  <c r="I19" i="41"/>
  <c r="H33" i="16" s="1"/>
  <c r="I19" i="43"/>
  <c r="K33" i="16" s="1"/>
  <c r="I20" i="40"/>
  <c r="G38" i="16" s="1"/>
  <c r="I20" i="42"/>
  <c r="I38" i="16" s="1"/>
  <c r="I20" i="44"/>
  <c r="L38" i="16" s="1"/>
  <c r="I21" i="39"/>
  <c r="F39" i="16" s="1"/>
  <c r="I21" i="41"/>
  <c r="H39" i="16" s="1"/>
  <c r="I21" i="43"/>
  <c r="K39" i="16" s="1"/>
  <c r="I22" i="40"/>
  <c r="G40" i="16" s="1"/>
  <c r="I22" i="42"/>
  <c r="I40" i="16" s="1"/>
  <c r="I22" i="44"/>
  <c r="L40" i="16" s="1"/>
  <c r="I23" i="39"/>
  <c r="F46" i="16" s="1"/>
  <c r="I23" i="41"/>
  <c r="H46" i="16" s="1"/>
  <c r="I23" i="43"/>
  <c r="K46" i="16" s="1"/>
  <c r="I24" i="40"/>
  <c r="I24" i="42"/>
  <c r="I24" i="44"/>
  <c r="I25" i="39"/>
  <c r="I25" i="41"/>
  <c r="I25" i="43"/>
  <c r="I26" i="40"/>
  <c r="I26" i="42"/>
  <c r="I26" i="44"/>
  <c r="I27" i="39"/>
  <c r="I27" i="41"/>
  <c r="I27" i="43"/>
  <c r="I28" i="40"/>
  <c r="I28" i="42"/>
  <c r="I28" i="44"/>
  <c r="I30" i="39"/>
  <c r="I30" i="41"/>
  <c r="I30" i="43"/>
  <c r="I32" i="40"/>
  <c r="I32" i="42"/>
  <c r="I32" i="44"/>
  <c r="I33" i="39"/>
  <c r="I33" i="41"/>
  <c r="I33" i="43"/>
  <c r="I34" i="40"/>
  <c r="I34" i="42"/>
  <c r="I34" i="44"/>
  <c r="I35" i="39"/>
  <c r="I35" i="41"/>
  <c r="I35" i="43"/>
  <c r="I36" i="40"/>
  <c r="I36" i="42"/>
  <c r="I36" i="44"/>
  <c r="I37" i="39"/>
  <c r="I37" i="41"/>
  <c r="I37" i="43"/>
  <c r="I38" i="40"/>
  <c r="I38" i="42"/>
  <c r="I38" i="44"/>
  <c r="D31" i="43"/>
  <c r="K36" i="1" s="1"/>
  <c r="D31" i="42"/>
  <c r="G14" i="39"/>
  <c r="H14" i="42"/>
  <c r="E31" i="43"/>
  <c r="F31" i="43"/>
  <c r="E31" i="40"/>
  <c r="F31" i="40"/>
  <c r="G31" i="41"/>
  <c r="H45" i="11" s="1"/>
  <c r="G31" i="44"/>
  <c r="L45" i="11" s="1"/>
  <c r="G31" i="40"/>
  <c r="H31" i="43"/>
  <c r="K59" i="11" s="1"/>
  <c r="H31" i="39"/>
  <c r="F59" i="11" s="1"/>
  <c r="H31" i="42"/>
  <c r="D29" i="39"/>
  <c r="D29" i="41"/>
  <c r="D29" i="43"/>
  <c r="E29" i="40"/>
  <c r="E29" i="42"/>
  <c r="E29" i="44"/>
  <c r="F29" i="39"/>
  <c r="F29" i="41"/>
  <c r="F29" i="43"/>
  <c r="G29" i="40"/>
  <c r="G29" i="42"/>
  <c r="G29" i="44"/>
  <c r="L36" i="11" s="1"/>
  <c r="H29" i="39"/>
  <c r="H29" i="41"/>
  <c r="H29" i="43"/>
  <c r="I29" i="40"/>
  <c r="I29" i="42"/>
  <c r="I29" i="44"/>
  <c r="E14" i="39"/>
  <c r="F27" i="19" s="1"/>
  <c r="E14" i="42"/>
  <c r="F14" i="38"/>
  <c r="F14" i="40"/>
  <c r="G14" i="38"/>
  <c r="H14" i="39"/>
  <c r="I31" i="39"/>
  <c r="E14" i="40"/>
  <c r="G14" i="42"/>
  <c r="D14" i="40"/>
  <c r="E14" i="43"/>
  <c r="K27" i="19" s="1"/>
  <c r="F14" i="42"/>
  <c r="F14" i="44"/>
  <c r="L20" i="11" s="1"/>
  <c r="G14" i="43"/>
  <c r="I14" i="39"/>
  <c r="F25" i="16" s="1"/>
  <c r="I14" i="43"/>
  <c r="K25" i="16" s="1"/>
  <c r="D14" i="39"/>
  <c r="AW4" i="28"/>
  <c r="AY4" i="28"/>
  <c r="BA4" i="28"/>
  <c r="BC4" i="28"/>
  <c r="AW5" i="28"/>
  <c r="AY5" i="28"/>
  <c r="BA5" i="28"/>
  <c r="BC5" i="28"/>
  <c r="AW6" i="28"/>
  <c r="AY6" i="28"/>
  <c r="BA6" i="28"/>
  <c r="BC6" i="28"/>
  <c r="AW7" i="28"/>
  <c r="AY7" i="28"/>
  <c r="BA7" i="28"/>
  <c r="BC7" i="28"/>
  <c r="AW8" i="28"/>
  <c r="AY8" i="28"/>
  <c r="BA8" i="28"/>
  <c r="BC8" i="28"/>
  <c r="AW9" i="28"/>
  <c r="AY9" i="28"/>
  <c r="BA9" i="28"/>
  <c r="BC9" i="28"/>
  <c r="AW10" i="28"/>
  <c r="AY10" i="28"/>
  <c r="BA10" i="28"/>
  <c r="BC10" i="28"/>
  <c r="AW11" i="28"/>
  <c r="AY11" i="28"/>
  <c r="BA11" i="28"/>
  <c r="BC11" i="28"/>
  <c r="AW12" i="28"/>
  <c r="AY12" i="28"/>
  <c r="BA12" i="28"/>
  <c r="BC12" i="28"/>
  <c r="AW13" i="28"/>
  <c r="AY13" i="28"/>
  <c r="BA13" i="28"/>
  <c r="BC13" i="28"/>
  <c r="AW14" i="28"/>
  <c r="AY14" i="28"/>
  <c r="BA14" i="28"/>
  <c r="BC14" i="28"/>
  <c r="AW15" i="28"/>
  <c r="AY15" i="28"/>
  <c r="BA15" i="28"/>
  <c r="BC15" i="28"/>
  <c r="AW16" i="28"/>
  <c r="AY16" i="28"/>
  <c r="BA16" i="28"/>
  <c r="BC16" i="28"/>
  <c r="AN16" i="28"/>
  <c r="AN15" i="28"/>
  <c r="AN14" i="28"/>
  <c r="AN13" i="28"/>
  <c r="AN12" i="28"/>
  <c r="AN11" i="28"/>
  <c r="AN10" i="28"/>
  <c r="AN9" i="28"/>
  <c r="AN8" i="28"/>
  <c r="AN7" i="28"/>
  <c r="AN6" i="28"/>
  <c r="AN5" i="28"/>
  <c r="AN4" i="28"/>
  <c r="AT16" i="28"/>
  <c r="AR16" i="28"/>
  <c r="AP16" i="28"/>
  <c r="AT15" i="28"/>
  <c r="AR15" i="28"/>
  <c r="AP15" i="28"/>
  <c r="AT14" i="28"/>
  <c r="AR14" i="28"/>
  <c r="AP14" i="28"/>
  <c r="AT13" i="28"/>
  <c r="AR13" i="28"/>
  <c r="AP13" i="28"/>
  <c r="AT12" i="28"/>
  <c r="AR12" i="28"/>
  <c r="AP12" i="28"/>
  <c r="AT11" i="28"/>
  <c r="AR11" i="28"/>
  <c r="AP11" i="28"/>
  <c r="AT10" i="28"/>
  <c r="AR10" i="28"/>
  <c r="AP10" i="28"/>
  <c r="AT9" i="28"/>
  <c r="AR9" i="28"/>
  <c r="AP9" i="28"/>
  <c r="AT8" i="28"/>
  <c r="AR8" i="28"/>
  <c r="AP8" i="28"/>
  <c r="AT7" i="28"/>
  <c r="AR7" i="28"/>
  <c r="AP7" i="28"/>
  <c r="AT6" i="28"/>
  <c r="AR6" i="28"/>
  <c r="AP6" i="28"/>
  <c r="AT5" i="28"/>
  <c r="AR5" i="28"/>
  <c r="AP5" i="28"/>
  <c r="AT4" i="28"/>
  <c r="AR4" i="28"/>
  <c r="AP4" i="28"/>
  <c r="AB143" i="3"/>
  <c r="AN143" i="3" s="1"/>
  <c r="Y143" i="3"/>
  <c r="AK143" i="3" s="1"/>
  <c r="X143" i="3"/>
  <c r="AJ143" i="3" s="1"/>
  <c r="W143" i="3"/>
  <c r="AI143" i="3" s="1"/>
  <c r="V143" i="3"/>
  <c r="AH143" i="3" s="1"/>
  <c r="U143" i="3"/>
  <c r="AG143" i="3" s="1"/>
  <c r="T143" i="3"/>
  <c r="AF143" i="3" s="1"/>
  <c r="AD143" i="3"/>
  <c r="AP143" i="3" s="1"/>
  <c r="AC143" i="3"/>
  <c r="AO143" i="3" s="1"/>
  <c r="AB174" i="3"/>
  <c r="AN174" i="3" s="1"/>
  <c r="Y174" i="3"/>
  <c r="AK174" i="3" s="1"/>
  <c r="X174" i="3"/>
  <c r="AJ174" i="3" s="1"/>
  <c r="W174" i="3"/>
  <c r="AI174" i="3" s="1"/>
  <c r="V174" i="3"/>
  <c r="AH174" i="3" s="1"/>
  <c r="U174" i="3"/>
  <c r="AG174" i="3" s="1"/>
  <c r="T174" i="3"/>
  <c r="AF174" i="3" s="1"/>
  <c r="AD174" i="3"/>
  <c r="AP174" i="3" s="1"/>
  <c r="AC174" i="3"/>
  <c r="AO174" i="3" s="1"/>
  <c r="AB173" i="3"/>
  <c r="AN173" i="3" s="1"/>
  <c r="Y173" i="3"/>
  <c r="AK173" i="3" s="1"/>
  <c r="X173" i="3"/>
  <c r="AJ173" i="3" s="1"/>
  <c r="W173" i="3"/>
  <c r="AI173" i="3" s="1"/>
  <c r="V173" i="3"/>
  <c r="AH173" i="3" s="1"/>
  <c r="U173" i="3"/>
  <c r="AG173" i="3" s="1"/>
  <c r="T173" i="3"/>
  <c r="AF173" i="3" s="1"/>
  <c r="AD173" i="3"/>
  <c r="AP173" i="3" s="1"/>
  <c r="AC173" i="3"/>
  <c r="AO173" i="3" s="1"/>
  <c r="L12" i="36" l="1"/>
  <c r="L11" i="36"/>
  <c r="L14" i="36"/>
  <c r="L18" i="36"/>
  <c r="L27" i="36"/>
  <c r="L19" i="36"/>
  <c r="L26" i="36"/>
  <c r="L23" i="36"/>
  <c r="E39" i="36"/>
  <c r="E36" i="36"/>
  <c r="E6" i="36"/>
  <c r="E30" i="36"/>
  <c r="F58" i="17"/>
  <c r="E37" i="36"/>
  <c r="E7" i="36"/>
  <c r="E35" i="36"/>
  <c r="E13" i="36"/>
  <c r="E15" i="36"/>
  <c r="E34" i="36"/>
  <c r="F54" i="17"/>
  <c r="E17" i="36"/>
  <c r="E33" i="36"/>
  <c r="E9" i="36"/>
  <c r="E38" i="36"/>
  <c r="E28" i="36"/>
  <c r="E8" i="36"/>
  <c r="D11" i="36"/>
  <c r="E56" i="17"/>
  <c r="D12" i="36"/>
  <c r="D18" i="36"/>
  <c r="E55" i="17"/>
  <c r="D14" i="36"/>
  <c r="M39" i="36"/>
  <c r="M37" i="36"/>
  <c r="M15" i="36"/>
  <c r="M36" i="36"/>
  <c r="M38" i="36"/>
  <c r="M35" i="36"/>
  <c r="M17" i="36"/>
  <c r="M9" i="36"/>
  <c r="M6" i="36"/>
  <c r="M28" i="36"/>
  <c r="M34" i="36"/>
  <c r="M8" i="36"/>
  <c r="M33" i="36"/>
  <c r="M7" i="36"/>
  <c r="M30" i="36"/>
  <c r="M13" i="36"/>
  <c r="M11" i="36"/>
  <c r="M12" i="36"/>
  <c r="M18" i="36"/>
  <c r="M14" i="36"/>
  <c r="M27" i="36"/>
  <c r="M19" i="36"/>
  <c r="M26" i="36"/>
  <c r="M23" i="36"/>
  <c r="H9" i="11"/>
  <c r="K30" i="9"/>
  <c r="K16" i="11"/>
  <c r="G55" i="17"/>
  <c r="M55" i="17" s="1"/>
  <c r="G56" i="17"/>
  <c r="M56" i="17" s="1"/>
  <c r="F12" i="36"/>
  <c r="F18" i="36"/>
  <c r="F14" i="36"/>
  <c r="F11" i="36"/>
  <c r="H39" i="36"/>
  <c r="H34" i="36"/>
  <c r="H28" i="36"/>
  <c r="H8" i="36"/>
  <c r="H35" i="36"/>
  <c r="H33" i="36"/>
  <c r="H30" i="36"/>
  <c r="H13" i="36"/>
  <c r="I58" i="17"/>
  <c r="J58" i="17" s="1"/>
  <c r="H17" i="36"/>
  <c r="H37" i="36"/>
  <c r="H7" i="36"/>
  <c r="I54" i="17"/>
  <c r="J54" i="17" s="1"/>
  <c r="H9" i="36"/>
  <c r="H38" i="36"/>
  <c r="H15" i="36"/>
  <c r="H36" i="36"/>
  <c r="H6" i="36"/>
  <c r="K39" i="36"/>
  <c r="K33" i="36"/>
  <c r="K15" i="36"/>
  <c r="K34" i="36"/>
  <c r="K30" i="36"/>
  <c r="K17" i="36"/>
  <c r="K9" i="36"/>
  <c r="K6" i="36"/>
  <c r="K38" i="36"/>
  <c r="K28" i="36"/>
  <c r="K8" i="36"/>
  <c r="K37" i="36"/>
  <c r="K7" i="36"/>
  <c r="K36" i="36"/>
  <c r="K35" i="36"/>
  <c r="K13" i="36"/>
  <c r="K11" i="36"/>
  <c r="K18" i="36"/>
  <c r="K12" i="36"/>
  <c r="K14" i="36"/>
  <c r="F9" i="11"/>
  <c r="H30" i="9"/>
  <c r="F19" i="9"/>
  <c r="L15" i="11"/>
  <c r="E49" i="9"/>
  <c r="E14" i="36"/>
  <c r="F56" i="17"/>
  <c r="F55" i="17"/>
  <c r="E12" i="36"/>
  <c r="E11" i="36"/>
  <c r="E18" i="36"/>
  <c r="D39" i="36"/>
  <c r="D33" i="36"/>
  <c r="D36" i="36"/>
  <c r="D6" i="36"/>
  <c r="E54" i="17"/>
  <c r="D30" i="36"/>
  <c r="D17" i="36"/>
  <c r="D9" i="36"/>
  <c r="D34" i="36"/>
  <c r="D38" i="36"/>
  <c r="D28" i="36"/>
  <c r="D8" i="36"/>
  <c r="D37" i="36"/>
  <c r="D15" i="36"/>
  <c r="D7" i="36"/>
  <c r="E58" i="17"/>
  <c r="D35" i="36"/>
  <c r="D13" i="36"/>
  <c r="O25" i="36"/>
  <c r="O21" i="36"/>
  <c r="O20" i="36"/>
  <c r="O10" i="36"/>
  <c r="O24" i="36"/>
  <c r="O16" i="36"/>
  <c r="O32" i="36"/>
  <c r="O22" i="36"/>
  <c r="O5" i="36"/>
  <c r="O4" i="36"/>
  <c r="O3" i="36"/>
  <c r="H12" i="36"/>
  <c r="H11" i="36"/>
  <c r="H18" i="36"/>
  <c r="I56" i="17"/>
  <c r="J56" i="17" s="1"/>
  <c r="I55" i="17"/>
  <c r="J55" i="17" s="1"/>
  <c r="H14" i="36"/>
  <c r="D20" i="36"/>
  <c r="D3" i="36"/>
  <c r="D25" i="36"/>
  <c r="D32" i="36"/>
  <c r="D10" i="36"/>
  <c r="D21" i="36"/>
  <c r="E59" i="17"/>
  <c r="D24" i="36"/>
  <c r="D4" i="36"/>
  <c r="D16" i="36"/>
  <c r="D22" i="36"/>
  <c r="D5" i="36"/>
  <c r="L21" i="36"/>
  <c r="L5" i="36"/>
  <c r="L25" i="36"/>
  <c r="L16" i="36"/>
  <c r="L22" i="36"/>
  <c r="L20" i="36"/>
  <c r="L4" i="36"/>
  <c r="L32" i="36"/>
  <c r="L3" i="36"/>
  <c r="L10" i="36"/>
  <c r="L24" i="36"/>
  <c r="E9" i="11"/>
  <c r="E23" i="36"/>
  <c r="F57" i="17"/>
  <c r="E27" i="36"/>
  <c r="E19" i="36"/>
  <c r="E26" i="36"/>
  <c r="H21" i="36"/>
  <c r="H4" i="36"/>
  <c r="H25" i="36"/>
  <c r="H5" i="36"/>
  <c r="H3" i="36"/>
  <c r="H20" i="36"/>
  <c r="I59" i="17"/>
  <c r="J59" i="17" s="1"/>
  <c r="H32" i="36"/>
  <c r="H10" i="36"/>
  <c r="H22" i="36"/>
  <c r="H16" i="36"/>
  <c r="H24" i="36"/>
  <c r="M3" i="36"/>
  <c r="M22" i="36"/>
  <c r="M20" i="36"/>
  <c r="M10" i="36"/>
  <c r="M25" i="36"/>
  <c r="M32" i="36"/>
  <c r="M4" i="36"/>
  <c r="M24" i="36"/>
  <c r="M16" i="36"/>
  <c r="M21" i="36"/>
  <c r="M5" i="36"/>
  <c r="K37" i="9"/>
  <c r="L22" i="11"/>
  <c r="H49" i="9"/>
  <c r="L44" i="9"/>
  <c r="H33" i="9"/>
  <c r="H22" i="11"/>
  <c r="L18" i="11"/>
  <c r="H44" i="9"/>
  <c r="L41" i="9"/>
  <c r="L19" i="9"/>
  <c r="H18" i="9"/>
  <c r="E41" i="9"/>
  <c r="E48" i="9"/>
  <c r="E30" i="9"/>
  <c r="F39" i="36"/>
  <c r="F30" i="36"/>
  <c r="F17" i="36"/>
  <c r="F9" i="36"/>
  <c r="G58" i="17"/>
  <c r="M58" i="17" s="1"/>
  <c r="G54" i="17"/>
  <c r="M54" i="17" s="1"/>
  <c r="F38" i="36"/>
  <c r="F28" i="36"/>
  <c r="F8" i="36"/>
  <c r="F37" i="36"/>
  <c r="F15" i="36"/>
  <c r="F7" i="36"/>
  <c r="F36" i="36"/>
  <c r="F6" i="36"/>
  <c r="F35" i="36"/>
  <c r="F13" i="36"/>
  <c r="F34" i="36"/>
  <c r="F33" i="36"/>
  <c r="L39" i="36"/>
  <c r="L30" i="36"/>
  <c r="L13" i="36"/>
  <c r="L9" i="36"/>
  <c r="L34" i="36"/>
  <c r="L38" i="36"/>
  <c r="L28" i="36"/>
  <c r="L6" i="36"/>
  <c r="L37" i="36"/>
  <c r="L35" i="36"/>
  <c r="L8" i="36"/>
  <c r="L36" i="36"/>
  <c r="L17" i="36"/>
  <c r="L33" i="36"/>
  <c r="L15" i="36"/>
  <c r="L7" i="36"/>
  <c r="F22" i="36"/>
  <c r="F21" i="36"/>
  <c r="F16" i="36"/>
  <c r="F5" i="36"/>
  <c r="F10" i="36"/>
  <c r="F25" i="36"/>
  <c r="F3" i="36"/>
  <c r="F24" i="36"/>
  <c r="F4" i="36"/>
  <c r="F32" i="36"/>
  <c r="G59" i="17"/>
  <c r="M59" i="17" s="1"/>
  <c r="F20" i="36"/>
  <c r="F26" i="36"/>
  <c r="F27" i="36"/>
  <c r="G57" i="17"/>
  <c r="F23" i="36"/>
  <c r="F19" i="36"/>
  <c r="E24" i="36"/>
  <c r="E32" i="36"/>
  <c r="E10" i="36"/>
  <c r="E22" i="36"/>
  <c r="E5" i="36"/>
  <c r="F59" i="17"/>
  <c r="E3" i="36"/>
  <c r="E21" i="36"/>
  <c r="E4" i="36"/>
  <c r="E25" i="36"/>
  <c r="E20" i="36"/>
  <c r="E16" i="36"/>
  <c r="H27" i="36"/>
  <c r="H19" i="36"/>
  <c r="I57" i="17"/>
  <c r="H26" i="36"/>
  <c r="H23" i="36"/>
  <c r="K20" i="36"/>
  <c r="K3" i="36"/>
  <c r="K24" i="36"/>
  <c r="K4" i="36"/>
  <c r="K32" i="36"/>
  <c r="K10" i="36"/>
  <c r="K25" i="36"/>
  <c r="K21" i="36"/>
  <c r="K16" i="36"/>
  <c r="K22" i="36"/>
  <c r="K5" i="36"/>
  <c r="H37" i="9"/>
  <c r="F18" i="9"/>
  <c r="O39" i="36"/>
  <c r="O35" i="36"/>
  <c r="O17" i="36"/>
  <c r="O9" i="36"/>
  <c r="O34" i="36"/>
  <c r="O8" i="36"/>
  <c r="O33" i="36"/>
  <c r="O15" i="36"/>
  <c r="O7" i="36"/>
  <c r="O28" i="36"/>
  <c r="O36" i="36"/>
  <c r="O6" i="36"/>
  <c r="O30" i="36"/>
  <c r="O13" i="36"/>
  <c r="O38" i="36"/>
  <c r="O37" i="36"/>
  <c r="O18" i="36"/>
  <c r="O14" i="36"/>
  <c r="O12" i="36"/>
  <c r="O11" i="36"/>
  <c r="O26" i="36"/>
  <c r="O23" i="36"/>
  <c r="O27" i="36"/>
  <c r="O19" i="36"/>
  <c r="F37" i="9"/>
  <c r="H18" i="11"/>
  <c r="L48" i="9"/>
  <c r="H41" i="9"/>
  <c r="L9" i="11"/>
  <c r="K24" i="9"/>
  <c r="E23" i="11"/>
  <c r="E22" i="11"/>
  <c r="E47" i="9"/>
  <c r="K23" i="11"/>
  <c r="F23" i="11"/>
  <c r="K18" i="11"/>
  <c r="F18" i="11"/>
  <c r="K49" i="9"/>
  <c r="F49" i="9"/>
  <c r="K41" i="9"/>
  <c r="F41" i="9"/>
  <c r="K33" i="9"/>
  <c r="F33" i="9"/>
  <c r="K22" i="11"/>
  <c r="F22" i="11"/>
  <c r="K48" i="9"/>
  <c r="F48" i="9"/>
  <c r="K44" i="9"/>
  <c r="F44" i="9"/>
  <c r="K47" i="9"/>
  <c r="F47" i="9"/>
  <c r="K36" i="9"/>
  <c r="F36" i="9"/>
  <c r="K17" i="11"/>
  <c r="H16" i="11"/>
  <c r="K46" i="9"/>
  <c r="H15" i="11"/>
  <c r="F36" i="1"/>
  <c r="F17" i="9"/>
  <c r="E36" i="9"/>
  <c r="E27" i="1"/>
  <c r="E27" i="19"/>
  <c r="L37" i="9"/>
  <c r="H36" i="1"/>
  <c r="K35" i="22"/>
  <c r="F35" i="22"/>
  <c r="K36" i="22"/>
  <c r="F36" i="22"/>
  <c r="K34" i="22"/>
  <c r="F34" i="22"/>
  <c r="H46" i="21"/>
  <c r="L44" i="19"/>
  <c r="L28" i="19"/>
  <c r="H26" i="19"/>
  <c r="L12" i="22"/>
  <c r="H11" i="22"/>
  <c r="H38" i="1"/>
  <c r="L37" i="1"/>
  <c r="L27" i="1"/>
  <c r="L47" i="18"/>
  <c r="L50" i="17"/>
  <c r="G50" i="17"/>
  <c r="M50" i="17" s="1"/>
  <c r="L46" i="21"/>
  <c r="H44" i="19"/>
  <c r="H28" i="19"/>
  <c r="L26" i="19"/>
  <c r="H12" i="22"/>
  <c r="L11" i="22"/>
  <c r="L38" i="1"/>
  <c r="H37" i="1"/>
  <c r="H27" i="1"/>
  <c r="H47" i="18"/>
  <c r="H50" i="17"/>
  <c r="L17" i="11"/>
  <c r="E35" i="22"/>
  <c r="E26" i="19"/>
  <c r="E11" i="22"/>
  <c r="E38" i="1"/>
  <c r="E19" i="9"/>
  <c r="E18" i="9"/>
  <c r="E17" i="9"/>
  <c r="E33" i="18"/>
  <c r="E17" i="11"/>
  <c r="E15" i="11"/>
  <c r="E34" i="22"/>
  <c r="E50" i="17"/>
  <c r="K29" i="9"/>
  <c r="L19" i="19"/>
  <c r="K20" i="1"/>
  <c r="L27" i="19"/>
  <c r="L36" i="1"/>
  <c r="L36" i="22"/>
  <c r="H35" i="22"/>
  <c r="L34" i="22"/>
  <c r="H36" i="22"/>
  <c r="L35" i="22"/>
  <c r="H34" i="22"/>
  <c r="K46" i="21"/>
  <c r="F46" i="21"/>
  <c r="K26" i="19"/>
  <c r="F26" i="19"/>
  <c r="K11" i="22"/>
  <c r="F11" i="22"/>
  <c r="K38" i="1"/>
  <c r="F38" i="1"/>
  <c r="I50" i="17"/>
  <c r="J50" i="17" s="1"/>
  <c r="K44" i="19"/>
  <c r="F44" i="19"/>
  <c r="K28" i="19"/>
  <c r="F28" i="19"/>
  <c r="K12" i="22"/>
  <c r="F12" i="22"/>
  <c r="K37" i="1"/>
  <c r="F37" i="1"/>
  <c r="K27" i="1"/>
  <c r="F27" i="1"/>
  <c r="K47" i="18"/>
  <c r="F47" i="18"/>
  <c r="K50" i="17"/>
  <c r="F50" i="17"/>
  <c r="K15" i="11"/>
  <c r="F15" i="11"/>
  <c r="L16" i="11"/>
  <c r="H17" i="9"/>
  <c r="H19" i="9"/>
  <c r="E43" i="17"/>
  <c r="E16" i="11"/>
  <c r="E36" i="22"/>
  <c r="E24" i="9"/>
  <c r="E44" i="19"/>
  <c r="E28" i="19"/>
  <c r="E12" i="22"/>
  <c r="E37" i="1"/>
  <c r="E30" i="21"/>
  <c r="E44" i="18"/>
  <c r="E40" i="17"/>
  <c r="E30" i="18"/>
  <c r="E25" i="21"/>
  <c r="E25" i="20"/>
  <c r="E23" i="1"/>
  <c r="E20" i="19"/>
  <c r="E25" i="18"/>
  <c r="E30" i="17"/>
  <c r="E26" i="17"/>
  <c r="E17" i="21"/>
  <c r="E17" i="20"/>
  <c r="E49" i="18"/>
  <c r="E17" i="18"/>
  <c r="E15" i="21"/>
  <c r="E15" i="20"/>
  <c r="E13" i="19"/>
  <c r="E32" i="17"/>
  <c r="E15" i="18"/>
  <c r="E17" i="17"/>
  <c r="E76" i="47"/>
  <c r="E54" i="47"/>
  <c r="E44" i="47"/>
  <c r="E67" i="47"/>
  <c r="E12" i="47"/>
  <c r="E18" i="46"/>
  <c r="Q18" i="46" s="1"/>
  <c r="E40" i="46" s="1"/>
  <c r="E8" i="46"/>
  <c r="Q8" i="46" s="1"/>
  <c r="E31" i="45"/>
  <c r="E12" i="45"/>
  <c r="E25" i="1"/>
  <c r="E13" i="21"/>
  <c r="E13" i="20"/>
  <c r="E11" i="19"/>
  <c r="E13" i="18"/>
  <c r="E12" i="17"/>
  <c r="E14" i="47"/>
  <c r="E78" i="47"/>
  <c r="E14" i="45"/>
  <c r="E11" i="21"/>
  <c r="E11" i="20"/>
  <c r="E9" i="17"/>
  <c r="E9" i="19"/>
  <c r="E11" i="18"/>
  <c r="E35" i="17"/>
  <c r="E9" i="21"/>
  <c r="E9" i="20"/>
  <c r="E9" i="18"/>
  <c r="E48" i="16"/>
  <c r="E31" i="16"/>
  <c r="E53" i="11"/>
  <c r="E64" i="11"/>
  <c r="E57" i="11"/>
  <c r="E41" i="11"/>
  <c r="E8" i="11"/>
  <c r="E42" i="9"/>
  <c r="E13" i="9"/>
  <c r="E45" i="22"/>
  <c r="E26" i="22"/>
  <c r="E17" i="22"/>
  <c r="E31" i="9"/>
  <c r="E21" i="9"/>
  <c r="E39" i="20"/>
  <c r="E42" i="19"/>
  <c r="E48" i="21"/>
  <c r="E31" i="20"/>
  <c r="E49" i="20"/>
  <c r="E53" i="19"/>
  <c r="E34" i="19"/>
  <c r="E10" i="22"/>
  <c r="E47" i="21"/>
  <c r="E47" i="20"/>
  <c r="E51" i="19"/>
  <c r="E35" i="1"/>
  <c r="E38" i="21"/>
  <c r="E32" i="21"/>
  <c r="E47" i="17"/>
  <c r="E42" i="17"/>
  <c r="E45" i="18"/>
  <c r="E38" i="18"/>
  <c r="E32" i="18"/>
  <c r="E31" i="21"/>
  <c r="E34" i="1"/>
  <c r="E31" i="18"/>
  <c r="E18" i="17"/>
  <c r="E41" i="17"/>
  <c r="E31" i="17"/>
  <c r="E34" i="45"/>
  <c r="E33" i="45"/>
  <c r="E26" i="1"/>
  <c r="E18" i="21"/>
  <c r="E18" i="20"/>
  <c r="E17" i="19"/>
  <c r="E22" i="21"/>
  <c r="E22" i="20"/>
  <c r="E18" i="18"/>
  <c r="E34" i="17"/>
  <c r="E23" i="17"/>
  <c r="E22" i="18"/>
  <c r="E10" i="46"/>
  <c r="Q10" i="46" s="1"/>
  <c r="E32" i="46" s="1"/>
  <c r="E42" i="47"/>
  <c r="E29" i="45"/>
  <c r="E23" i="21"/>
  <c r="E16" i="21"/>
  <c r="E23" i="20"/>
  <c r="E16" i="20"/>
  <c r="E21" i="1"/>
  <c r="E18" i="19"/>
  <c r="E23" i="18"/>
  <c r="E16" i="18"/>
  <c r="E24" i="17"/>
  <c r="E11" i="47"/>
  <c r="E75" i="47"/>
  <c r="E11" i="45"/>
  <c r="E14" i="21"/>
  <c r="E14" i="20"/>
  <c r="E12" i="19"/>
  <c r="E48" i="18"/>
  <c r="E14" i="18"/>
  <c r="E13" i="17"/>
  <c r="E43" i="47"/>
  <c r="E30" i="45"/>
  <c r="E22" i="1"/>
  <c r="E12" i="21"/>
  <c r="E12" i="20"/>
  <c r="E10" i="19"/>
  <c r="E46" i="18"/>
  <c r="E12" i="18"/>
  <c r="E10" i="17"/>
  <c r="E10" i="21"/>
  <c r="E10" i="20"/>
  <c r="E10" i="18"/>
  <c r="E8" i="21"/>
  <c r="E8" i="20"/>
  <c r="E8" i="19"/>
  <c r="E8" i="18"/>
  <c r="E8" i="17"/>
  <c r="E37" i="16"/>
  <c r="E32" i="16"/>
  <c r="E45" i="16"/>
  <c r="E48" i="11"/>
  <c r="E47" i="11"/>
  <c r="E42" i="11"/>
  <c r="E11" i="11"/>
  <c r="E32" i="11"/>
  <c r="E29" i="11"/>
  <c r="E19" i="11"/>
  <c r="E62" i="9"/>
  <c r="E57" i="9"/>
  <c r="E53" i="9"/>
  <c r="E64" i="9"/>
  <c r="E43" i="9"/>
  <c r="E9" i="9"/>
  <c r="E33" i="22"/>
  <c r="E27" i="22"/>
  <c r="E41" i="22"/>
  <c r="E35" i="9"/>
  <c r="E20" i="22"/>
  <c r="E41" i="19"/>
  <c r="E35" i="19"/>
  <c r="E45" i="21"/>
  <c r="E45" i="20"/>
  <c r="E38" i="20"/>
  <c r="E32" i="20"/>
  <c r="E49" i="19"/>
  <c r="E51" i="47"/>
  <c r="Q51" i="47" s="1"/>
  <c r="E22" i="46"/>
  <c r="Q22" i="46" s="1"/>
  <c r="E64" i="47"/>
  <c r="E39" i="21"/>
  <c r="E39" i="18"/>
  <c r="E48" i="17"/>
  <c r="K27" i="11"/>
  <c r="K20" i="11"/>
  <c r="I29" i="9"/>
  <c r="J29" i="9" s="1"/>
  <c r="I22" i="9"/>
  <c r="J22" i="9" s="1"/>
  <c r="I19" i="22"/>
  <c r="J19" i="22" s="1"/>
  <c r="G73" i="47"/>
  <c r="G9" i="47"/>
  <c r="G9" i="45"/>
  <c r="G20" i="1"/>
  <c r="M20" i="1" s="1"/>
  <c r="G19" i="19"/>
  <c r="G24" i="21"/>
  <c r="M24" i="21" s="1"/>
  <c r="G24" i="20"/>
  <c r="M24" i="20" s="1"/>
  <c r="G25" i="17"/>
  <c r="G11" i="17"/>
  <c r="G24" i="18"/>
  <c r="M24" i="18" s="1"/>
  <c r="G33" i="17"/>
  <c r="M33" i="17" s="1"/>
  <c r="G27" i="19"/>
  <c r="M27" i="19" s="1"/>
  <c r="G29" i="9"/>
  <c r="G22" i="9"/>
  <c r="M22" i="9" s="1"/>
  <c r="G19" i="22"/>
  <c r="M19" i="22" s="1"/>
  <c r="I27" i="19"/>
  <c r="J27" i="19" s="1"/>
  <c r="G36" i="11"/>
  <c r="M36" i="11" s="1"/>
  <c r="H79" i="47"/>
  <c r="H15" i="47"/>
  <c r="H15" i="45"/>
  <c r="H28" i="1"/>
  <c r="I59" i="11"/>
  <c r="J59" i="11" s="1"/>
  <c r="G46" i="9"/>
  <c r="M46" i="9" s="1"/>
  <c r="I36" i="1"/>
  <c r="J36" i="1" s="1"/>
  <c r="L37" i="16"/>
  <c r="L32" i="16"/>
  <c r="L45" i="16"/>
  <c r="G37" i="16"/>
  <c r="M37" i="16" s="1"/>
  <c r="G32" i="16"/>
  <c r="G45" i="16"/>
  <c r="M45" i="16" s="1"/>
  <c r="H44" i="16"/>
  <c r="H30" i="16"/>
  <c r="L48" i="16"/>
  <c r="L31" i="16"/>
  <c r="G48" i="16"/>
  <c r="M48" i="16" s="1"/>
  <c r="G31" i="16"/>
  <c r="M31" i="16" s="1"/>
  <c r="I53" i="11"/>
  <c r="I64" i="11"/>
  <c r="J64" i="11" s="1"/>
  <c r="I57" i="11"/>
  <c r="J57" i="11" s="1"/>
  <c r="G37" i="9"/>
  <c r="M37" i="9" s="1"/>
  <c r="L15" i="47"/>
  <c r="L79" i="47"/>
  <c r="L15" i="45"/>
  <c r="L28" i="1"/>
  <c r="G15" i="47"/>
  <c r="G79" i="47"/>
  <c r="G15" i="45"/>
  <c r="G28" i="1"/>
  <c r="M28" i="1" s="1"/>
  <c r="I45" i="11"/>
  <c r="J45" i="11" s="1"/>
  <c r="H45" i="16"/>
  <c r="H37" i="16"/>
  <c r="H32" i="16"/>
  <c r="L44" i="16"/>
  <c r="L30" i="16"/>
  <c r="G44" i="16"/>
  <c r="G30" i="16"/>
  <c r="H31" i="16"/>
  <c r="H48" i="16"/>
  <c r="K65" i="11"/>
  <c r="K58" i="11"/>
  <c r="F65" i="11"/>
  <c r="F58" i="11"/>
  <c r="I48" i="11"/>
  <c r="J48" i="11" s="1"/>
  <c r="I47" i="11"/>
  <c r="I46" i="11"/>
  <c r="J46" i="11" s="1"/>
  <c r="I35" i="11"/>
  <c r="J35" i="11" s="1"/>
  <c r="K43" i="11"/>
  <c r="K31" i="11"/>
  <c r="F43" i="11"/>
  <c r="F31" i="11"/>
  <c r="I41" i="11"/>
  <c r="J41" i="11" s="1"/>
  <c r="I8" i="11"/>
  <c r="I42" i="11"/>
  <c r="J42" i="11" s="1"/>
  <c r="I11" i="11"/>
  <c r="I32" i="11"/>
  <c r="K30" i="11"/>
  <c r="K10" i="11"/>
  <c r="F30" i="11"/>
  <c r="F10" i="11"/>
  <c r="I34" i="11"/>
  <c r="J34" i="11" s="1"/>
  <c r="I28" i="11"/>
  <c r="J28" i="11" s="1"/>
  <c r="I22" i="11"/>
  <c r="J22" i="11" s="1"/>
  <c r="K21" i="11"/>
  <c r="K33" i="11"/>
  <c r="F21" i="11"/>
  <c r="F33" i="11"/>
  <c r="I29" i="11"/>
  <c r="J29" i="11" s="1"/>
  <c r="I19" i="11"/>
  <c r="I62" i="9"/>
  <c r="J62" i="9" s="1"/>
  <c r="I57" i="9"/>
  <c r="I53" i="9"/>
  <c r="I48" i="9"/>
  <c r="J48" i="9" s="1"/>
  <c r="I44" i="9"/>
  <c r="J44" i="9" s="1"/>
  <c r="K63" i="9"/>
  <c r="K58" i="9"/>
  <c r="K45" i="9"/>
  <c r="F63" i="9"/>
  <c r="F58" i="9"/>
  <c r="F45" i="9"/>
  <c r="I47" i="9"/>
  <c r="J47" i="9" s="1"/>
  <c r="I36" i="9"/>
  <c r="J36" i="9" s="1"/>
  <c r="I11" i="9"/>
  <c r="I43" i="22"/>
  <c r="J43" i="22" s="1"/>
  <c r="I36" i="22"/>
  <c r="J36" i="22" s="1"/>
  <c r="I34" i="22"/>
  <c r="J34" i="22" s="1"/>
  <c r="I64" i="9"/>
  <c r="I43" i="9"/>
  <c r="J43" i="9" s="1"/>
  <c r="I9" i="9"/>
  <c r="I33" i="22"/>
  <c r="J33" i="22" s="1"/>
  <c r="I27" i="22"/>
  <c r="J27" i="22" s="1"/>
  <c r="I41" i="22"/>
  <c r="J41" i="22" s="1"/>
  <c r="K8" i="9"/>
  <c r="K40" i="22"/>
  <c r="K25" i="22"/>
  <c r="F8" i="9"/>
  <c r="F40" i="22"/>
  <c r="F25" i="22"/>
  <c r="I42" i="9"/>
  <c r="I13" i="9"/>
  <c r="J13" i="9" s="1"/>
  <c r="I45" i="22"/>
  <c r="I26" i="22"/>
  <c r="J26" i="22" s="1"/>
  <c r="I17" i="22"/>
  <c r="J17" i="22" s="1"/>
  <c r="K32" i="9"/>
  <c r="K12" i="9"/>
  <c r="K44" i="22"/>
  <c r="K16" i="22"/>
  <c r="F32" i="9"/>
  <c r="F12" i="9"/>
  <c r="F44" i="22"/>
  <c r="F16" i="22"/>
  <c r="I35" i="9"/>
  <c r="I20" i="22"/>
  <c r="J20" i="22" s="1"/>
  <c r="H64" i="11"/>
  <c r="H57" i="11"/>
  <c r="H53" i="11"/>
  <c r="I65" i="11"/>
  <c r="I58" i="11"/>
  <c r="I60" i="11"/>
  <c r="J60" i="11" s="1"/>
  <c r="I49" i="11"/>
  <c r="J49" i="11" s="1"/>
  <c r="K47" i="11"/>
  <c r="K48" i="11"/>
  <c r="F47" i="11"/>
  <c r="F48" i="11"/>
  <c r="I44" i="11"/>
  <c r="J44" i="11" s="1"/>
  <c r="I40" i="11"/>
  <c r="J40" i="11" s="1"/>
  <c r="I31" i="11"/>
  <c r="I43" i="11"/>
  <c r="K41" i="11"/>
  <c r="K8" i="11"/>
  <c r="F41" i="11"/>
  <c r="F8" i="11"/>
  <c r="I9" i="11"/>
  <c r="J9" i="11" s="1"/>
  <c r="K32" i="11"/>
  <c r="K42" i="11"/>
  <c r="K11" i="11"/>
  <c r="F32" i="11"/>
  <c r="F42" i="11"/>
  <c r="F11" i="11"/>
  <c r="I30" i="11"/>
  <c r="J30" i="11" s="1"/>
  <c r="I10" i="11"/>
  <c r="I23" i="11"/>
  <c r="J23" i="11" s="1"/>
  <c r="I33" i="11"/>
  <c r="I21" i="11"/>
  <c r="J21" i="11" s="1"/>
  <c r="K19" i="11"/>
  <c r="K29" i="11"/>
  <c r="F19" i="11"/>
  <c r="F29" i="11"/>
  <c r="I18" i="11"/>
  <c r="J18" i="11" s="1"/>
  <c r="K53" i="9"/>
  <c r="K62" i="9"/>
  <c r="K57" i="9"/>
  <c r="F53" i="9"/>
  <c r="F62" i="9"/>
  <c r="F57" i="9"/>
  <c r="I49" i="9"/>
  <c r="J49" i="9" s="1"/>
  <c r="I45" i="9"/>
  <c r="I63" i="9"/>
  <c r="I58" i="9"/>
  <c r="I41" i="9"/>
  <c r="J41" i="9" s="1"/>
  <c r="I33" i="9"/>
  <c r="J33" i="9" s="1"/>
  <c r="K43" i="22"/>
  <c r="K11" i="9"/>
  <c r="F43" i="22"/>
  <c r="F11" i="9"/>
  <c r="I35" i="22"/>
  <c r="J35" i="22" s="1"/>
  <c r="I28" i="22"/>
  <c r="J28" i="22" s="1"/>
  <c r="K64" i="9"/>
  <c r="K43" i="9"/>
  <c r="K41" i="22"/>
  <c r="K9" i="9"/>
  <c r="K33" i="22"/>
  <c r="K27" i="22"/>
  <c r="F64" i="9"/>
  <c r="F43" i="9"/>
  <c r="F41" i="22"/>
  <c r="F9" i="9"/>
  <c r="F33" i="22"/>
  <c r="F27" i="22"/>
  <c r="I40" i="22"/>
  <c r="J40" i="22" s="1"/>
  <c r="I25" i="22"/>
  <c r="J25" i="22" s="1"/>
  <c r="I8" i="9"/>
  <c r="K42" i="9"/>
  <c r="K45" i="22"/>
  <c r="K26" i="22"/>
  <c r="K17" i="22"/>
  <c r="K13" i="9"/>
  <c r="F42" i="9"/>
  <c r="F45" i="22"/>
  <c r="F26" i="22"/>
  <c r="F17" i="22"/>
  <c r="F13" i="9"/>
  <c r="I44" i="22"/>
  <c r="J44" i="22" s="1"/>
  <c r="I16" i="22"/>
  <c r="I32" i="9"/>
  <c r="J32" i="9" s="1"/>
  <c r="I12" i="9"/>
  <c r="J12" i="9" s="1"/>
  <c r="K35" i="9"/>
  <c r="K20" i="22"/>
  <c r="F35" i="9"/>
  <c r="F20" i="22"/>
  <c r="G30" i="9"/>
  <c r="M30" i="9" s="1"/>
  <c r="H25" i="9"/>
  <c r="H10" i="9"/>
  <c r="H42" i="22"/>
  <c r="H18" i="22"/>
  <c r="G24" i="9"/>
  <c r="M24" i="9" s="1"/>
  <c r="H34" i="9"/>
  <c r="H23" i="9"/>
  <c r="L31" i="9"/>
  <c r="L21" i="9"/>
  <c r="G31" i="9"/>
  <c r="G21" i="9"/>
  <c r="H21" i="22"/>
  <c r="H20" i="9"/>
  <c r="L46" i="20"/>
  <c r="L50" i="19"/>
  <c r="G46" i="20"/>
  <c r="M46" i="20" s="1"/>
  <c r="G50" i="19"/>
  <c r="M50" i="19" s="1"/>
  <c r="G44" i="19"/>
  <c r="M44" i="19" s="1"/>
  <c r="H40" i="20"/>
  <c r="H43" i="19"/>
  <c r="L39" i="20"/>
  <c r="L42" i="19"/>
  <c r="G39" i="20"/>
  <c r="G42" i="19"/>
  <c r="H36" i="19"/>
  <c r="H33" i="20"/>
  <c r="L41" i="19"/>
  <c r="L35" i="19"/>
  <c r="L45" i="21"/>
  <c r="L45" i="20"/>
  <c r="L38" i="20"/>
  <c r="L32" i="20"/>
  <c r="L49" i="19"/>
  <c r="G41" i="19"/>
  <c r="M41" i="19" s="1"/>
  <c r="G35" i="19"/>
  <c r="M35" i="19" s="1"/>
  <c r="G45" i="21"/>
  <c r="G45" i="20"/>
  <c r="M45" i="20" s="1"/>
  <c r="G38" i="20"/>
  <c r="G32" i="20"/>
  <c r="M32" i="20" s="1"/>
  <c r="G49" i="19"/>
  <c r="M49" i="19" s="1"/>
  <c r="H30" i="20"/>
  <c r="H44" i="21"/>
  <c r="H44" i="20"/>
  <c r="H48" i="19"/>
  <c r="H33" i="19"/>
  <c r="L48" i="21"/>
  <c r="L31" i="20"/>
  <c r="L49" i="20"/>
  <c r="L53" i="19"/>
  <c r="L34" i="19"/>
  <c r="G48" i="21"/>
  <c r="M48" i="21" s="1"/>
  <c r="G31" i="20"/>
  <c r="G49" i="20"/>
  <c r="G53" i="19"/>
  <c r="G34" i="19"/>
  <c r="M34" i="19" s="1"/>
  <c r="H25" i="19"/>
  <c r="H48" i="20"/>
  <c r="H52" i="19"/>
  <c r="G28" i="19"/>
  <c r="M28" i="19" s="1"/>
  <c r="H8" i="22"/>
  <c r="H24" i="19"/>
  <c r="G12" i="22"/>
  <c r="M12" i="22" s="1"/>
  <c r="L10" i="22"/>
  <c r="L47" i="21"/>
  <c r="L47" i="20"/>
  <c r="L51" i="19"/>
  <c r="G10" i="22"/>
  <c r="M10" i="22" s="1"/>
  <c r="G47" i="21"/>
  <c r="G47" i="20"/>
  <c r="G51" i="19"/>
  <c r="H29" i="19"/>
  <c r="H9" i="22"/>
  <c r="M9" i="46"/>
  <c r="Y9" i="46" s="1"/>
  <c r="M31" i="46" s="1"/>
  <c r="S9" i="46"/>
  <c r="G31" i="46" s="1"/>
  <c r="G37" i="1"/>
  <c r="M37" i="1" s="1"/>
  <c r="H87" i="47"/>
  <c r="H68" i="47"/>
  <c r="H58" i="47"/>
  <c r="H47" i="47"/>
  <c r="H35" i="47"/>
  <c r="H29" i="47"/>
  <c r="H23" i="47"/>
  <c r="H12" i="46"/>
  <c r="T12" i="46" s="1"/>
  <c r="H34" i="46" s="1"/>
  <c r="H16" i="46"/>
  <c r="T16" i="46" s="1"/>
  <c r="H35" i="45"/>
  <c r="H23" i="45"/>
  <c r="H32" i="1"/>
  <c r="G27" i="1"/>
  <c r="M27" i="1" s="1"/>
  <c r="H74" i="47"/>
  <c r="H10" i="47"/>
  <c r="H10" i="45"/>
  <c r="H33" i="1"/>
  <c r="H24" i="1"/>
  <c r="G47" i="18"/>
  <c r="M47" i="18" s="1"/>
  <c r="G19" i="17"/>
  <c r="M19" i="17" s="1"/>
  <c r="H52" i="47"/>
  <c r="H23" i="46"/>
  <c r="T23" i="46" s="1"/>
  <c r="H45" i="46" s="1"/>
  <c r="H88" i="47"/>
  <c r="H65" i="47"/>
  <c r="H59" i="47"/>
  <c r="H36" i="47"/>
  <c r="H30" i="47"/>
  <c r="H24" i="47"/>
  <c r="H24" i="45"/>
  <c r="H40" i="21"/>
  <c r="H40" i="18"/>
  <c r="H49" i="17"/>
  <c r="L51" i="47"/>
  <c r="X51" i="47" s="1"/>
  <c r="L22" i="46"/>
  <c r="X22" i="46" s="1"/>
  <c r="L64" i="47"/>
  <c r="L39" i="21"/>
  <c r="L39" i="18"/>
  <c r="L48" i="17"/>
  <c r="G51" i="47"/>
  <c r="G22" i="46"/>
  <c r="G64" i="47"/>
  <c r="G39" i="21"/>
  <c r="G39" i="18"/>
  <c r="G48" i="17"/>
  <c r="H13" i="47"/>
  <c r="H11" i="46"/>
  <c r="T11" i="46" s="1"/>
  <c r="H33" i="46" s="1"/>
  <c r="H32" i="45"/>
  <c r="H77" i="47"/>
  <c r="H45" i="47"/>
  <c r="H13" i="45"/>
  <c r="H39" i="1"/>
  <c r="H33" i="21"/>
  <c r="H43" i="17"/>
  <c r="H33" i="18"/>
  <c r="L35" i="1"/>
  <c r="L38" i="21"/>
  <c r="L32" i="21"/>
  <c r="L47" i="17"/>
  <c r="L42" i="17"/>
  <c r="L45" i="18"/>
  <c r="L38" i="18"/>
  <c r="L32" i="18"/>
  <c r="G35" i="1"/>
  <c r="G38" i="21"/>
  <c r="M38" i="21" s="1"/>
  <c r="G32" i="21"/>
  <c r="G47" i="17"/>
  <c r="M47" i="17" s="1"/>
  <c r="G42" i="17"/>
  <c r="G45" i="18"/>
  <c r="M45" i="18" s="1"/>
  <c r="G38" i="18"/>
  <c r="M38" i="18" s="1"/>
  <c r="G32" i="18"/>
  <c r="H30" i="21"/>
  <c r="H30" i="18"/>
  <c r="H44" i="18"/>
  <c r="H40" i="17"/>
  <c r="L31" i="21"/>
  <c r="L34" i="1"/>
  <c r="L31" i="18"/>
  <c r="L18" i="17"/>
  <c r="L41" i="17"/>
  <c r="L31" i="17"/>
  <c r="G31" i="21"/>
  <c r="G34" i="1"/>
  <c r="M34" i="1" s="1"/>
  <c r="G31" i="18"/>
  <c r="M31" i="18" s="1"/>
  <c r="G18" i="17"/>
  <c r="G41" i="17"/>
  <c r="M41" i="17" s="1"/>
  <c r="G31" i="17"/>
  <c r="H23" i="1"/>
  <c r="H20" i="19"/>
  <c r="H25" i="21"/>
  <c r="H25" i="20"/>
  <c r="H26" i="17"/>
  <c r="H25" i="18"/>
  <c r="H30" i="17"/>
  <c r="L34" i="45"/>
  <c r="L33" i="45"/>
  <c r="L26" i="1"/>
  <c r="L18" i="21"/>
  <c r="L18" i="20"/>
  <c r="L17" i="19"/>
  <c r="L22" i="21"/>
  <c r="L22" i="20"/>
  <c r="L18" i="18"/>
  <c r="L34" i="17"/>
  <c r="L23" i="17"/>
  <c r="L22" i="18"/>
  <c r="G34" i="45"/>
  <c r="G33" i="45"/>
  <c r="G26" i="1"/>
  <c r="M26" i="1" s="1"/>
  <c r="G18" i="21"/>
  <c r="M18" i="21" s="1"/>
  <c r="G18" i="20"/>
  <c r="G17" i="19"/>
  <c r="M17" i="19" s="1"/>
  <c r="G22" i="21"/>
  <c r="M22" i="21" s="1"/>
  <c r="G22" i="20"/>
  <c r="G18" i="18"/>
  <c r="G34" i="17"/>
  <c r="G23" i="17"/>
  <c r="M23" i="17" s="1"/>
  <c r="G22" i="18"/>
  <c r="M22" i="18" s="1"/>
  <c r="H17" i="21"/>
  <c r="H17" i="20"/>
  <c r="H49" i="18"/>
  <c r="H17" i="18"/>
  <c r="L42" i="47"/>
  <c r="L10" i="46"/>
  <c r="X10" i="46" s="1"/>
  <c r="L32" i="46" s="1"/>
  <c r="L29" i="45"/>
  <c r="L23" i="21"/>
  <c r="L16" i="21"/>
  <c r="L23" i="20"/>
  <c r="L16" i="20"/>
  <c r="L21" i="1"/>
  <c r="L18" i="19"/>
  <c r="L23" i="18"/>
  <c r="L16" i="18"/>
  <c r="L24" i="17"/>
  <c r="G10" i="46"/>
  <c r="G42" i="47"/>
  <c r="G29" i="45"/>
  <c r="G23" i="21"/>
  <c r="G16" i="21"/>
  <c r="G23" i="20"/>
  <c r="G16" i="20"/>
  <c r="M16" i="20" s="1"/>
  <c r="G21" i="1"/>
  <c r="M21" i="1" s="1"/>
  <c r="G18" i="19"/>
  <c r="G23" i="18"/>
  <c r="M23" i="18" s="1"/>
  <c r="G16" i="18"/>
  <c r="M16" i="18" s="1"/>
  <c r="G24" i="17"/>
  <c r="H15" i="21"/>
  <c r="H15" i="20"/>
  <c r="H13" i="19"/>
  <c r="H15" i="18"/>
  <c r="H17" i="17"/>
  <c r="H32" i="17"/>
  <c r="L11" i="47"/>
  <c r="L75" i="47"/>
  <c r="L11" i="45"/>
  <c r="L14" i="21"/>
  <c r="L14" i="20"/>
  <c r="L12" i="19"/>
  <c r="L48" i="18"/>
  <c r="L14" i="18"/>
  <c r="L13" i="17"/>
  <c r="G11" i="47"/>
  <c r="G75" i="47"/>
  <c r="G11" i="45"/>
  <c r="G14" i="21"/>
  <c r="G14" i="20"/>
  <c r="M14" i="20" s="1"/>
  <c r="G12" i="19"/>
  <c r="M12" i="19" s="1"/>
  <c r="G48" i="18"/>
  <c r="M48" i="18" s="1"/>
  <c r="G14" i="18"/>
  <c r="G13" i="17"/>
  <c r="H67" i="47"/>
  <c r="H12" i="47"/>
  <c r="H18" i="46"/>
  <c r="T18" i="46" s="1"/>
  <c r="H40" i="46" s="1"/>
  <c r="H8" i="46"/>
  <c r="T8" i="46" s="1"/>
  <c r="H76" i="47"/>
  <c r="H54" i="47"/>
  <c r="H44" i="47"/>
  <c r="H31" i="45"/>
  <c r="H12" i="45"/>
  <c r="H25" i="1"/>
  <c r="H13" i="21"/>
  <c r="H13" i="20"/>
  <c r="H11" i="19"/>
  <c r="H13" i="18"/>
  <c r="H12" i="17"/>
  <c r="L42" i="22"/>
  <c r="L18" i="22"/>
  <c r="L25" i="9"/>
  <c r="L10" i="9"/>
  <c r="G42" i="22"/>
  <c r="M42" i="22" s="1"/>
  <c r="G18" i="22"/>
  <c r="G25" i="9"/>
  <c r="M25" i="9" s="1"/>
  <c r="G10" i="9"/>
  <c r="M10" i="9" s="1"/>
  <c r="L34" i="9"/>
  <c r="L23" i="9"/>
  <c r="G34" i="9"/>
  <c r="G23" i="9"/>
  <c r="M23" i="9" s="1"/>
  <c r="H21" i="9"/>
  <c r="H31" i="9"/>
  <c r="L20" i="9"/>
  <c r="L21" i="22"/>
  <c r="G20" i="9"/>
  <c r="G21" i="22"/>
  <c r="H46" i="20"/>
  <c r="H50" i="19"/>
  <c r="G46" i="21"/>
  <c r="M46" i="21" s="1"/>
  <c r="L43" i="19"/>
  <c r="L40" i="20"/>
  <c r="G43" i="19"/>
  <c r="M43" i="19" s="1"/>
  <c r="G40" i="20"/>
  <c r="H42" i="19"/>
  <c r="H39" i="20"/>
  <c r="L33" i="20"/>
  <c r="L36" i="19"/>
  <c r="G33" i="20"/>
  <c r="G36" i="19"/>
  <c r="H45" i="21"/>
  <c r="H45" i="20"/>
  <c r="H38" i="20"/>
  <c r="H32" i="20"/>
  <c r="H49" i="19"/>
  <c r="H41" i="19"/>
  <c r="H35" i="19"/>
  <c r="L44" i="21"/>
  <c r="L44" i="20"/>
  <c r="L48" i="19"/>
  <c r="L33" i="19"/>
  <c r="L30" i="20"/>
  <c r="G44" i="21"/>
  <c r="G44" i="20"/>
  <c r="M44" i="20" s="1"/>
  <c r="G48" i="19"/>
  <c r="M48" i="19" s="1"/>
  <c r="G33" i="19"/>
  <c r="G30" i="20"/>
  <c r="M30" i="20" s="1"/>
  <c r="H49" i="20"/>
  <c r="H53" i="19"/>
  <c r="H34" i="19"/>
  <c r="H48" i="21"/>
  <c r="H31" i="20"/>
  <c r="L48" i="20"/>
  <c r="L52" i="19"/>
  <c r="L25" i="19"/>
  <c r="G48" i="20"/>
  <c r="G52" i="19"/>
  <c r="M52" i="19" s="1"/>
  <c r="G25" i="19"/>
  <c r="G26" i="19"/>
  <c r="M26" i="19" s="1"/>
  <c r="L24" i="19"/>
  <c r="L8" i="22"/>
  <c r="G24" i="19"/>
  <c r="M24" i="19" s="1"/>
  <c r="G8" i="22"/>
  <c r="M8" i="22" s="1"/>
  <c r="G11" i="22"/>
  <c r="M11" i="22" s="1"/>
  <c r="H10" i="22"/>
  <c r="H47" i="21"/>
  <c r="H47" i="20"/>
  <c r="H51" i="19"/>
  <c r="L9" i="22"/>
  <c r="L29" i="19"/>
  <c r="G9" i="22"/>
  <c r="M9" i="22" s="1"/>
  <c r="G29" i="19"/>
  <c r="G38" i="1"/>
  <c r="M38" i="1" s="1"/>
  <c r="L35" i="45"/>
  <c r="L87" i="47"/>
  <c r="L68" i="47"/>
  <c r="L58" i="47"/>
  <c r="L47" i="47"/>
  <c r="L35" i="47"/>
  <c r="L29" i="47"/>
  <c r="L23" i="47"/>
  <c r="L16" i="46"/>
  <c r="X16" i="46" s="1"/>
  <c r="L12" i="46"/>
  <c r="X12" i="46" s="1"/>
  <c r="L34" i="46" s="1"/>
  <c r="L23" i="45"/>
  <c r="L32" i="1"/>
  <c r="G16" i="46"/>
  <c r="G35" i="45"/>
  <c r="G87" i="47"/>
  <c r="G68" i="47"/>
  <c r="G58" i="47"/>
  <c r="G47" i="47"/>
  <c r="G35" i="47"/>
  <c r="G29" i="47"/>
  <c r="G23" i="47"/>
  <c r="G12" i="46"/>
  <c r="G23" i="45"/>
  <c r="G32" i="1"/>
  <c r="M32" i="1" s="1"/>
  <c r="L74" i="47"/>
  <c r="L10" i="47"/>
  <c r="L10" i="45"/>
  <c r="L33" i="1"/>
  <c r="L24" i="1"/>
  <c r="G74" i="47"/>
  <c r="G10" i="47"/>
  <c r="G10" i="45"/>
  <c r="G33" i="1"/>
  <c r="G24" i="1"/>
  <c r="L52" i="47"/>
  <c r="L23" i="46"/>
  <c r="X23" i="46" s="1"/>
  <c r="L45" i="46" s="1"/>
  <c r="L88" i="47"/>
  <c r="L65" i="47"/>
  <c r="L59" i="47"/>
  <c r="L36" i="47"/>
  <c r="L30" i="47"/>
  <c r="L24" i="47"/>
  <c r="L24" i="45"/>
  <c r="L40" i="21"/>
  <c r="L49" i="17"/>
  <c r="L40" i="18"/>
  <c r="G88" i="47"/>
  <c r="G65" i="47"/>
  <c r="G59" i="47"/>
  <c r="G36" i="47"/>
  <c r="G30" i="47"/>
  <c r="G24" i="47"/>
  <c r="G52" i="47"/>
  <c r="G23" i="46"/>
  <c r="G24" i="45"/>
  <c r="G40" i="21"/>
  <c r="G49" i="17"/>
  <c r="G40" i="18"/>
  <c r="M40" i="18" s="1"/>
  <c r="H64" i="47"/>
  <c r="H51" i="47"/>
  <c r="T51" i="47" s="1"/>
  <c r="H22" i="46"/>
  <c r="T22" i="46" s="1"/>
  <c r="H39" i="21"/>
  <c r="H48" i="17"/>
  <c r="H39" i="18"/>
  <c r="L77" i="47"/>
  <c r="L45" i="47"/>
  <c r="L11" i="46"/>
  <c r="X11" i="46" s="1"/>
  <c r="L33" i="46" s="1"/>
  <c r="L32" i="45"/>
  <c r="L13" i="47"/>
  <c r="L13" i="45"/>
  <c r="L39" i="1"/>
  <c r="L33" i="21"/>
  <c r="L33" i="18"/>
  <c r="L43" i="17"/>
  <c r="G77" i="47"/>
  <c r="G45" i="47"/>
  <c r="G13" i="47"/>
  <c r="G11" i="46"/>
  <c r="G32" i="45"/>
  <c r="G13" i="45"/>
  <c r="G39" i="1"/>
  <c r="G33" i="21"/>
  <c r="G33" i="18"/>
  <c r="M33" i="18" s="1"/>
  <c r="G43" i="17"/>
  <c r="M43" i="17" s="1"/>
  <c r="H38" i="21"/>
  <c r="H32" i="21"/>
  <c r="H35" i="1"/>
  <c r="H45" i="18"/>
  <c r="H38" i="18"/>
  <c r="H32" i="18"/>
  <c r="H47" i="17"/>
  <c r="H42" i="17"/>
  <c r="L30" i="21"/>
  <c r="L44" i="18"/>
  <c r="L40" i="17"/>
  <c r="L30" i="18"/>
  <c r="G30" i="21"/>
  <c r="G44" i="18"/>
  <c r="M44" i="18" s="1"/>
  <c r="G40" i="17"/>
  <c r="M40" i="17" s="1"/>
  <c r="G30" i="18"/>
  <c r="M30" i="18" s="1"/>
  <c r="H34" i="1"/>
  <c r="H31" i="21"/>
  <c r="H41" i="17"/>
  <c r="H31" i="17"/>
  <c r="H31" i="18"/>
  <c r="H18" i="17"/>
  <c r="L25" i="21"/>
  <c r="L25" i="20"/>
  <c r="L23" i="1"/>
  <c r="L20" i="19"/>
  <c r="L25" i="18"/>
  <c r="L30" i="17"/>
  <c r="L26" i="17"/>
  <c r="G25" i="21"/>
  <c r="M25" i="21" s="1"/>
  <c r="G25" i="20"/>
  <c r="M25" i="20" s="1"/>
  <c r="G23" i="1"/>
  <c r="M23" i="1" s="1"/>
  <c r="G20" i="19"/>
  <c r="M20" i="19" s="1"/>
  <c r="G25" i="18"/>
  <c r="M25" i="18" s="1"/>
  <c r="G30" i="17"/>
  <c r="G26" i="17"/>
  <c r="H33" i="45"/>
  <c r="H34" i="45"/>
  <c r="H22" i="21"/>
  <c r="H22" i="20"/>
  <c r="H26" i="1"/>
  <c r="H18" i="21"/>
  <c r="H18" i="20"/>
  <c r="H17" i="19"/>
  <c r="H22" i="18"/>
  <c r="H18" i="18"/>
  <c r="H34" i="17"/>
  <c r="H23" i="17"/>
  <c r="L17" i="21"/>
  <c r="L17" i="20"/>
  <c r="L49" i="18"/>
  <c r="L17" i="18"/>
  <c r="G17" i="21"/>
  <c r="G17" i="20"/>
  <c r="M17" i="20" s="1"/>
  <c r="G49" i="18"/>
  <c r="M49" i="18" s="1"/>
  <c r="G17" i="18"/>
  <c r="M17" i="18" s="1"/>
  <c r="H42" i="47"/>
  <c r="H10" i="46"/>
  <c r="T10" i="46" s="1"/>
  <c r="H32" i="46" s="1"/>
  <c r="H29" i="45"/>
  <c r="H21" i="1"/>
  <c r="H18" i="19"/>
  <c r="H23" i="21"/>
  <c r="H16" i="21"/>
  <c r="H23" i="20"/>
  <c r="H16" i="20"/>
  <c r="H24" i="17"/>
  <c r="H23" i="18"/>
  <c r="H16" i="18"/>
  <c r="L15" i="21"/>
  <c r="L15" i="20"/>
  <c r="L13" i="19"/>
  <c r="L32" i="17"/>
  <c r="L15" i="18"/>
  <c r="L17" i="17"/>
  <c r="G15" i="21"/>
  <c r="G15" i="20"/>
  <c r="G13" i="19"/>
  <c r="G32" i="17"/>
  <c r="M32" i="17" s="1"/>
  <c r="G15" i="18"/>
  <c r="M15" i="18" s="1"/>
  <c r="G17" i="17"/>
  <c r="M17" i="17" s="1"/>
  <c r="H75" i="47"/>
  <c r="H11" i="47"/>
  <c r="H11" i="45"/>
  <c r="H14" i="21"/>
  <c r="H14" i="20"/>
  <c r="H12" i="19"/>
  <c r="H48" i="18"/>
  <c r="H14" i="18"/>
  <c r="H13" i="17"/>
  <c r="L67" i="47"/>
  <c r="L54" i="47"/>
  <c r="L12" i="47"/>
  <c r="L8" i="46"/>
  <c r="X8" i="46" s="1"/>
  <c r="L31" i="45"/>
  <c r="L76" i="47"/>
  <c r="L44" i="47"/>
  <c r="L18" i="46"/>
  <c r="X18" i="46" s="1"/>
  <c r="L40" i="46" s="1"/>
  <c r="L12" i="45"/>
  <c r="L25" i="1"/>
  <c r="L13" i="21"/>
  <c r="L13" i="20"/>
  <c r="L11" i="19"/>
  <c r="L13" i="18"/>
  <c r="L12" i="17"/>
  <c r="G76" i="47"/>
  <c r="G54" i="47"/>
  <c r="G44" i="47"/>
  <c r="G67" i="47"/>
  <c r="G12" i="47"/>
  <c r="G18" i="46"/>
  <c r="G8" i="46"/>
  <c r="G31" i="45"/>
  <c r="G12" i="45"/>
  <c r="G25" i="1"/>
  <c r="M25" i="1" s="1"/>
  <c r="G13" i="21"/>
  <c r="G13" i="20"/>
  <c r="G11" i="19"/>
  <c r="G13" i="18"/>
  <c r="M13" i="18" s="1"/>
  <c r="G12" i="17"/>
  <c r="M12" i="17" s="1"/>
  <c r="H43" i="47"/>
  <c r="H30" i="45"/>
  <c r="H22" i="1"/>
  <c r="H12" i="21"/>
  <c r="H12" i="20"/>
  <c r="H10" i="17"/>
  <c r="H10" i="19"/>
  <c r="H46" i="18"/>
  <c r="H12" i="18"/>
  <c r="L78" i="47"/>
  <c r="L14" i="47"/>
  <c r="L14" i="45"/>
  <c r="L11" i="21"/>
  <c r="L11" i="20"/>
  <c r="L9" i="17"/>
  <c r="L9" i="19"/>
  <c r="L11" i="18"/>
  <c r="L35" i="17"/>
  <c r="G14" i="47"/>
  <c r="G78" i="47"/>
  <c r="G14" i="45"/>
  <c r="G11" i="21"/>
  <c r="G11" i="20"/>
  <c r="M11" i="20" s="1"/>
  <c r="G9" i="17"/>
  <c r="M9" i="17" s="1"/>
  <c r="G9" i="19"/>
  <c r="M9" i="19" s="1"/>
  <c r="G11" i="18"/>
  <c r="M11" i="18" s="1"/>
  <c r="G35" i="17"/>
  <c r="M35" i="17" s="1"/>
  <c r="I19" i="9"/>
  <c r="J19" i="9" s="1"/>
  <c r="I10" i="21"/>
  <c r="J10" i="21" s="1"/>
  <c r="I10" i="20"/>
  <c r="I10" i="18"/>
  <c r="J10" i="18" s="1"/>
  <c r="G18" i="9"/>
  <c r="M18" i="9" s="1"/>
  <c r="L9" i="21"/>
  <c r="L9" i="20"/>
  <c r="L9" i="18"/>
  <c r="G9" i="21"/>
  <c r="G9" i="20"/>
  <c r="M9" i="20" s="1"/>
  <c r="G9" i="18"/>
  <c r="M9" i="18" s="1"/>
  <c r="F67" i="47"/>
  <c r="F12" i="47"/>
  <c r="F18" i="46"/>
  <c r="R18" i="46" s="1"/>
  <c r="F40" i="46" s="1"/>
  <c r="F8" i="46"/>
  <c r="R8" i="46" s="1"/>
  <c r="F76" i="47"/>
  <c r="F54" i="47"/>
  <c r="F44" i="47"/>
  <c r="F31" i="45"/>
  <c r="F12" i="45"/>
  <c r="F25" i="1"/>
  <c r="F13" i="21"/>
  <c r="F13" i="20"/>
  <c r="F11" i="19"/>
  <c r="F13" i="18"/>
  <c r="F12" i="17"/>
  <c r="I43" i="47"/>
  <c r="I30" i="45"/>
  <c r="I22" i="1"/>
  <c r="J22" i="1" s="1"/>
  <c r="I12" i="21"/>
  <c r="J12" i="21" s="1"/>
  <c r="I12" i="20"/>
  <c r="J12" i="20" s="1"/>
  <c r="I10" i="19"/>
  <c r="J10" i="19" s="1"/>
  <c r="I46" i="18"/>
  <c r="J46" i="18" s="1"/>
  <c r="I12" i="18"/>
  <c r="I10" i="17"/>
  <c r="K14" i="47"/>
  <c r="K78" i="47"/>
  <c r="K14" i="45"/>
  <c r="K11" i="21"/>
  <c r="K11" i="20"/>
  <c r="K9" i="19"/>
  <c r="K11" i="18"/>
  <c r="K35" i="17"/>
  <c r="K9" i="17"/>
  <c r="F78" i="47"/>
  <c r="F14" i="47"/>
  <c r="F14" i="45"/>
  <c r="F11" i="21"/>
  <c r="F11" i="20"/>
  <c r="F9" i="19"/>
  <c r="F11" i="18"/>
  <c r="F35" i="17"/>
  <c r="F9" i="17"/>
  <c r="G17" i="11"/>
  <c r="M17" i="11" s="1"/>
  <c r="I16" i="11"/>
  <c r="J16" i="11" s="1"/>
  <c r="K8" i="21"/>
  <c r="K8" i="20"/>
  <c r="K8" i="17"/>
  <c r="K8" i="19"/>
  <c r="K8" i="18"/>
  <c r="G17" i="9"/>
  <c r="M17" i="9" s="1"/>
  <c r="L8" i="21"/>
  <c r="L8" i="20"/>
  <c r="L8" i="19"/>
  <c r="L8" i="18"/>
  <c r="L8" i="17"/>
  <c r="G8" i="21"/>
  <c r="G8" i="20"/>
  <c r="M8" i="20" s="1"/>
  <c r="G8" i="19"/>
  <c r="M8" i="19" s="1"/>
  <c r="G8" i="18"/>
  <c r="M8" i="18" s="1"/>
  <c r="G8" i="17"/>
  <c r="M8" i="17" s="1"/>
  <c r="F10" i="21"/>
  <c r="F10" i="20"/>
  <c r="F10" i="18"/>
  <c r="K9" i="21"/>
  <c r="K9" i="20"/>
  <c r="K9" i="18"/>
  <c r="F9" i="21"/>
  <c r="F9" i="20"/>
  <c r="F9" i="18"/>
  <c r="H8" i="21"/>
  <c r="H8" i="20"/>
  <c r="H8" i="17"/>
  <c r="H8" i="19"/>
  <c r="H8" i="18"/>
  <c r="E30" i="11"/>
  <c r="E10" i="11"/>
  <c r="E40" i="22"/>
  <c r="E25" i="22"/>
  <c r="E8" i="9"/>
  <c r="E34" i="9"/>
  <c r="E23" i="9"/>
  <c r="E33" i="20"/>
  <c r="E36" i="19"/>
  <c r="E48" i="20"/>
  <c r="E52" i="19"/>
  <c r="E25" i="19"/>
  <c r="E24" i="19"/>
  <c r="E8" i="22"/>
  <c r="E9" i="22"/>
  <c r="E29" i="19"/>
  <c r="E16" i="46"/>
  <c r="Q16" i="46" s="1"/>
  <c r="E35" i="45"/>
  <c r="E87" i="47"/>
  <c r="E68" i="47"/>
  <c r="E58" i="47"/>
  <c r="E47" i="47"/>
  <c r="E35" i="47"/>
  <c r="E29" i="47"/>
  <c r="E23" i="47"/>
  <c r="E12" i="46"/>
  <c r="Q12" i="46" s="1"/>
  <c r="E34" i="46" s="1"/>
  <c r="E23" i="45"/>
  <c r="E32" i="1"/>
  <c r="E88" i="47"/>
  <c r="E65" i="47"/>
  <c r="E59" i="47"/>
  <c r="E36" i="47"/>
  <c r="E30" i="47"/>
  <c r="E24" i="47"/>
  <c r="E52" i="47"/>
  <c r="E23" i="46"/>
  <c r="Q23" i="46" s="1"/>
  <c r="E45" i="46" s="1"/>
  <c r="E24" i="45"/>
  <c r="E40" i="21"/>
  <c r="E49" i="17"/>
  <c r="E40" i="18"/>
  <c r="Q79" i="47"/>
  <c r="E167" i="47"/>
  <c r="Q10" i="47"/>
  <c r="E98" i="47"/>
  <c r="Q13" i="45"/>
  <c r="E47" i="45"/>
  <c r="E133" i="47"/>
  <c r="Q45" i="47"/>
  <c r="X9" i="45"/>
  <c r="L43" i="45"/>
  <c r="X73" i="47"/>
  <c r="L161" i="47"/>
  <c r="K97" i="47"/>
  <c r="W9" i="47"/>
  <c r="H43" i="45"/>
  <c r="T9" i="45"/>
  <c r="H161" i="47"/>
  <c r="T73" i="47"/>
  <c r="F73" i="47"/>
  <c r="F9" i="47"/>
  <c r="F9" i="45"/>
  <c r="F24" i="21"/>
  <c r="F24" i="20"/>
  <c r="F20" i="1"/>
  <c r="F19" i="19"/>
  <c r="F24" i="18"/>
  <c r="F33" i="17"/>
  <c r="F25" i="17"/>
  <c r="F11" i="17"/>
  <c r="L29" i="9"/>
  <c r="L22" i="9"/>
  <c r="L19" i="22"/>
  <c r="I27" i="11"/>
  <c r="I20" i="11"/>
  <c r="J20" i="11" s="1"/>
  <c r="E27" i="11"/>
  <c r="E20" i="11"/>
  <c r="E29" i="9"/>
  <c r="E22" i="9"/>
  <c r="E19" i="22"/>
  <c r="I36" i="11"/>
  <c r="J36" i="11" s="1"/>
  <c r="K79" i="47"/>
  <c r="K15" i="47"/>
  <c r="K15" i="45"/>
  <c r="K28" i="1"/>
  <c r="F79" i="47"/>
  <c r="F15" i="47"/>
  <c r="F15" i="45"/>
  <c r="F28" i="1"/>
  <c r="G45" i="11"/>
  <c r="M45" i="11" s="1"/>
  <c r="F27" i="11"/>
  <c r="F20" i="11"/>
  <c r="I37" i="16"/>
  <c r="I32" i="16"/>
  <c r="I45" i="16"/>
  <c r="K44" i="16"/>
  <c r="K30" i="16"/>
  <c r="F44" i="16"/>
  <c r="F30" i="16"/>
  <c r="I48" i="16"/>
  <c r="J48" i="16" s="1"/>
  <c r="I31" i="16"/>
  <c r="G53" i="11"/>
  <c r="M53" i="11" s="1"/>
  <c r="G64" i="11"/>
  <c r="G57" i="11"/>
  <c r="M57" i="11" s="1"/>
  <c r="G27" i="11"/>
  <c r="M27" i="11" s="1"/>
  <c r="G20" i="11"/>
  <c r="M20" i="11" s="1"/>
  <c r="I37" i="9"/>
  <c r="J37" i="9" s="1"/>
  <c r="I15" i="47"/>
  <c r="I79" i="47"/>
  <c r="I15" i="45"/>
  <c r="I28" i="1"/>
  <c r="J28" i="1" s="1"/>
  <c r="G59" i="11"/>
  <c r="M59" i="11" s="1"/>
  <c r="I46" i="9"/>
  <c r="J46" i="9" s="1"/>
  <c r="G36" i="1"/>
  <c r="M36" i="1" s="1"/>
  <c r="K45" i="16"/>
  <c r="K37" i="16"/>
  <c r="K32" i="16"/>
  <c r="F45" i="16"/>
  <c r="F37" i="16"/>
  <c r="F32" i="16"/>
  <c r="I44" i="16"/>
  <c r="J44" i="16" s="1"/>
  <c r="I30" i="16"/>
  <c r="J30" i="16" s="1"/>
  <c r="K31" i="16"/>
  <c r="K48" i="16"/>
  <c r="F31" i="16"/>
  <c r="F48" i="16"/>
  <c r="F64" i="11"/>
  <c r="F57" i="11"/>
  <c r="F53" i="11"/>
  <c r="L53" i="11"/>
  <c r="L64" i="11"/>
  <c r="L57" i="11"/>
  <c r="H65" i="11"/>
  <c r="H58" i="11"/>
  <c r="L48" i="11"/>
  <c r="L47" i="11"/>
  <c r="G48" i="11"/>
  <c r="G47" i="11"/>
  <c r="G46" i="11"/>
  <c r="M46" i="11" s="1"/>
  <c r="G35" i="11"/>
  <c r="M35" i="11" s="1"/>
  <c r="H43" i="11"/>
  <c r="H31" i="11"/>
  <c r="L41" i="11"/>
  <c r="L8" i="11"/>
  <c r="G41" i="11"/>
  <c r="G8" i="11"/>
  <c r="M8" i="11" s="1"/>
  <c r="L42" i="11"/>
  <c r="L11" i="11"/>
  <c r="L32" i="11"/>
  <c r="G42" i="11"/>
  <c r="M42" i="11" s="1"/>
  <c r="G11" i="11"/>
  <c r="G32" i="11"/>
  <c r="M32" i="11" s="1"/>
  <c r="H30" i="11"/>
  <c r="H10" i="11"/>
  <c r="G34" i="11"/>
  <c r="M34" i="11" s="1"/>
  <c r="G28" i="11"/>
  <c r="M28" i="11" s="1"/>
  <c r="G22" i="11"/>
  <c r="M22" i="11" s="1"/>
  <c r="H21" i="11"/>
  <c r="H33" i="11"/>
  <c r="L29" i="11"/>
  <c r="L19" i="11"/>
  <c r="G29" i="11"/>
  <c r="M29" i="11" s="1"/>
  <c r="G19" i="11"/>
  <c r="L62" i="9"/>
  <c r="L57" i="9"/>
  <c r="L53" i="9"/>
  <c r="G62" i="9"/>
  <c r="G57" i="9"/>
  <c r="M57" i="9" s="1"/>
  <c r="G53" i="9"/>
  <c r="M53" i="9" s="1"/>
  <c r="G48" i="9"/>
  <c r="M48" i="9" s="1"/>
  <c r="G44" i="9"/>
  <c r="M44" i="9" s="1"/>
  <c r="H63" i="9"/>
  <c r="H58" i="9"/>
  <c r="H45" i="9"/>
  <c r="G47" i="9"/>
  <c r="M47" i="9" s="1"/>
  <c r="G36" i="9"/>
  <c r="M36" i="9" s="1"/>
  <c r="L11" i="9"/>
  <c r="L43" i="22"/>
  <c r="G11" i="9"/>
  <c r="M11" i="9" s="1"/>
  <c r="G43" i="22"/>
  <c r="M43" i="22" s="1"/>
  <c r="G36" i="22"/>
  <c r="M36" i="22" s="1"/>
  <c r="G34" i="22"/>
  <c r="M34" i="22" s="1"/>
  <c r="L64" i="9"/>
  <c r="L43" i="9"/>
  <c r="L9" i="9"/>
  <c r="L33" i="22"/>
  <c r="L27" i="22"/>
  <c r="L41" i="22"/>
  <c r="G64" i="9"/>
  <c r="G43" i="9"/>
  <c r="M43" i="9" s="1"/>
  <c r="G9" i="9"/>
  <c r="G33" i="22"/>
  <c r="G27" i="22"/>
  <c r="M27" i="22" s="1"/>
  <c r="G41" i="22"/>
  <c r="M41" i="22" s="1"/>
  <c r="H8" i="9"/>
  <c r="H40" i="22"/>
  <c r="H25" i="22"/>
  <c r="L42" i="9"/>
  <c r="L13" i="9"/>
  <c r="L45" i="22"/>
  <c r="L26" i="22"/>
  <c r="L17" i="22"/>
  <c r="G42" i="9"/>
  <c r="M42" i="9" s="1"/>
  <c r="G13" i="9"/>
  <c r="M13" i="9" s="1"/>
  <c r="G45" i="22"/>
  <c r="M45" i="22" s="1"/>
  <c r="G26" i="22"/>
  <c r="M26" i="22" s="1"/>
  <c r="G17" i="22"/>
  <c r="H32" i="9"/>
  <c r="H12" i="9"/>
  <c r="H44" i="22"/>
  <c r="H16" i="22"/>
  <c r="L35" i="9"/>
  <c r="L20" i="22"/>
  <c r="G35" i="9"/>
  <c r="M35" i="9" s="1"/>
  <c r="G20" i="22"/>
  <c r="K64" i="11"/>
  <c r="K57" i="11"/>
  <c r="K53" i="11"/>
  <c r="L65" i="11"/>
  <c r="L58" i="11"/>
  <c r="G65" i="11"/>
  <c r="M65" i="11" s="1"/>
  <c r="G58" i="11"/>
  <c r="G60" i="11"/>
  <c r="M60" i="11" s="1"/>
  <c r="G49" i="11"/>
  <c r="M49" i="11" s="1"/>
  <c r="H47" i="11"/>
  <c r="H48" i="11"/>
  <c r="G44" i="11"/>
  <c r="M44" i="11" s="1"/>
  <c r="G40" i="11"/>
  <c r="M40" i="11" s="1"/>
  <c r="L31" i="11"/>
  <c r="L43" i="11"/>
  <c r="G31" i="11"/>
  <c r="G43" i="11"/>
  <c r="H41" i="11"/>
  <c r="H8" i="11"/>
  <c r="G9" i="11"/>
  <c r="M9" i="11" s="1"/>
  <c r="H32" i="11"/>
  <c r="H42" i="11"/>
  <c r="H11" i="11"/>
  <c r="L30" i="11"/>
  <c r="L10" i="11"/>
  <c r="G30" i="11"/>
  <c r="M30" i="11" s="1"/>
  <c r="G10" i="11"/>
  <c r="M10" i="11" s="1"/>
  <c r="G23" i="11"/>
  <c r="M23" i="11" s="1"/>
  <c r="L33" i="11"/>
  <c r="L21" i="11"/>
  <c r="G33" i="11"/>
  <c r="G21" i="11"/>
  <c r="H19" i="11"/>
  <c r="H29" i="11"/>
  <c r="G18" i="11"/>
  <c r="M18" i="11" s="1"/>
  <c r="H53" i="9"/>
  <c r="H62" i="9"/>
  <c r="H57" i="9"/>
  <c r="G49" i="9"/>
  <c r="M49" i="9" s="1"/>
  <c r="L45" i="9"/>
  <c r="L63" i="9"/>
  <c r="L58" i="9"/>
  <c r="G45" i="9"/>
  <c r="G63" i="9"/>
  <c r="G58" i="9"/>
  <c r="M58" i="9" s="1"/>
  <c r="G41" i="9"/>
  <c r="M41" i="9" s="1"/>
  <c r="G33" i="9"/>
  <c r="M33" i="9" s="1"/>
  <c r="H43" i="22"/>
  <c r="H11" i="9"/>
  <c r="G35" i="22"/>
  <c r="M35" i="22" s="1"/>
  <c r="G28" i="22"/>
  <c r="M28" i="22" s="1"/>
  <c r="H64" i="9"/>
  <c r="H43" i="9"/>
  <c r="H41" i="22"/>
  <c r="H9" i="9"/>
  <c r="H33" i="22"/>
  <c r="H27" i="22"/>
  <c r="L40" i="22"/>
  <c r="L25" i="22"/>
  <c r="L8" i="9"/>
  <c r="G40" i="22"/>
  <c r="M40" i="22" s="1"/>
  <c r="G25" i="22"/>
  <c r="G8" i="9"/>
  <c r="H42" i="9"/>
  <c r="H45" i="22"/>
  <c r="H26" i="22"/>
  <c r="H17" i="22"/>
  <c r="H13" i="9"/>
  <c r="L44" i="22"/>
  <c r="L16" i="22"/>
  <c r="L32" i="9"/>
  <c r="L12" i="9"/>
  <c r="G44" i="22"/>
  <c r="M44" i="22" s="1"/>
  <c r="G16" i="22"/>
  <c r="G32" i="9"/>
  <c r="M32" i="9" s="1"/>
  <c r="G12" i="9"/>
  <c r="M12" i="9" s="1"/>
  <c r="H35" i="9"/>
  <c r="H20" i="22"/>
  <c r="I30" i="9"/>
  <c r="J30" i="9" s="1"/>
  <c r="K25" i="9"/>
  <c r="K10" i="9"/>
  <c r="K42" i="22"/>
  <c r="K18" i="22"/>
  <c r="F25" i="9"/>
  <c r="F10" i="9"/>
  <c r="F42" i="22"/>
  <c r="F18" i="22"/>
  <c r="I24" i="9"/>
  <c r="J24" i="9" s="1"/>
  <c r="K34" i="9"/>
  <c r="K23" i="9"/>
  <c r="F34" i="9"/>
  <c r="F23" i="9"/>
  <c r="I31" i="9"/>
  <c r="J31" i="9" s="1"/>
  <c r="I21" i="9"/>
  <c r="K21" i="22"/>
  <c r="K20" i="9"/>
  <c r="F21" i="22"/>
  <c r="F20" i="9"/>
  <c r="I46" i="20"/>
  <c r="J46" i="20" s="1"/>
  <c r="I50" i="19"/>
  <c r="I44" i="19"/>
  <c r="J44" i="19" s="1"/>
  <c r="K40" i="20"/>
  <c r="K43" i="19"/>
  <c r="F40" i="20"/>
  <c r="F43" i="19"/>
  <c r="I39" i="20"/>
  <c r="J39" i="20" s="1"/>
  <c r="I42" i="19"/>
  <c r="J42" i="19" s="1"/>
  <c r="K36" i="19"/>
  <c r="K33" i="20"/>
  <c r="F36" i="19"/>
  <c r="F33" i="20"/>
  <c r="I41" i="19"/>
  <c r="I35" i="19"/>
  <c r="J35" i="19" s="1"/>
  <c r="I45" i="21"/>
  <c r="J45" i="21" s="1"/>
  <c r="I45" i="20"/>
  <c r="J45" i="20" s="1"/>
  <c r="I38" i="20"/>
  <c r="I32" i="20"/>
  <c r="J32" i="20" s="1"/>
  <c r="I49" i="19"/>
  <c r="K30" i="20"/>
  <c r="K44" i="21"/>
  <c r="K44" i="20"/>
  <c r="K48" i="19"/>
  <c r="K33" i="19"/>
  <c r="F30" i="20"/>
  <c r="F44" i="21"/>
  <c r="F44" i="20"/>
  <c r="F48" i="19"/>
  <c r="F33" i="19"/>
  <c r="I48" i="21"/>
  <c r="J48" i="21" s="1"/>
  <c r="I31" i="20"/>
  <c r="I49" i="20"/>
  <c r="J49" i="20" s="1"/>
  <c r="I53" i="19"/>
  <c r="I34" i="19"/>
  <c r="J34" i="19" s="1"/>
  <c r="K25" i="19"/>
  <c r="K48" i="20"/>
  <c r="K52" i="19"/>
  <c r="F25" i="19"/>
  <c r="F48" i="20"/>
  <c r="F52" i="19"/>
  <c r="I28" i="19"/>
  <c r="J28" i="19" s="1"/>
  <c r="K8" i="22"/>
  <c r="K24" i="19"/>
  <c r="F8" i="22"/>
  <c r="F24" i="19"/>
  <c r="I12" i="22"/>
  <c r="J12" i="22" s="1"/>
  <c r="I10" i="22"/>
  <c r="I47" i="21"/>
  <c r="J47" i="21" s="1"/>
  <c r="I47" i="20"/>
  <c r="I51" i="19"/>
  <c r="J51" i="19" s="1"/>
  <c r="K29" i="19"/>
  <c r="K9" i="22"/>
  <c r="F29" i="19"/>
  <c r="F9" i="22"/>
  <c r="J9" i="46"/>
  <c r="V9" i="46" s="1"/>
  <c r="J31" i="46" s="1"/>
  <c r="U9" i="46"/>
  <c r="I31" i="46" s="1"/>
  <c r="I37" i="1"/>
  <c r="J37" i="1" s="1"/>
  <c r="K87" i="47"/>
  <c r="K68" i="47"/>
  <c r="K58" i="47"/>
  <c r="K47" i="47"/>
  <c r="K35" i="47"/>
  <c r="K29" i="47"/>
  <c r="K23" i="47"/>
  <c r="K16" i="46"/>
  <c r="W16" i="46" s="1"/>
  <c r="K12" i="46"/>
  <c r="W12" i="46" s="1"/>
  <c r="K34" i="46" s="1"/>
  <c r="K35" i="45"/>
  <c r="K23" i="45"/>
  <c r="K32" i="1"/>
  <c r="F87" i="47"/>
  <c r="F68" i="47"/>
  <c r="F58" i="47"/>
  <c r="F47" i="47"/>
  <c r="F35" i="47"/>
  <c r="F29" i="47"/>
  <c r="F23" i="47"/>
  <c r="F12" i="46"/>
  <c r="R12" i="46" s="1"/>
  <c r="F34" i="46" s="1"/>
  <c r="F16" i="46"/>
  <c r="R16" i="46" s="1"/>
  <c r="F35" i="45"/>
  <c r="F23" i="45"/>
  <c r="F32" i="1"/>
  <c r="I27" i="1"/>
  <c r="J27" i="1" s="1"/>
  <c r="K10" i="47"/>
  <c r="K74" i="47"/>
  <c r="K10" i="45"/>
  <c r="K33" i="1"/>
  <c r="K24" i="1"/>
  <c r="F74" i="47"/>
  <c r="F10" i="47"/>
  <c r="F10" i="45"/>
  <c r="F33" i="1"/>
  <c r="F24" i="1"/>
  <c r="I47" i="18"/>
  <c r="J47" i="18" s="1"/>
  <c r="I19" i="17"/>
  <c r="J19" i="17" s="1"/>
  <c r="K88" i="47"/>
  <c r="K65" i="47"/>
  <c r="K59" i="47"/>
  <c r="K36" i="47"/>
  <c r="K30" i="47"/>
  <c r="K24" i="47"/>
  <c r="K52" i="47"/>
  <c r="K23" i="46"/>
  <c r="W23" i="46" s="1"/>
  <c r="K45" i="46" s="1"/>
  <c r="K24" i="45"/>
  <c r="K40" i="21"/>
  <c r="K40" i="18"/>
  <c r="K49" i="17"/>
  <c r="F52" i="47"/>
  <c r="F23" i="46"/>
  <c r="R23" i="46" s="1"/>
  <c r="F45" i="46" s="1"/>
  <c r="F88" i="47"/>
  <c r="F65" i="47"/>
  <c r="F59" i="47"/>
  <c r="F36" i="47"/>
  <c r="F30" i="47"/>
  <c r="F24" i="47"/>
  <c r="F24" i="45"/>
  <c r="F40" i="21"/>
  <c r="F40" i="18"/>
  <c r="F49" i="17"/>
  <c r="I51" i="47"/>
  <c r="I22" i="46"/>
  <c r="I64" i="47"/>
  <c r="I39" i="21"/>
  <c r="J39" i="21" s="1"/>
  <c r="I39" i="18"/>
  <c r="J39" i="18" s="1"/>
  <c r="I48" i="17"/>
  <c r="J48" i="17" s="1"/>
  <c r="K13" i="47"/>
  <c r="K77" i="47"/>
  <c r="K45" i="47"/>
  <c r="K11" i="46"/>
  <c r="W11" i="46" s="1"/>
  <c r="K33" i="46" s="1"/>
  <c r="K32" i="45"/>
  <c r="K13" i="45"/>
  <c r="K39" i="1"/>
  <c r="K33" i="21"/>
  <c r="K43" i="17"/>
  <c r="K33" i="18"/>
  <c r="F13" i="47"/>
  <c r="F11" i="46"/>
  <c r="R11" i="46" s="1"/>
  <c r="F33" i="46" s="1"/>
  <c r="F32" i="45"/>
  <c r="F77" i="47"/>
  <c r="F45" i="47"/>
  <c r="F13" i="45"/>
  <c r="F39" i="1"/>
  <c r="F33" i="21"/>
  <c r="F43" i="17"/>
  <c r="F33" i="18"/>
  <c r="I35" i="1"/>
  <c r="I38" i="21"/>
  <c r="J38" i="21" s="1"/>
  <c r="I32" i="21"/>
  <c r="I47" i="17"/>
  <c r="J47" i="17" s="1"/>
  <c r="I42" i="17"/>
  <c r="I45" i="18"/>
  <c r="J45" i="18" s="1"/>
  <c r="I38" i="18"/>
  <c r="J38" i="18" s="1"/>
  <c r="I32" i="18"/>
  <c r="J32" i="18" s="1"/>
  <c r="K30" i="21"/>
  <c r="K30" i="18"/>
  <c r="K44" i="18"/>
  <c r="K40" i="17"/>
  <c r="F30" i="21"/>
  <c r="F30" i="18"/>
  <c r="F44" i="18"/>
  <c r="F40" i="17"/>
  <c r="I31" i="21"/>
  <c r="I34" i="1"/>
  <c r="J34" i="1" s="1"/>
  <c r="I31" i="18"/>
  <c r="J31" i="18" s="1"/>
  <c r="I18" i="17"/>
  <c r="J18" i="17" s="1"/>
  <c r="I41" i="17"/>
  <c r="I31" i="17"/>
  <c r="K23" i="1"/>
  <c r="K20" i="19"/>
  <c r="K25" i="21"/>
  <c r="K25" i="20"/>
  <c r="K26" i="17"/>
  <c r="K25" i="18"/>
  <c r="K30" i="17"/>
  <c r="F23" i="1"/>
  <c r="F20" i="19"/>
  <c r="F25" i="21"/>
  <c r="F25" i="20"/>
  <c r="F26" i="17"/>
  <c r="F25" i="18"/>
  <c r="F30" i="17"/>
  <c r="I34" i="45"/>
  <c r="I33" i="45"/>
  <c r="I26" i="1"/>
  <c r="J26" i="1" s="1"/>
  <c r="I18" i="21"/>
  <c r="J18" i="21" s="1"/>
  <c r="I18" i="20"/>
  <c r="I17" i="19"/>
  <c r="J17" i="19" s="1"/>
  <c r="I22" i="21"/>
  <c r="I22" i="20"/>
  <c r="J22" i="20" s="1"/>
  <c r="I18" i="18"/>
  <c r="I34" i="17"/>
  <c r="J34" i="17" s="1"/>
  <c r="I23" i="17"/>
  <c r="I22" i="18"/>
  <c r="J22" i="18" s="1"/>
  <c r="K17" i="21"/>
  <c r="K17" i="20"/>
  <c r="K49" i="18"/>
  <c r="K17" i="18"/>
  <c r="F17" i="21"/>
  <c r="F17" i="20"/>
  <c r="F49" i="18"/>
  <c r="F17" i="18"/>
  <c r="I10" i="46"/>
  <c r="I42" i="47"/>
  <c r="I29" i="45"/>
  <c r="I23" i="21"/>
  <c r="J23" i="21" s="1"/>
  <c r="I16" i="21"/>
  <c r="J16" i="21" s="1"/>
  <c r="I23" i="20"/>
  <c r="J23" i="20" s="1"/>
  <c r="I16" i="20"/>
  <c r="J16" i="20" s="1"/>
  <c r="I21" i="1"/>
  <c r="J21" i="1" s="1"/>
  <c r="I18" i="19"/>
  <c r="I23" i="18"/>
  <c r="J23" i="18" s="1"/>
  <c r="I16" i="18"/>
  <c r="J16" i="18" s="1"/>
  <c r="I24" i="17"/>
  <c r="J24" i="17" s="1"/>
  <c r="K15" i="21"/>
  <c r="K15" i="20"/>
  <c r="K13" i="19"/>
  <c r="K15" i="18"/>
  <c r="K17" i="17"/>
  <c r="K32" i="17"/>
  <c r="F15" i="21"/>
  <c r="F15" i="20"/>
  <c r="F13" i="19"/>
  <c r="F15" i="18"/>
  <c r="F17" i="17"/>
  <c r="F32" i="17"/>
  <c r="I11" i="47"/>
  <c r="I75" i="47"/>
  <c r="I11" i="45"/>
  <c r="I14" i="21"/>
  <c r="J14" i="21" s="1"/>
  <c r="I14" i="20"/>
  <c r="J14" i="20" s="1"/>
  <c r="I12" i="19"/>
  <c r="J12" i="19" s="1"/>
  <c r="I48" i="18"/>
  <c r="J48" i="18" s="1"/>
  <c r="I14" i="18"/>
  <c r="J14" i="18" s="1"/>
  <c r="I13" i="17"/>
  <c r="J13" i="17" s="1"/>
  <c r="K76" i="47"/>
  <c r="K44" i="47"/>
  <c r="K18" i="46"/>
  <c r="W18" i="46" s="1"/>
  <c r="K40" i="46" s="1"/>
  <c r="K67" i="47"/>
  <c r="K54" i="47"/>
  <c r="K12" i="47"/>
  <c r="K8" i="46"/>
  <c r="W8" i="46" s="1"/>
  <c r="K31" i="45"/>
  <c r="K12" i="45"/>
  <c r="K25" i="1"/>
  <c r="K13" i="21"/>
  <c r="K13" i="20"/>
  <c r="K11" i="19"/>
  <c r="K13" i="18"/>
  <c r="K12" i="17"/>
  <c r="I42" i="22"/>
  <c r="J42" i="22" s="1"/>
  <c r="I18" i="22"/>
  <c r="J18" i="22" s="1"/>
  <c r="I25" i="9"/>
  <c r="I10" i="9"/>
  <c r="J10" i="9" s="1"/>
  <c r="I34" i="9"/>
  <c r="J34" i="9" s="1"/>
  <c r="I23" i="9"/>
  <c r="J23" i="9" s="1"/>
  <c r="K21" i="9"/>
  <c r="K31" i="9"/>
  <c r="F21" i="9"/>
  <c r="F31" i="9"/>
  <c r="I20" i="9"/>
  <c r="I21" i="22"/>
  <c r="J21" i="22" s="1"/>
  <c r="K46" i="20"/>
  <c r="K50" i="19"/>
  <c r="F46" i="20"/>
  <c r="F50" i="19"/>
  <c r="I46" i="21"/>
  <c r="J46" i="21" s="1"/>
  <c r="I43" i="19"/>
  <c r="J43" i="19" s="1"/>
  <c r="I40" i="20"/>
  <c r="K42" i="19"/>
  <c r="K39" i="20"/>
  <c r="F42" i="19"/>
  <c r="F39" i="20"/>
  <c r="I33" i="20"/>
  <c r="J33" i="20" s="1"/>
  <c r="I36" i="19"/>
  <c r="K45" i="21"/>
  <c r="K45" i="20"/>
  <c r="K38" i="20"/>
  <c r="K32" i="20"/>
  <c r="K49" i="19"/>
  <c r="K41" i="19"/>
  <c r="K35" i="19"/>
  <c r="F45" i="21"/>
  <c r="F45" i="20"/>
  <c r="F38" i="20"/>
  <c r="F32" i="20"/>
  <c r="F49" i="19"/>
  <c r="F41" i="19"/>
  <c r="F35" i="19"/>
  <c r="I44" i="21"/>
  <c r="J44" i="21" s="1"/>
  <c r="I44" i="20"/>
  <c r="J44" i="20" s="1"/>
  <c r="I48" i="19"/>
  <c r="J48" i="19" s="1"/>
  <c r="I33" i="19"/>
  <c r="I30" i="20"/>
  <c r="J30" i="20" s="1"/>
  <c r="K49" i="20"/>
  <c r="K53" i="19"/>
  <c r="K34" i="19"/>
  <c r="K48" i="21"/>
  <c r="K31" i="20"/>
  <c r="F49" i="20"/>
  <c r="F53" i="19"/>
  <c r="F34" i="19"/>
  <c r="F48" i="21"/>
  <c r="F31" i="20"/>
  <c r="I48" i="20"/>
  <c r="J48" i="20" s="1"/>
  <c r="I52" i="19"/>
  <c r="J52" i="19" s="1"/>
  <c r="I25" i="19"/>
  <c r="J25" i="19" s="1"/>
  <c r="I26" i="19"/>
  <c r="J26" i="19" s="1"/>
  <c r="I24" i="19"/>
  <c r="I8" i="22"/>
  <c r="J8" i="22" s="1"/>
  <c r="I11" i="22"/>
  <c r="J11" i="22" s="1"/>
  <c r="K10" i="22"/>
  <c r="K47" i="21"/>
  <c r="K47" i="20"/>
  <c r="K51" i="19"/>
  <c r="F10" i="22"/>
  <c r="F47" i="21"/>
  <c r="F47" i="20"/>
  <c r="F51" i="19"/>
  <c r="I9" i="22"/>
  <c r="J9" i="22" s="1"/>
  <c r="I29" i="19"/>
  <c r="J29" i="19" s="1"/>
  <c r="I38" i="1"/>
  <c r="J38" i="1" s="1"/>
  <c r="I16" i="46"/>
  <c r="I35" i="45"/>
  <c r="I87" i="47"/>
  <c r="I68" i="47"/>
  <c r="I58" i="47"/>
  <c r="I47" i="47"/>
  <c r="I35" i="47"/>
  <c r="I29" i="47"/>
  <c r="I23" i="47"/>
  <c r="I12" i="46"/>
  <c r="I23" i="45"/>
  <c r="I32" i="1"/>
  <c r="J32" i="1" s="1"/>
  <c r="I74" i="47"/>
  <c r="I10" i="47"/>
  <c r="I10" i="45"/>
  <c r="I33" i="1"/>
  <c r="J33" i="1" s="1"/>
  <c r="I24" i="1"/>
  <c r="I88" i="47"/>
  <c r="I65" i="47"/>
  <c r="I59" i="47"/>
  <c r="I36" i="47"/>
  <c r="I30" i="47"/>
  <c r="I24" i="47"/>
  <c r="I52" i="47"/>
  <c r="I23" i="46"/>
  <c r="I24" i="45"/>
  <c r="I40" i="21"/>
  <c r="I49" i="17"/>
  <c r="J49" i="17" s="1"/>
  <c r="I40" i="18"/>
  <c r="J40" i="18" s="1"/>
  <c r="K64" i="47"/>
  <c r="K51" i="47"/>
  <c r="W51" i="47" s="1"/>
  <c r="K22" i="46"/>
  <c r="W22" i="46" s="1"/>
  <c r="K39" i="21"/>
  <c r="K48" i="17"/>
  <c r="K39" i="18"/>
  <c r="F64" i="47"/>
  <c r="F51" i="47"/>
  <c r="R51" i="47" s="1"/>
  <c r="F22" i="46"/>
  <c r="R22" i="46" s="1"/>
  <c r="F39" i="21"/>
  <c r="F48" i="17"/>
  <c r="F39" i="18"/>
  <c r="I77" i="47"/>
  <c r="I45" i="47"/>
  <c r="I13" i="47"/>
  <c r="I11" i="46"/>
  <c r="I32" i="45"/>
  <c r="I13" i="45"/>
  <c r="I39" i="1"/>
  <c r="J39" i="1" s="1"/>
  <c r="I33" i="21"/>
  <c r="I33" i="18"/>
  <c r="J33" i="18" s="1"/>
  <c r="I43" i="17"/>
  <c r="K38" i="21"/>
  <c r="K32" i="21"/>
  <c r="K35" i="1"/>
  <c r="K45" i="18"/>
  <c r="K38" i="18"/>
  <c r="K32" i="18"/>
  <c r="K47" i="17"/>
  <c r="K42" i="17"/>
  <c r="F38" i="21"/>
  <c r="F32" i="21"/>
  <c r="F35" i="1"/>
  <c r="F45" i="18"/>
  <c r="F38" i="18"/>
  <c r="F32" i="18"/>
  <c r="F47" i="17"/>
  <c r="F42" i="17"/>
  <c r="I30" i="21"/>
  <c r="J30" i="21" s="1"/>
  <c r="I44" i="18"/>
  <c r="J44" i="18" s="1"/>
  <c r="I40" i="17"/>
  <c r="J40" i="17" s="1"/>
  <c r="I30" i="18"/>
  <c r="J30" i="18" s="1"/>
  <c r="K34" i="1"/>
  <c r="K31" i="21"/>
  <c r="K41" i="17"/>
  <c r="K31" i="17"/>
  <c r="K31" i="18"/>
  <c r="K18" i="17"/>
  <c r="F34" i="1"/>
  <c r="F31" i="21"/>
  <c r="F41" i="17"/>
  <c r="F31" i="17"/>
  <c r="F31" i="18"/>
  <c r="F18" i="17"/>
  <c r="I25" i="21"/>
  <c r="I25" i="20"/>
  <c r="I23" i="1"/>
  <c r="J23" i="1" s="1"/>
  <c r="I20" i="19"/>
  <c r="J20" i="19" s="1"/>
  <c r="I25" i="18"/>
  <c r="J25" i="18" s="1"/>
  <c r="I30" i="17"/>
  <c r="I26" i="17"/>
  <c r="K34" i="45"/>
  <c r="K33" i="45"/>
  <c r="K22" i="21"/>
  <c r="K22" i="20"/>
  <c r="K26" i="1"/>
  <c r="K18" i="21"/>
  <c r="K18" i="20"/>
  <c r="K17" i="19"/>
  <c r="K22" i="18"/>
  <c r="K18" i="18"/>
  <c r="K34" i="17"/>
  <c r="K23" i="17"/>
  <c r="F33" i="45"/>
  <c r="F34" i="45"/>
  <c r="F22" i="21"/>
  <c r="F22" i="20"/>
  <c r="F26" i="1"/>
  <c r="F18" i="21"/>
  <c r="F18" i="20"/>
  <c r="F17" i="19"/>
  <c r="F22" i="18"/>
  <c r="F18" i="18"/>
  <c r="F34" i="17"/>
  <c r="F23" i="17"/>
  <c r="I17" i="21"/>
  <c r="I17" i="20"/>
  <c r="J17" i="20" s="1"/>
  <c r="I49" i="18"/>
  <c r="J49" i="18" s="1"/>
  <c r="I17" i="18"/>
  <c r="J17" i="18" s="1"/>
  <c r="K42" i="47"/>
  <c r="K10" i="46"/>
  <c r="W10" i="46" s="1"/>
  <c r="K32" i="46" s="1"/>
  <c r="K29" i="45"/>
  <c r="K21" i="1"/>
  <c r="K18" i="19"/>
  <c r="K23" i="21"/>
  <c r="K16" i="21"/>
  <c r="K23" i="20"/>
  <c r="K16" i="20"/>
  <c r="K24" i="17"/>
  <c r="K23" i="18"/>
  <c r="K16" i="18"/>
  <c r="F42" i="47"/>
  <c r="F10" i="46"/>
  <c r="R10" i="46" s="1"/>
  <c r="F32" i="46" s="1"/>
  <c r="F29" i="45"/>
  <c r="F21" i="1"/>
  <c r="F18" i="19"/>
  <c r="F23" i="21"/>
  <c r="F16" i="21"/>
  <c r="F23" i="20"/>
  <c r="F16" i="20"/>
  <c r="F24" i="17"/>
  <c r="F23" i="18"/>
  <c r="F16" i="18"/>
  <c r="I15" i="21"/>
  <c r="I15" i="20"/>
  <c r="J15" i="20" s="1"/>
  <c r="I13" i="19"/>
  <c r="I32" i="17"/>
  <c r="J32" i="17" s="1"/>
  <c r="I15" i="18"/>
  <c r="J15" i="18" s="1"/>
  <c r="I17" i="17"/>
  <c r="J17" i="17" s="1"/>
  <c r="K75" i="47"/>
  <c r="K11" i="47"/>
  <c r="K11" i="45"/>
  <c r="K14" i="21"/>
  <c r="K14" i="20"/>
  <c r="K12" i="19"/>
  <c r="K48" i="18"/>
  <c r="K14" i="18"/>
  <c r="K13" i="17"/>
  <c r="F75" i="47"/>
  <c r="F11" i="47"/>
  <c r="F11" i="45"/>
  <c r="F14" i="21"/>
  <c r="F14" i="20"/>
  <c r="F12" i="19"/>
  <c r="F48" i="18"/>
  <c r="F14" i="18"/>
  <c r="F13" i="17"/>
  <c r="I76" i="47"/>
  <c r="I54" i="47"/>
  <c r="I44" i="47"/>
  <c r="I31" i="45"/>
  <c r="I67" i="47"/>
  <c r="I12" i="47"/>
  <c r="I18" i="46"/>
  <c r="I8" i="46"/>
  <c r="I12" i="45"/>
  <c r="I25" i="1"/>
  <c r="J25" i="1" s="1"/>
  <c r="I13" i="21"/>
  <c r="I13" i="20"/>
  <c r="J13" i="20" s="1"/>
  <c r="I11" i="19"/>
  <c r="I13" i="18"/>
  <c r="J13" i="18" s="1"/>
  <c r="I12" i="17"/>
  <c r="J12" i="17" s="1"/>
  <c r="K43" i="47"/>
  <c r="K30" i="45"/>
  <c r="K22" i="1"/>
  <c r="K12" i="21"/>
  <c r="K12" i="20"/>
  <c r="K10" i="17"/>
  <c r="K10" i="19"/>
  <c r="K46" i="18"/>
  <c r="K12" i="18"/>
  <c r="F43" i="47"/>
  <c r="F30" i="45"/>
  <c r="F22" i="1"/>
  <c r="F12" i="21"/>
  <c r="F12" i="20"/>
  <c r="F10" i="17"/>
  <c r="F10" i="19"/>
  <c r="F46" i="18"/>
  <c r="F12" i="18"/>
  <c r="I14" i="47"/>
  <c r="I78" i="47"/>
  <c r="I14" i="45"/>
  <c r="I11" i="21"/>
  <c r="I11" i="20"/>
  <c r="J11" i="20" s="1"/>
  <c r="I9" i="17"/>
  <c r="I9" i="19"/>
  <c r="J9" i="19" s="1"/>
  <c r="I11" i="18"/>
  <c r="J11" i="18" s="1"/>
  <c r="I35" i="17"/>
  <c r="J35" i="17" s="1"/>
  <c r="G19" i="9"/>
  <c r="M19" i="9" s="1"/>
  <c r="L10" i="21"/>
  <c r="L10" i="20"/>
  <c r="L10" i="18"/>
  <c r="G10" i="21"/>
  <c r="G10" i="20"/>
  <c r="M10" i="20" s="1"/>
  <c r="G10" i="18"/>
  <c r="M10" i="18" s="1"/>
  <c r="I18" i="9"/>
  <c r="J18" i="9" s="1"/>
  <c r="I9" i="21"/>
  <c r="I9" i="20"/>
  <c r="J9" i="20" s="1"/>
  <c r="I9" i="18"/>
  <c r="J9" i="18" s="1"/>
  <c r="L43" i="47"/>
  <c r="L30" i="45"/>
  <c r="L22" i="1"/>
  <c r="L12" i="21"/>
  <c r="L12" i="20"/>
  <c r="L10" i="19"/>
  <c r="L46" i="18"/>
  <c r="L12" i="18"/>
  <c r="L10" i="17"/>
  <c r="G43" i="47"/>
  <c r="G30" i="45"/>
  <c r="G22" i="1"/>
  <c r="M22" i="1" s="1"/>
  <c r="G12" i="21"/>
  <c r="M12" i="21" s="1"/>
  <c r="G12" i="20"/>
  <c r="G10" i="19"/>
  <c r="M10" i="19" s="1"/>
  <c r="G46" i="18"/>
  <c r="M46" i="18" s="1"/>
  <c r="G12" i="18"/>
  <c r="M12" i="18" s="1"/>
  <c r="G10" i="17"/>
  <c r="M10" i="17" s="1"/>
  <c r="H78" i="47"/>
  <c r="H14" i="47"/>
  <c r="H14" i="45"/>
  <c r="H11" i="21"/>
  <c r="H11" i="20"/>
  <c r="H9" i="19"/>
  <c r="H11" i="18"/>
  <c r="H35" i="17"/>
  <c r="H9" i="17"/>
  <c r="I17" i="11"/>
  <c r="J17" i="11" s="1"/>
  <c r="H10" i="21"/>
  <c r="H10" i="20"/>
  <c r="H10" i="18"/>
  <c r="G15" i="11"/>
  <c r="M15" i="11" s="1"/>
  <c r="F8" i="21"/>
  <c r="F8" i="20"/>
  <c r="F8" i="17"/>
  <c r="F8" i="19"/>
  <c r="F8" i="18"/>
  <c r="I17" i="9"/>
  <c r="J17" i="9" s="1"/>
  <c r="I8" i="21"/>
  <c r="J8" i="21" s="1"/>
  <c r="I8" i="20"/>
  <c r="I8" i="19"/>
  <c r="J8" i="19" s="1"/>
  <c r="I8" i="18"/>
  <c r="J8" i="18" s="1"/>
  <c r="I8" i="17"/>
  <c r="J8" i="17" s="1"/>
  <c r="K10" i="21"/>
  <c r="K10" i="20"/>
  <c r="K10" i="18"/>
  <c r="G16" i="11"/>
  <c r="M16" i="11" s="1"/>
  <c r="H9" i="21"/>
  <c r="H9" i="20"/>
  <c r="H9" i="18"/>
  <c r="I15" i="11"/>
  <c r="J15" i="11" s="1"/>
  <c r="F19" i="22"/>
  <c r="F29" i="9"/>
  <c r="F22" i="9"/>
  <c r="I73" i="47"/>
  <c r="I9" i="47"/>
  <c r="I9" i="45"/>
  <c r="I20" i="1"/>
  <c r="J20" i="1" s="1"/>
  <c r="I19" i="19"/>
  <c r="J19" i="19" s="1"/>
  <c r="I24" i="21"/>
  <c r="J24" i="21" s="1"/>
  <c r="I24" i="20"/>
  <c r="J24" i="20" s="1"/>
  <c r="I25" i="17"/>
  <c r="J25" i="17" s="1"/>
  <c r="I11" i="17"/>
  <c r="J11" i="17" s="1"/>
  <c r="I24" i="18"/>
  <c r="J24" i="18" s="1"/>
  <c r="I33" i="17"/>
  <c r="J33" i="17" s="1"/>
  <c r="E44" i="16"/>
  <c r="E30" i="16"/>
  <c r="E65" i="11"/>
  <c r="E58" i="11"/>
  <c r="E33" i="11"/>
  <c r="E21" i="11"/>
  <c r="E45" i="9"/>
  <c r="E63" i="9"/>
  <c r="E58" i="9"/>
  <c r="E44" i="22"/>
  <c r="E16" i="22"/>
  <c r="E32" i="9"/>
  <c r="E12" i="9"/>
  <c r="E42" i="22"/>
  <c r="E18" i="22"/>
  <c r="E25" i="9"/>
  <c r="E10" i="9"/>
  <c r="E20" i="9"/>
  <c r="E21" i="22"/>
  <c r="E43" i="19"/>
  <c r="E40" i="20"/>
  <c r="E44" i="21"/>
  <c r="E44" i="20"/>
  <c r="E48" i="19"/>
  <c r="E33" i="19"/>
  <c r="E30" i="20"/>
  <c r="Q15" i="45"/>
  <c r="E49" i="45"/>
  <c r="E103" i="47"/>
  <c r="Q15" i="47"/>
  <c r="Q10" i="45"/>
  <c r="E44" i="45"/>
  <c r="E162" i="47"/>
  <c r="Q74" i="47"/>
  <c r="E66" i="45"/>
  <c r="Q32" i="45"/>
  <c r="E101" i="47"/>
  <c r="Q13" i="47"/>
  <c r="Q77" i="47"/>
  <c r="E165" i="47"/>
  <c r="E73" i="47"/>
  <c r="E9" i="47"/>
  <c r="E9" i="45"/>
  <c r="E20" i="1"/>
  <c r="E19" i="19"/>
  <c r="E24" i="21"/>
  <c r="E24" i="20"/>
  <c r="E25" i="17"/>
  <c r="E11" i="17"/>
  <c r="E24" i="18"/>
  <c r="E33" i="17"/>
  <c r="L97" i="47"/>
  <c r="X9" i="47"/>
  <c r="K43" i="45"/>
  <c r="W9" i="45"/>
  <c r="K161" i="47"/>
  <c r="W73" i="47"/>
  <c r="H97" i="47"/>
  <c r="T9" i="47"/>
  <c r="M29" i="9"/>
  <c r="M19" i="19"/>
  <c r="M25" i="17"/>
  <c r="M11" i="17"/>
  <c r="J19" i="11"/>
  <c r="M19" i="11"/>
  <c r="J53" i="9"/>
  <c r="J57" i="9"/>
  <c r="M62" i="9"/>
  <c r="J35" i="9"/>
  <c r="M20" i="22"/>
  <c r="J65" i="11"/>
  <c r="J58" i="11"/>
  <c r="M58" i="11"/>
  <c r="J31" i="11"/>
  <c r="J43" i="11"/>
  <c r="M31" i="11"/>
  <c r="M43" i="11"/>
  <c r="J10" i="11"/>
  <c r="J33" i="11"/>
  <c r="J63" i="9"/>
  <c r="J58" i="9"/>
  <c r="J45" i="9"/>
  <c r="M63" i="9"/>
  <c r="M45" i="9"/>
  <c r="J16" i="22"/>
  <c r="M16" i="22"/>
  <c r="J21" i="9"/>
  <c r="M31" i="9"/>
  <c r="M21" i="9"/>
  <c r="J50" i="19"/>
  <c r="M39" i="20"/>
  <c r="M42" i="19"/>
  <c r="J49" i="19"/>
  <c r="J41" i="19"/>
  <c r="J38" i="20"/>
  <c r="M45" i="21"/>
  <c r="M38" i="20"/>
  <c r="J10" i="22"/>
  <c r="J47" i="20"/>
  <c r="M47" i="21"/>
  <c r="M51" i="19"/>
  <c r="M47" i="20"/>
  <c r="J40" i="16"/>
  <c r="M40" i="16"/>
  <c r="M39" i="21"/>
  <c r="M39" i="18"/>
  <c r="M48" i="17"/>
  <c r="J35" i="1"/>
  <c r="J32" i="21"/>
  <c r="J37" i="16"/>
  <c r="J42" i="17"/>
  <c r="J45" i="16"/>
  <c r="M35" i="1"/>
  <c r="M32" i="21"/>
  <c r="M32" i="18"/>
  <c r="M42" i="17"/>
  <c r="J22" i="21"/>
  <c r="J18" i="16"/>
  <c r="J18" i="20"/>
  <c r="J18" i="18"/>
  <c r="J23" i="17"/>
  <c r="J23" i="16"/>
  <c r="M22" i="20"/>
  <c r="M18" i="20"/>
  <c r="M18" i="18"/>
  <c r="M34" i="17"/>
  <c r="J14" i="16"/>
  <c r="M14" i="21"/>
  <c r="M13" i="17"/>
  <c r="M14" i="18"/>
  <c r="M29" i="19"/>
  <c r="M30" i="21"/>
  <c r="M44" i="16"/>
  <c r="M30" i="16"/>
  <c r="J25" i="21"/>
  <c r="J26" i="17"/>
  <c r="J26" i="16"/>
  <c r="J25" i="20"/>
  <c r="J30" i="17"/>
  <c r="M26" i="17"/>
  <c r="M26" i="16"/>
  <c r="M30" i="17"/>
  <c r="J15" i="21"/>
  <c r="J13" i="19"/>
  <c r="M15" i="21"/>
  <c r="M13" i="19"/>
  <c r="M15" i="20"/>
  <c r="J11" i="21"/>
  <c r="J9" i="17"/>
  <c r="M11" i="21"/>
  <c r="J10" i="20"/>
  <c r="M10" i="21"/>
  <c r="J9" i="21"/>
  <c r="M9" i="21"/>
  <c r="J12" i="18"/>
  <c r="J10" i="17"/>
  <c r="J47" i="16"/>
  <c r="M12" i="20"/>
  <c r="J8" i="20"/>
  <c r="M8" i="21"/>
  <c r="I14" i="42"/>
  <c r="I25" i="16" s="1"/>
  <c r="J27" i="11"/>
  <c r="J53" i="11"/>
  <c r="M64" i="11"/>
  <c r="J47" i="11"/>
  <c r="M47" i="11"/>
  <c r="M48" i="11"/>
  <c r="J8" i="11"/>
  <c r="M41" i="11"/>
  <c r="J32" i="11"/>
  <c r="J11" i="11"/>
  <c r="M11" i="11"/>
  <c r="J11" i="9"/>
  <c r="J64" i="9"/>
  <c r="J9" i="9"/>
  <c r="M64" i="9"/>
  <c r="M9" i="9"/>
  <c r="M33" i="22"/>
  <c r="J42" i="9"/>
  <c r="J45" i="22"/>
  <c r="M17" i="22"/>
  <c r="M33" i="11"/>
  <c r="M21" i="11"/>
  <c r="J8" i="9"/>
  <c r="M8" i="9"/>
  <c r="M25" i="22"/>
  <c r="J31" i="20"/>
  <c r="J53" i="19"/>
  <c r="M31" i="20"/>
  <c r="M53" i="19"/>
  <c r="M49" i="20"/>
  <c r="J31" i="21"/>
  <c r="J41" i="17"/>
  <c r="J31" i="17"/>
  <c r="J31" i="16"/>
  <c r="M31" i="21"/>
  <c r="M18" i="17"/>
  <c r="M31" i="17"/>
  <c r="J18" i="19"/>
  <c r="J24" i="16"/>
  <c r="M23" i="21"/>
  <c r="M16" i="21"/>
  <c r="M18" i="19"/>
  <c r="M24" i="17"/>
  <c r="M23" i="20"/>
  <c r="J25" i="9"/>
  <c r="M18" i="22"/>
  <c r="M34" i="9"/>
  <c r="J20" i="9"/>
  <c r="M20" i="9"/>
  <c r="M21" i="22"/>
  <c r="J40" i="20"/>
  <c r="M40" i="20"/>
  <c r="J36" i="19"/>
  <c r="M33" i="20"/>
  <c r="M36" i="19"/>
  <c r="J33" i="19"/>
  <c r="M44" i="21"/>
  <c r="M33" i="19"/>
  <c r="M48" i="20"/>
  <c r="M25" i="19"/>
  <c r="J24" i="19"/>
  <c r="J24" i="1"/>
  <c r="M33" i="1"/>
  <c r="M24" i="1"/>
  <c r="J40" i="21"/>
  <c r="J39" i="16"/>
  <c r="M40" i="21"/>
  <c r="M39" i="16"/>
  <c r="M49" i="17"/>
  <c r="J33" i="21"/>
  <c r="J43" i="17"/>
  <c r="M39" i="1"/>
  <c r="M33" i="21"/>
  <c r="J17" i="21"/>
  <c r="M17" i="21"/>
  <c r="J13" i="21"/>
  <c r="J11" i="19"/>
  <c r="M13" i="21"/>
  <c r="M11" i="19"/>
  <c r="M13" i="20"/>
  <c r="AK16" i="28"/>
  <c r="AI16" i="28"/>
  <c r="AG16" i="28"/>
  <c r="AD16" i="28"/>
  <c r="BG16" i="28" s="1"/>
  <c r="AB16" i="28"/>
  <c r="BF16" i="28" s="1"/>
  <c r="Z16" i="28"/>
  <c r="BE16" i="28" s="1"/>
  <c r="AK15" i="28"/>
  <c r="AI15" i="28"/>
  <c r="AG15" i="28"/>
  <c r="AD15" i="28"/>
  <c r="BG15" i="28" s="1"/>
  <c r="AB15" i="28"/>
  <c r="BF15" i="28" s="1"/>
  <c r="Z15" i="28"/>
  <c r="BE15" i="28" s="1"/>
  <c r="AK14" i="28"/>
  <c r="AI14" i="28"/>
  <c r="AG14" i="28"/>
  <c r="AD14" i="28"/>
  <c r="AB14" i="28"/>
  <c r="Z14" i="28"/>
  <c r="BE14" i="28" s="1"/>
  <c r="AK13" i="28"/>
  <c r="AI13" i="28"/>
  <c r="AG13" i="28"/>
  <c r="AD13" i="28"/>
  <c r="BG13" i="28" s="1"/>
  <c r="AB13" i="28"/>
  <c r="Z13" i="28"/>
  <c r="AK12" i="28"/>
  <c r="AI12" i="28"/>
  <c r="AG12" i="28"/>
  <c r="AD12" i="28"/>
  <c r="BG12" i="28" s="1"/>
  <c r="AB12" i="28"/>
  <c r="BF12" i="28" s="1"/>
  <c r="Z12" i="28"/>
  <c r="BE12" i="28" s="1"/>
  <c r="AK11" i="28"/>
  <c r="AI11" i="28"/>
  <c r="AG11" i="28"/>
  <c r="AD11" i="28"/>
  <c r="BG11" i="28" s="1"/>
  <c r="AB11" i="28"/>
  <c r="BF11" i="28" s="1"/>
  <c r="Z11" i="28"/>
  <c r="BE11" i="28" s="1"/>
  <c r="AK10" i="28"/>
  <c r="AI10" i="28"/>
  <c r="AG10" i="28"/>
  <c r="AD10" i="28"/>
  <c r="AB10" i="28"/>
  <c r="Z10" i="28"/>
  <c r="BE10" i="28" s="1"/>
  <c r="AK9" i="28"/>
  <c r="AI9" i="28"/>
  <c r="AG9" i="28"/>
  <c r="AD9" i="28"/>
  <c r="BG9" i="28" s="1"/>
  <c r="AB9" i="28"/>
  <c r="Z9" i="28"/>
  <c r="AK8" i="28"/>
  <c r="AI8" i="28"/>
  <c r="AG8" i="28"/>
  <c r="AD8" i="28"/>
  <c r="BG8" i="28" s="1"/>
  <c r="AB8" i="28"/>
  <c r="BF8" i="28" s="1"/>
  <c r="Z8" i="28"/>
  <c r="BE8" i="28" s="1"/>
  <c r="AK7" i="28"/>
  <c r="AI7" i="28"/>
  <c r="AG7" i="28"/>
  <c r="AD7" i="28"/>
  <c r="BG7" i="28" s="1"/>
  <c r="AB7" i="28"/>
  <c r="BF7" i="28" s="1"/>
  <c r="Z7" i="28"/>
  <c r="BE7" i="28" s="1"/>
  <c r="AK6" i="28"/>
  <c r="AI6" i="28"/>
  <c r="AG6" i="28"/>
  <c r="AD6" i="28"/>
  <c r="AB6" i="28"/>
  <c r="Z6" i="28"/>
  <c r="BE6" i="28" s="1"/>
  <c r="AK5" i="28"/>
  <c r="AI5" i="28"/>
  <c r="AG5" i="28"/>
  <c r="AD5" i="28"/>
  <c r="BG5" i="28" s="1"/>
  <c r="AB5" i="28"/>
  <c r="Z5" i="28"/>
  <c r="AK4" i="28"/>
  <c r="AI4" i="28"/>
  <c r="AG4" i="28"/>
  <c r="AD4" i="28"/>
  <c r="BG4" i="28" s="1"/>
  <c r="AB4" i="28"/>
  <c r="BF4" i="28" s="1"/>
  <c r="Z4" i="28"/>
  <c r="BE4" i="28" s="1"/>
  <c r="BF14" i="28" l="1"/>
  <c r="BF6" i="28"/>
  <c r="BF10" i="28"/>
  <c r="BE5" i="28"/>
  <c r="BG6" i="28"/>
  <c r="BE9" i="28"/>
  <c r="BG10" i="28"/>
  <c r="BE13" i="28"/>
  <c r="BG14" i="28"/>
  <c r="BF5" i="28"/>
  <c r="BF9" i="28"/>
  <c r="BF13" i="28"/>
  <c r="E97" i="47"/>
  <c r="Q9" i="47"/>
  <c r="J9" i="45"/>
  <c r="U9" i="45"/>
  <c r="I43" i="45"/>
  <c r="J73" i="47"/>
  <c r="U73" i="47"/>
  <c r="I161" i="47"/>
  <c r="H102" i="47"/>
  <c r="T14" i="47"/>
  <c r="M43" i="47"/>
  <c r="G131" i="47"/>
  <c r="S43" i="47"/>
  <c r="L64" i="45"/>
  <c r="X30" i="45"/>
  <c r="J78" i="47"/>
  <c r="U78" i="47"/>
  <c r="I166" i="47"/>
  <c r="F131" i="47"/>
  <c r="R43" i="47"/>
  <c r="K64" i="45"/>
  <c r="W30" i="45"/>
  <c r="J12" i="45"/>
  <c r="U12" i="45"/>
  <c r="I46" i="45"/>
  <c r="J18" i="46"/>
  <c r="V18" i="46" s="1"/>
  <c r="J40" i="46" s="1"/>
  <c r="U18" i="46"/>
  <c r="I40" i="46" s="1"/>
  <c r="J67" i="47"/>
  <c r="I155" i="47"/>
  <c r="U67" i="47"/>
  <c r="J44" i="47"/>
  <c r="I132" i="47"/>
  <c r="U44" i="47"/>
  <c r="J76" i="47"/>
  <c r="U76" i="47"/>
  <c r="I164" i="47"/>
  <c r="R11" i="47"/>
  <c r="F99" i="47"/>
  <c r="K45" i="45"/>
  <c r="W11" i="45"/>
  <c r="K163" i="47"/>
  <c r="W75" i="47"/>
  <c r="F63" i="45"/>
  <c r="R29" i="45"/>
  <c r="F130" i="47"/>
  <c r="R42" i="47"/>
  <c r="K63" i="45"/>
  <c r="W29" i="45"/>
  <c r="K130" i="47"/>
  <c r="W42" i="47"/>
  <c r="F67" i="45"/>
  <c r="R33" i="45"/>
  <c r="K68" i="45"/>
  <c r="W34" i="45"/>
  <c r="J13" i="45"/>
  <c r="U13" i="45"/>
  <c r="I47" i="45"/>
  <c r="J11" i="46"/>
  <c r="V11" i="46" s="1"/>
  <c r="J33" i="46" s="1"/>
  <c r="U11" i="46"/>
  <c r="I33" i="46" s="1"/>
  <c r="J45" i="47"/>
  <c r="I133" i="47"/>
  <c r="U45" i="47"/>
  <c r="J23" i="46"/>
  <c r="V23" i="46" s="1"/>
  <c r="J45" i="46" s="1"/>
  <c r="U23" i="46"/>
  <c r="I45" i="46" s="1"/>
  <c r="J24" i="47"/>
  <c r="I112" i="47"/>
  <c r="U24" i="47"/>
  <c r="J36" i="47"/>
  <c r="I124" i="47"/>
  <c r="U36" i="47"/>
  <c r="J65" i="47"/>
  <c r="U65" i="47"/>
  <c r="I153" i="47"/>
  <c r="J10" i="45"/>
  <c r="U10" i="45"/>
  <c r="I44" i="45"/>
  <c r="J74" i="47"/>
  <c r="I162" i="47"/>
  <c r="U74" i="47"/>
  <c r="J23" i="45"/>
  <c r="I57" i="45"/>
  <c r="U23" i="45"/>
  <c r="J23" i="47"/>
  <c r="I111" i="47"/>
  <c r="I114" i="47" s="1"/>
  <c r="O75" i="50" s="1"/>
  <c r="O78" i="50" s="1"/>
  <c r="U23" i="47"/>
  <c r="J35" i="47"/>
  <c r="I123" i="47"/>
  <c r="I126" i="47" s="1"/>
  <c r="O95" i="50" s="1"/>
  <c r="O98" i="50" s="1"/>
  <c r="U35" i="47"/>
  <c r="U38" i="47" s="1"/>
  <c r="F95" i="50" s="1"/>
  <c r="F98" i="50" s="1"/>
  <c r="J58" i="47"/>
  <c r="I146" i="47"/>
  <c r="U58" i="47"/>
  <c r="J87" i="47"/>
  <c r="I175" i="47"/>
  <c r="U87" i="47"/>
  <c r="J16" i="46"/>
  <c r="V16" i="46" s="1"/>
  <c r="U16" i="46"/>
  <c r="K46" i="45"/>
  <c r="W12" i="45"/>
  <c r="K30" i="46"/>
  <c r="K35" i="46" s="1"/>
  <c r="W13" i="46"/>
  <c r="W54" i="47"/>
  <c r="K142" i="47"/>
  <c r="K164" i="47"/>
  <c r="W76" i="47"/>
  <c r="J75" i="47"/>
  <c r="U75" i="47"/>
  <c r="I163" i="47"/>
  <c r="J42" i="47"/>
  <c r="I130" i="47"/>
  <c r="U42" i="47"/>
  <c r="J33" i="45"/>
  <c r="I67" i="45"/>
  <c r="U33" i="45"/>
  <c r="F47" i="45"/>
  <c r="R13" i="45"/>
  <c r="F165" i="47"/>
  <c r="R77" i="47"/>
  <c r="K47" i="45"/>
  <c r="W13" i="45"/>
  <c r="K165" i="47"/>
  <c r="W77" i="47"/>
  <c r="J22" i="46"/>
  <c r="V22" i="46" s="1"/>
  <c r="U22" i="46"/>
  <c r="F112" i="47"/>
  <c r="R24" i="47"/>
  <c r="F124" i="47"/>
  <c r="R36" i="47"/>
  <c r="F153" i="47"/>
  <c r="R65" i="47"/>
  <c r="K112" i="47"/>
  <c r="W24" i="47"/>
  <c r="K124" i="47"/>
  <c r="W36" i="47"/>
  <c r="K153" i="47"/>
  <c r="W65" i="47"/>
  <c r="F44" i="45"/>
  <c r="R10" i="45"/>
  <c r="F162" i="47"/>
  <c r="R74" i="47"/>
  <c r="K162" i="47"/>
  <c r="W74" i="47"/>
  <c r="F69" i="45"/>
  <c r="R35" i="45"/>
  <c r="F117" i="47"/>
  <c r="R29" i="47"/>
  <c r="F135" i="47"/>
  <c r="R47" i="47"/>
  <c r="F156" i="47"/>
  <c r="R68" i="47"/>
  <c r="K69" i="45"/>
  <c r="W35" i="45"/>
  <c r="K38" i="46"/>
  <c r="K41" i="46" s="1"/>
  <c r="Q44" i="50" s="1"/>
  <c r="Q47" i="50" s="1"/>
  <c r="W19" i="46"/>
  <c r="H44" i="50" s="1"/>
  <c r="H47" i="50" s="1"/>
  <c r="K117" i="47"/>
  <c r="W29" i="47"/>
  <c r="K135" i="47"/>
  <c r="W47" i="47"/>
  <c r="K156" i="47"/>
  <c r="W68" i="47"/>
  <c r="J79" i="47"/>
  <c r="U79" i="47"/>
  <c r="I167" i="47"/>
  <c r="F49" i="45"/>
  <c r="R15" i="45"/>
  <c r="F167" i="47"/>
  <c r="R79" i="47"/>
  <c r="K49" i="45"/>
  <c r="W15" i="45"/>
  <c r="K167" i="47"/>
  <c r="W79" i="47"/>
  <c r="F97" i="47"/>
  <c r="R9" i="47"/>
  <c r="E112" i="47"/>
  <c r="Q24" i="47"/>
  <c r="E124" i="47"/>
  <c r="Q36" i="47"/>
  <c r="Q65" i="47"/>
  <c r="E153" i="47"/>
  <c r="E117" i="47"/>
  <c r="Q29" i="47"/>
  <c r="E135" i="47"/>
  <c r="Q47" i="47"/>
  <c r="Q68" i="47"/>
  <c r="E156" i="47"/>
  <c r="E69" i="45"/>
  <c r="Q35" i="45"/>
  <c r="F102" i="47"/>
  <c r="R14" i="47"/>
  <c r="K48" i="45"/>
  <c r="W14" i="45"/>
  <c r="K102" i="47"/>
  <c r="W14" i="47"/>
  <c r="J30" i="45"/>
  <c r="I64" i="45"/>
  <c r="U30" i="45"/>
  <c r="F46" i="45"/>
  <c r="R12" i="45"/>
  <c r="F132" i="47"/>
  <c r="R44" i="47"/>
  <c r="F164" i="47"/>
  <c r="R76" i="47"/>
  <c r="F155" i="47"/>
  <c r="R67" i="47"/>
  <c r="M14" i="45"/>
  <c r="S14" i="45"/>
  <c r="G48" i="45"/>
  <c r="M14" i="47"/>
  <c r="G102" i="47"/>
  <c r="S14" i="47"/>
  <c r="L102" i="47"/>
  <c r="X14" i="47"/>
  <c r="H131" i="47"/>
  <c r="T43" i="47"/>
  <c r="M31" i="45"/>
  <c r="G65" i="45"/>
  <c r="S31" i="45"/>
  <c r="M18" i="46"/>
  <c r="Y18" i="46" s="1"/>
  <c r="M40" i="46" s="1"/>
  <c r="S18" i="46"/>
  <c r="G40" i="46" s="1"/>
  <c r="M67" i="47"/>
  <c r="G155" i="47"/>
  <c r="S67" i="47"/>
  <c r="M54" i="47"/>
  <c r="G142" i="47"/>
  <c r="S54" i="47"/>
  <c r="L46" i="45"/>
  <c r="X12" i="45"/>
  <c r="X44" i="47"/>
  <c r="L132" i="47"/>
  <c r="L65" i="45"/>
  <c r="X31" i="45"/>
  <c r="L100" i="47"/>
  <c r="X12" i="47"/>
  <c r="L155" i="47"/>
  <c r="X67" i="47"/>
  <c r="T11" i="47"/>
  <c r="H99" i="47"/>
  <c r="H68" i="45"/>
  <c r="T34" i="45"/>
  <c r="M13" i="45"/>
  <c r="S13" i="45"/>
  <c r="G47" i="45"/>
  <c r="M11" i="46"/>
  <c r="Y11" i="46" s="1"/>
  <c r="M33" i="46" s="1"/>
  <c r="S11" i="46"/>
  <c r="G33" i="46" s="1"/>
  <c r="M45" i="47"/>
  <c r="G133" i="47"/>
  <c r="S45" i="47"/>
  <c r="X13" i="45"/>
  <c r="L47" i="45"/>
  <c r="L66" i="45"/>
  <c r="X32" i="45"/>
  <c r="L133" i="47"/>
  <c r="X45" i="47"/>
  <c r="M23" i="46"/>
  <c r="Y23" i="46" s="1"/>
  <c r="M45" i="46" s="1"/>
  <c r="S23" i="46"/>
  <c r="G45" i="46" s="1"/>
  <c r="M24" i="47"/>
  <c r="G112" i="47"/>
  <c r="S24" i="47"/>
  <c r="M36" i="47"/>
  <c r="G124" i="47"/>
  <c r="S36" i="47"/>
  <c r="M65" i="47"/>
  <c r="S65" i="47"/>
  <c r="G153" i="47"/>
  <c r="L112" i="47"/>
  <c r="X24" i="47"/>
  <c r="L124" i="47"/>
  <c r="X36" i="47"/>
  <c r="X65" i="47"/>
  <c r="L153" i="47"/>
  <c r="M10" i="45"/>
  <c r="S10" i="45"/>
  <c r="G44" i="45"/>
  <c r="M74" i="47"/>
  <c r="G162" i="47"/>
  <c r="S74" i="47"/>
  <c r="X10" i="47"/>
  <c r="L98" i="47"/>
  <c r="M12" i="46"/>
  <c r="Y12" i="46" s="1"/>
  <c r="M34" i="46" s="1"/>
  <c r="S12" i="46"/>
  <c r="G34" i="46" s="1"/>
  <c r="M29" i="47"/>
  <c r="G117" i="47"/>
  <c r="S29" i="47"/>
  <c r="M47" i="47"/>
  <c r="G135" i="47"/>
  <c r="S47" i="47"/>
  <c r="M68" i="47"/>
  <c r="S68" i="47"/>
  <c r="G156" i="47"/>
  <c r="M35" i="45"/>
  <c r="G69" i="45"/>
  <c r="S35" i="45"/>
  <c r="L57" i="45"/>
  <c r="X23" i="45"/>
  <c r="L38" i="46"/>
  <c r="L41" i="46" s="1"/>
  <c r="R44" i="50" s="1"/>
  <c r="R47" i="50" s="1"/>
  <c r="X19" i="46"/>
  <c r="I44" i="50" s="1"/>
  <c r="I47" i="50" s="1"/>
  <c r="L117" i="47"/>
  <c r="X29" i="47"/>
  <c r="L135" i="47"/>
  <c r="X47" i="47"/>
  <c r="X68" i="47"/>
  <c r="L156" i="47"/>
  <c r="L69" i="45"/>
  <c r="X35" i="45"/>
  <c r="H65" i="45"/>
  <c r="T31" i="45"/>
  <c r="T54" i="47"/>
  <c r="T55" i="47" s="1"/>
  <c r="E115" i="50" s="1"/>
  <c r="E118" i="50" s="1"/>
  <c r="H142" i="47"/>
  <c r="H30" i="46"/>
  <c r="H35" i="46" s="1"/>
  <c r="T13" i="46"/>
  <c r="T12" i="47"/>
  <c r="H100" i="47"/>
  <c r="M11" i="45"/>
  <c r="S11" i="45"/>
  <c r="G45" i="45"/>
  <c r="M11" i="47"/>
  <c r="G99" i="47"/>
  <c r="S11" i="47"/>
  <c r="X75" i="47"/>
  <c r="L163" i="47"/>
  <c r="M42" i="47"/>
  <c r="G130" i="47"/>
  <c r="S42" i="47"/>
  <c r="M33" i="45"/>
  <c r="G67" i="45"/>
  <c r="S33" i="45"/>
  <c r="L67" i="45"/>
  <c r="X33" i="45"/>
  <c r="H133" i="47"/>
  <c r="T45" i="47"/>
  <c r="H66" i="45"/>
  <c r="T32" i="45"/>
  <c r="H101" i="47"/>
  <c r="T13" i="47"/>
  <c r="M64" i="47"/>
  <c r="S64" i="47"/>
  <c r="S69" i="47" s="1"/>
  <c r="D135" i="50" s="1"/>
  <c r="D138" i="50" s="1"/>
  <c r="G152" i="47"/>
  <c r="M51" i="47"/>
  <c r="Y51" i="47" s="1"/>
  <c r="S51" i="47"/>
  <c r="X64" i="47"/>
  <c r="L152" i="47"/>
  <c r="H58" i="45"/>
  <c r="T24" i="45"/>
  <c r="H118" i="47"/>
  <c r="T30" i="47"/>
  <c r="H147" i="47"/>
  <c r="T59" i="47"/>
  <c r="H176" i="47"/>
  <c r="T88" i="47"/>
  <c r="H140" i="47"/>
  <c r="T52" i="47"/>
  <c r="H98" i="47"/>
  <c r="T10" i="47"/>
  <c r="H69" i="45"/>
  <c r="T35" i="45"/>
  <c r="H117" i="47"/>
  <c r="H120" i="47" s="1"/>
  <c r="N85" i="50" s="1"/>
  <c r="N88" i="50" s="1"/>
  <c r="T29" i="47"/>
  <c r="T32" i="47" s="1"/>
  <c r="E85" i="50" s="1"/>
  <c r="E88" i="50" s="1"/>
  <c r="H135" i="47"/>
  <c r="T47" i="47"/>
  <c r="H156" i="47"/>
  <c r="T68" i="47"/>
  <c r="M15" i="45"/>
  <c r="S15" i="45"/>
  <c r="G49" i="45"/>
  <c r="M15" i="47"/>
  <c r="G103" i="47"/>
  <c r="S15" i="47"/>
  <c r="X79" i="47"/>
  <c r="L167" i="47"/>
  <c r="H49" i="45"/>
  <c r="T15" i="45"/>
  <c r="H167" i="47"/>
  <c r="T79" i="47"/>
  <c r="M9" i="45"/>
  <c r="S9" i="45"/>
  <c r="G43" i="45"/>
  <c r="M73" i="47"/>
  <c r="S73" i="47"/>
  <c r="G161" i="47"/>
  <c r="E44" i="46"/>
  <c r="E47" i="46" s="1"/>
  <c r="K54" i="50" s="1"/>
  <c r="K57" i="50" s="1"/>
  <c r="Q25" i="46"/>
  <c r="B54" i="50" s="1"/>
  <c r="B57" i="50" s="1"/>
  <c r="E131" i="47"/>
  <c r="Q43" i="47"/>
  <c r="Q75" i="47"/>
  <c r="E163" i="47"/>
  <c r="E130" i="47"/>
  <c r="Q42" i="47"/>
  <c r="E67" i="45"/>
  <c r="Q33" i="45"/>
  <c r="Q14" i="45"/>
  <c r="E48" i="45"/>
  <c r="E102" i="47"/>
  <c r="Q14" i="47"/>
  <c r="E65" i="45"/>
  <c r="Q31" i="45"/>
  <c r="E155" i="47"/>
  <c r="Q67" i="47"/>
  <c r="E142" i="47"/>
  <c r="Q54" i="47"/>
  <c r="Q9" i="45"/>
  <c r="E43" i="45"/>
  <c r="Q73" i="47"/>
  <c r="E161" i="47"/>
  <c r="J9" i="47"/>
  <c r="I97" i="47"/>
  <c r="U9" i="47"/>
  <c r="H48" i="45"/>
  <c r="T14" i="45"/>
  <c r="H166" i="47"/>
  <c r="T78" i="47"/>
  <c r="M30" i="45"/>
  <c r="G64" i="45"/>
  <c r="S30" i="45"/>
  <c r="L131" i="47"/>
  <c r="X43" i="47"/>
  <c r="J14" i="45"/>
  <c r="U14" i="45"/>
  <c r="I48" i="45"/>
  <c r="J14" i="47"/>
  <c r="I102" i="47"/>
  <c r="U14" i="47"/>
  <c r="F64" i="45"/>
  <c r="R30" i="45"/>
  <c r="K131" i="47"/>
  <c r="W43" i="47"/>
  <c r="J8" i="46"/>
  <c r="V8" i="46" s="1"/>
  <c r="U8" i="46"/>
  <c r="J12" i="47"/>
  <c r="I100" i="47"/>
  <c r="U12" i="47"/>
  <c r="J31" i="45"/>
  <c r="I65" i="45"/>
  <c r="U31" i="45"/>
  <c r="J54" i="47"/>
  <c r="I142" i="47"/>
  <c r="U54" i="47"/>
  <c r="F45" i="45"/>
  <c r="R11" i="45"/>
  <c r="F163" i="47"/>
  <c r="R75" i="47"/>
  <c r="W11" i="47"/>
  <c r="K99" i="47"/>
  <c r="K108" i="47" s="1"/>
  <c r="F68" i="45"/>
  <c r="R34" i="45"/>
  <c r="K67" i="45"/>
  <c r="W33" i="45"/>
  <c r="J32" i="45"/>
  <c r="I66" i="45"/>
  <c r="U32" i="45"/>
  <c r="J13" i="47"/>
  <c r="I101" i="47"/>
  <c r="U13" i="47"/>
  <c r="J77" i="47"/>
  <c r="U77" i="47"/>
  <c r="I165" i="47"/>
  <c r="F44" i="46"/>
  <c r="F47" i="46" s="1"/>
  <c r="L54" i="50" s="1"/>
  <c r="L57" i="50" s="1"/>
  <c r="R25" i="46"/>
  <c r="C54" i="50" s="1"/>
  <c r="C57" i="50" s="1"/>
  <c r="F152" i="47"/>
  <c r="R64" i="47"/>
  <c r="R69" i="47" s="1"/>
  <c r="C135" i="50" s="1"/>
  <c r="C138" i="50" s="1"/>
  <c r="K44" i="46"/>
  <c r="K47" i="46" s="1"/>
  <c r="Q54" i="50" s="1"/>
  <c r="Q57" i="50" s="1"/>
  <c r="W25" i="46"/>
  <c r="H54" i="50" s="1"/>
  <c r="H57" i="50" s="1"/>
  <c r="K152" i="47"/>
  <c r="W64" i="47"/>
  <c r="J24" i="45"/>
  <c r="I58" i="45"/>
  <c r="U24" i="45"/>
  <c r="J52" i="47"/>
  <c r="I140" i="47"/>
  <c r="U52" i="47"/>
  <c r="J30" i="47"/>
  <c r="I118" i="47"/>
  <c r="U30" i="47"/>
  <c r="J59" i="47"/>
  <c r="I147" i="47"/>
  <c r="U59" i="47"/>
  <c r="J88" i="47"/>
  <c r="I176" i="47"/>
  <c r="U88" i="47"/>
  <c r="J10" i="47"/>
  <c r="U10" i="47"/>
  <c r="I98" i="47"/>
  <c r="J12" i="46"/>
  <c r="V12" i="46" s="1"/>
  <c r="J34" i="46" s="1"/>
  <c r="U12" i="46"/>
  <c r="I34" i="46" s="1"/>
  <c r="J29" i="47"/>
  <c r="I117" i="47"/>
  <c r="I120" i="47" s="1"/>
  <c r="O85" i="50" s="1"/>
  <c r="O88" i="50" s="1"/>
  <c r="U29" i="47"/>
  <c r="J47" i="47"/>
  <c r="I135" i="47"/>
  <c r="U47" i="47"/>
  <c r="J68" i="47"/>
  <c r="U68" i="47"/>
  <c r="I156" i="47"/>
  <c r="J35" i="45"/>
  <c r="I69" i="45"/>
  <c r="U35" i="45"/>
  <c r="K65" i="45"/>
  <c r="W31" i="45"/>
  <c r="W12" i="47"/>
  <c r="K100" i="47"/>
  <c r="K155" i="47"/>
  <c r="W67" i="47"/>
  <c r="K132" i="47"/>
  <c r="W44" i="47"/>
  <c r="J11" i="45"/>
  <c r="U11" i="45"/>
  <c r="I45" i="45"/>
  <c r="J11" i="47"/>
  <c r="I99" i="47"/>
  <c r="U11" i="47"/>
  <c r="J29" i="45"/>
  <c r="I63" i="45"/>
  <c r="U29" i="45"/>
  <c r="J10" i="46"/>
  <c r="V10" i="46" s="1"/>
  <c r="J32" i="46" s="1"/>
  <c r="U10" i="46"/>
  <c r="I32" i="46" s="1"/>
  <c r="J34" i="45"/>
  <c r="I68" i="45"/>
  <c r="U34" i="45"/>
  <c r="F133" i="47"/>
  <c r="R45" i="47"/>
  <c r="F66" i="45"/>
  <c r="R32" i="45"/>
  <c r="F101" i="47"/>
  <c r="R13" i="47"/>
  <c r="K66" i="45"/>
  <c r="W32" i="45"/>
  <c r="K133" i="47"/>
  <c r="W45" i="47"/>
  <c r="K101" i="47"/>
  <c r="W13" i="47"/>
  <c r="J64" i="47"/>
  <c r="U64" i="47"/>
  <c r="U69" i="47" s="1"/>
  <c r="F135" i="50" s="1"/>
  <c r="F138" i="50" s="1"/>
  <c r="I152" i="47"/>
  <c r="J51" i="47"/>
  <c r="V51" i="47" s="1"/>
  <c r="U51" i="47"/>
  <c r="F58" i="45"/>
  <c r="R24" i="45"/>
  <c r="F118" i="47"/>
  <c r="R30" i="47"/>
  <c r="F147" i="47"/>
  <c r="R59" i="47"/>
  <c r="F176" i="47"/>
  <c r="R88" i="47"/>
  <c r="F140" i="47"/>
  <c r="R52" i="47"/>
  <c r="K58" i="45"/>
  <c r="W24" i="45"/>
  <c r="W52" i="47"/>
  <c r="W55" i="47" s="1"/>
  <c r="H115" i="50" s="1"/>
  <c r="H118" i="50" s="1"/>
  <c r="K140" i="47"/>
  <c r="K143" i="47" s="1"/>
  <c r="Q115" i="50" s="1"/>
  <c r="Q118" i="50" s="1"/>
  <c r="K118" i="47"/>
  <c r="W30" i="47"/>
  <c r="K147" i="47"/>
  <c r="W59" i="47"/>
  <c r="K176" i="47"/>
  <c r="W88" i="47"/>
  <c r="F98" i="47"/>
  <c r="R10" i="47"/>
  <c r="K44" i="45"/>
  <c r="W10" i="45"/>
  <c r="K98" i="47"/>
  <c r="W10" i="47"/>
  <c r="F57" i="45"/>
  <c r="F59" i="45" s="1"/>
  <c r="L14" i="50" s="1"/>
  <c r="L17" i="50" s="1"/>
  <c r="R23" i="45"/>
  <c r="R25" i="45" s="1"/>
  <c r="C14" i="50" s="1"/>
  <c r="C17" i="50" s="1"/>
  <c r="F38" i="46"/>
  <c r="F41" i="46" s="1"/>
  <c r="L44" i="50" s="1"/>
  <c r="L47" i="50" s="1"/>
  <c r="R19" i="46"/>
  <c r="C44" i="50" s="1"/>
  <c r="C47" i="50" s="1"/>
  <c r="F111" i="47"/>
  <c r="R23" i="47"/>
  <c r="F123" i="47"/>
  <c r="F126" i="47" s="1"/>
  <c r="L95" i="50" s="1"/>
  <c r="L98" i="50" s="1"/>
  <c r="R35" i="47"/>
  <c r="F146" i="47"/>
  <c r="R58" i="47"/>
  <c r="F175" i="47"/>
  <c r="F178" i="47" s="1"/>
  <c r="L155" i="50" s="1"/>
  <c r="L158" i="50" s="1"/>
  <c r="R87" i="47"/>
  <c r="R90" i="47" s="1"/>
  <c r="C155" i="50" s="1"/>
  <c r="C158" i="50" s="1"/>
  <c r="K57" i="45"/>
  <c r="W23" i="45"/>
  <c r="K111" i="47"/>
  <c r="W23" i="47"/>
  <c r="K123" i="47"/>
  <c r="W35" i="47"/>
  <c r="K146" i="47"/>
  <c r="K149" i="47" s="1"/>
  <c r="Q125" i="50" s="1"/>
  <c r="Q128" i="50" s="1"/>
  <c r="W58" i="47"/>
  <c r="W61" i="47" s="1"/>
  <c r="H125" i="50" s="1"/>
  <c r="H128" i="50" s="1"/>
  <c r="K175" i="47"/>
  <c r="W87" i="47"/>
  <c r="J15" i="45"/>
  <c r="U15" i="45"/>
  <c r="I49" i="45"/>
  <c r="J15" i="47"/>
  <c r="I103" i="47"/>
  <c r="U15" i="47"/>
  <c r="R15" i="47"/>
  <c r="F103" i="47"/>
  <c r="W15" i="47"/>
  <c r="K103" i="47"/>
  <c r="F43" i="45"/>
  <c r="R9" i="45"/>
  <c r="F161" i="47"/>
  <c r="R73" i="47"/>
  <c r="E58" i="45"/>
  <c r="Q24" i="45"/>
  <c r="E140" i="47"/>
  <c r="E143" i="47" s="1"/>
  <c r="K115" i="50" s="1"/>
  <c r="K118" i="50" s="1"/>
  <c r="Q52" i="47"/>
  <c r="Q55" i="47" s="1"/>
  <c r="B115" i="50" s="1"/>
  <c r="B118" i="50" s="1"/>
  <c r="E118" i="47"/>
  <c r="Q30" i="47"/>
  <c r="E147" i="47"/>
  <c r="Q59" i="47"/>
  <c r="E176" i="47"/>
  <c r="Q88" i="47"/>
  <c r="E57" i="45"/>
  <c r="E59" i="45" s="1"/>
  <c r="K14" i="50" s="1"/>
  <c r="K17" i="50" s="1"/>
  <c r="Q23" i="45"/>
  <c r="Q25" i="45" s="1"/>
  <c r="B14" i="50" s="1"/>
  <c r="B17" i="50" s="1"/>
  <c r="E111" i="47"/>
  <c r="E114" i="47" s="1"/>
  <c r="K75" i="50" s="1"/>
  <c r="K78" i="50" s="1"/>
  <c r="Q23" i="47"/>
  <c r="Q26" i="47" s="1"/>
  <c r="B75" i="50" s="1"/>
  <c r="B78" i="50" s="1"/>
  <c r="E123" i="47"/>
  <c r="E126" i="47" s="1"/>
  <c r="K95" i="50" s="1"/>
  <c r="K98" i="50" s="1"/>
  <c r="Q35" i="47"/>
  <c r="Q38" i="47" s="1"/>
  <c r="B95" i="50" s="1"/>
  <c r="B98" i="50" s="1"/>
  <c r="E146" i="47"/>
  <c r="Q58" i="47"/>
  <c r="E175" i="47"/>
  <c r="E178" i="47" s="1"/>
  <c r="K155" i="50" s="1"/>
  <c r="K158" i="50" s="1"/>
  <c r="Q87" i="47"/>
  <c r="Q90" i="47" s="1"/>
  <c r="B155" i="50" s="1"/>
  <c r="B158" i="50" s="1"/>
  <c r="E38" i="46"/>
  <c r="E41" i="46" s="1"/>
  <c r="K44" i="50" s="1"/>
  <c r="K47" i="50" s="1"/>
  <c r="Q19" i="46"/>
  <c r="B44" i="50" s="1"/>
  <c r="B47" i="50" s="1"/>
  <c r="F48" i="45"/>
  <c r="R14" i="45"/>
  <c r="F166" i="47"/>
  <c r="R78" i="47"/>
  <c r="K166" i="47"/>
  <c r="W78" i="47"/>
  <c r="J43" i="47"/>
  <c r="I131" i="47"/>
  <c r="U43" i="47"/>
  <c r="F65" i="45"/>
  <c r="R31" i="45"/>
  <c r="R54" i="47"/>
  <c r="F142" i="47"/>
  <c r="F30" i="46"/>
  <c r="F35" i="46" s="1"/>
  <c r="R13" i="46"/>
  <c r="R12" i="47"/>
  <c r="F100" i="47"/>
  <c r="M78" i="47"/>
  <c r="S78" i="47"/>
  <c r="G166" i="47"/>
  <c r="L48" i="45"/>
  <c r="X14" i="45"/>
  <c r="L166" i="47"/>
  <c r="X78" i="47"/>
  <c r="H64" i="45"/>
  <c r="T30" i="45"/>
  <c r="M12" i="45"/>
  <c r="S12" i="45"/>
  <c r="G46" i="45"/>
  <c r="M8" i="46"/>
  <c r="Y8" i="46" s="1"/>
  <c r="S8" i="46"/>
  <c r="M12" i="47"/>
  <c r="G100" i="47"/>
  <c r="S12" i="47"/>
  <c r="M44" i="47"/>
  <c r="G132" i="47"/>
  <c r="S44" i="47"/>
  <c r="M76" i="47"/>
  <c r="S76" i="47"/>
  <c r="G164" i="47"/>
  <c r="L164" i="47"/>
  <c r="X76" i="47"/>
  <c r="L30" i="46"/>
  <c r="L35" i="46" s="1"/>
  <c r="X13" i="46"/>
  <c r="L142" i="47"/>
  <c r="X54" i="47"/>
  <c r="H45" i="45"/>
  <c r="T11" i="45"/>
  <c r="H163" i="47"/>
  <c r="T75" i="47"/>
  <c r="H63" i="45"/>
  <c r="T29" i="45"/>
  <c r="H130" i="47"/>
  <c r="T42" i="47"/>
  <c r="H67" i="45"/>
  <c r="T33" i="45"/>
  <c r="M32" i="45"/>
  <c r="G66" i="45"/>
  <c r="S32" i="45"/>
  <c r="M13" i="47"/>
  <c r="G101" i="47"/>
  <c r="S13" i="47"/>
  <c r="M77" i="47"/>
  <c r="S77" i="47"/>
  <c r="G165" i="47"/>
  <c r="L101" i="47"/>
  <c r="X13" i="47"/>
  <c r="X77" i="47"/>
  <c r="L165" i="47"/>
  <c r="H44" i="46"/>
  <c r="H47" i="46" s="1"/>
  <c r="N54" i="50" s="1"/>
  <c r="N57" i="50" s="1"/>
  <c r="T25" i="46"/>
  <c r="E54" i="50" s="1"/>
  <c r="E57" i="50" s="1"/>
  <c r="H152" i="47"/>
  <c r="T64" i="47"/>
  <c r="M24" i="45"/>
  <c r="G58" i="45"/>
  <c r="S24" i="45"/>
  <c r="M52" i="47"/>
  <c r="G140" i="47"/>
  <c r="S52" i="47"/>
  <c r="M30" i="47"/>
  <c r="G118" i="47"/>
  <c r="S30" i="47"/>
  <c r="M59" i="47"/>
  <c r="G147" i="47"/>
  <c r="S59" i="47"/>
  <c r="M88" i="47"/>
  <c r="G176" i="47"/>
  <c r="S88" i="47"/>
  <c r="L58" i="45"/>
  <c r="X24" i="45"/>
  <c r="L118" i="47"/>
  <c r="X30" i="47"/>
  <c r="L147" i="47"/>
  <c r="X59" i="47"/>
  <c r="L176" i="47"/>
  <c r="X88" i="47"/>
  <c r="L140" i="47"/>
  <c r="L143" i="47" s="1"/>
  <c r="R115" i="50" s="1"/>
  <c r="R118" i="50" s="1"/>
  <c r="X52" i="47"/>
  <c r="X55" i="47" s="1"/>
  <c r="I115" i="50" s="1"/>
  <c r="I118" i="50" s="1"/>
  <c r="M10" i="47"/>
  <c r="S10" i="47"/>
  <c r="G98" i="47"/>
  <c r="L44" i="45"/>
  <c r="X10" i="45"/>
  <c r="L162" i="47"/>
  <c r="X74" i="47"/>
  <c r="M23" i="45"/>
  <c r="G57" i="45"/>
  <c r="G59" i="45" s="1"/>
  <c r="M14" i="50" s="1"/>
  <c r="M17" i="50" s="1"/>
  <c r="S23" i="45"/>
  <c r="S25" i="45" s="1"/>
  <c r="D14" i="50" s="1"/>
  <c r="D17" i="50" s="1"/>
  <c r="M23" i="47"/>
  <c r="G111" i="47"/>
  <c r="G114" i="47" s="1"/>
  <c r="M75" i="50" s="1"/>
  <c r="M78" i="50" s="1"/>
  <c r="S23" i="47"/>
  <c r="S26" i="47" s="1"/>
  <c r="D75" i="50" s="1"/>
  <c r="D78" i="50" s="1"/>
  <c r="M35" i="47"/>
  <c r="G123" i="47"/>
  <c r="G126" i="47" s="1"/>
  <c r="M95" i="50" s="1"/>
  <c r="M98" i="50" s="1"/>
  <c r="S35" i="47"/>
  <c r="S38" i="47" s="1"/>
  <c r="D95" i="50" s="1"/>
  <c r="D98" i="50" s="1"/>
  <c r="M58" i="47"/>
  <c r="G146" i="47"/>
  <c r="G149" i="47" s="1"/>
  <c r="M125" i="50" s="1"/>
  <c r="M128" i="50" s="1"/>
  <c r="S58" i="47"/>
  <c r="S61" i="47" s="1"/>
  <c r="D125" i="50" s="1"/>
  <c r="D128" i="50" s="1"/>
  <c r="M87" i="47"/>
  <c r="G175" i="47"/>
  <c r="G178" i="47" s="1"/>
  <c r="M155" i="50" s="1"/>
  <c r="M158" i="50" s="1"/>
  <c r="S87" i="47"/>
  <c r="S90" i="47" s="1"/>
  <c r="D155" i="50" s="1"/>
  <c r="D158" i="50" s="1"/>
  <c r="M16" i="46"/>
  <c r="Y16" i="46" s="1"/>
  <c r="S16" i="46"/>
  <c r="L111" i="47"/>
  <c r="L114" i="47" s="1"/>
  <c r="R75" i="50" s="1"/>
  <c r="R78" i="50" s="1"/>
  <c r="X23" i="47"/>
  <c r="L123" i="47"/>
  <c r="X35" i="47"/>
  <c r="L146" i="47"/>
  <c r="L149" i="47" s="1"/>
  <c r="R125" i="50" s="1"/>
  <c r="R128" i="50" s="1"/>
  <c r="X58" i="47"/>
  <c r="X61" i="47" s="1"/>
  <c r="I125" i="50" s="1"/>
  <c r="I128" i="50" s="1"/>
  <c r="L175" i="47"/>
  <c r="L178" i="47" s="1"/>
  <c r="R155" i="50" s="1"/>
  <c r="R158" i="50" s="1"/>
  <c r="X87" i="47"/>
  <c r="X90" i="47" s="1"/>
  <c r="I155" i="50" s="1"/>
  <c r="I158" i="50" s="1"/>
  <c r="H46" i="45"/>
  <c r="T12" i="45"/>
  <c r="H132" i="47"/>
  <c r="T44" i="47"/>
  <c r="H164" i="47"/>
  <c r="T76" i="47"/>
  <c r="H155" i="47"/>
  <c r="T67" i="47"/>
  <c r="M75" i="47"/>
  <c r="S75" i="47"/>
  <c r="G163" i="47"/>
  <c r="X11" i="45"/>
  <c r="L45" i="45"/>
  <c r="L99" i="47"/>
  <c r="X11" i="47"/>
  <c r="M29" i="45"/>
  <c r="G63" i="45"/>
  <c r="S29" i="45"/>
  <c r="M10" i="46"/>
  <c r="Y10" i="46" s="1"/>
  <c r="M32" i="46" s="1"/>
  <c r="S10" i="46"/>
  <c r="G32" i="46" s="1"/>
  <c r="L63" i="45"/>
  <c r="L70" i="45" s="1"/>
  <c r="R24" i="50" s="1"/>
  <c r="R27" i="50" s="1"/>
  <c r="X29" i="45"/>
  <c r="X42" i="47"/>
  <c r="L130" i="47"/>
  <c r="M34" i="45"/>
  <c r="G68" i="45"/>
  <c r="S34" i="45"/>
  <c r="L68" i="45"/>
  <c r="X34" i="45"/>
  <c r="H47" i="45"/>
  <c r="T13" i="45"/>
  <c r="H165" i="47"/>
  <c r="T77" i="47"/>
  <c r="M22" i="46"/>
  <c r="Y22" i="46" s="1"/>
  <c r="S22" i="46"/>
  <c r="L44" i="46"/>
  <c r="L47" i="46" s="1"/>
  <c r="R54" i="50" s="1"/>
  <c r="R57" i="50" s="1"/>
  <c r="X25" i="46"/>
  <c r="I54" i="50" s="1"/>
  <c r="I57" i="50" s="1"/>
  <c r="H112" i="47"/>
  <c r="T24" i="47"/>
  <c r="H124" i="47"/>
  <c r="T36" i="47"/>
  <c r="H153" i="47"/>
  <c r="T65" i="47"/>
  <c r="H44" i="45"/>
  <c r="T10" i="45"/>
  <c r="H162" i="47"/>
  <c r="T74" i="47"/>
  <c r="H57" i="45"/>
  <c r="T23" i="45"/>
  <c r="T25" i="45" s="1"/>
  <c r="E14" i="50" s="1"/>
  <c r="E17" i="50" s="1"/>
  <c r="H38" i="46"/>
  <c r="H41" i="46" s="1"/>
  <c r="N44" i="50" s="1"/>
  <c r="N47" i="50" s="1"/>
  <c r="T19" i="46"/>
  <c r="E44" i="50" s="1"/>
  <c r="E47" i="50" s="1"/>
  <c r="H111" i="47"/>
  <c r="T23" i="47"/>
  <c r="H123" i="47"/>
  <c r="T35" i="47"/>
  <c r="T38" i="47" s="1"/>
  <c r="E95" i="50" s="1"/>
  <c r="E98" i="50" s="1"/>
  <c r="H146" i="47"/>
  <c r="T58" i="47"/>
  <c r="H175" i="47"/>
  <c r="T87" i="47"/>
  <c r="M79" i="47"/>
  <c r="S79" i="47"/>
  <c r="G167" i="47"/>
  <c r="X15" i="45"/>
  <c r="X20" i="45" s="1"/>
  <c r="L49" i="45"/>
  <c r="L103" i="47"/>
  <c r="X15" i="47"/>
  <c r="T15" i="47"/>
  <c r="H103" i="47"/>
  <c r="M9" i="47"/>
  <c r="G97" i="47"/>
  <c r="S9" i="47"/>
  <c r="Q64" i="47"/>
  <c r="E152" i="47"/>
  <c r="E64" i="45"/>
  <c r="Q30" i="45"/>
  <c r="Q11" i="45"/>
  <c r="E45" i="45"/>
  <c r="E99" i="47"/>
  <c r="Q11" i="47"/>
  <c r="E63" i="45"/>
  <c r="Q29" i="45"/>
  <c r="E68" i="45"/>
  <c r="Q34" i="45"/>
  <c r="Q78" i="47"/>
  <c r="E166" i="47"/>
  <c r="Q12" i="45"/>
  <c r="E46" i="45"/>
  <c r="E30" i="46"/>
  <c r="E35" i="46" s="1"/>
  <c r="Q13" i="46"/>
  <c r="E100" i="47"/>
  <c r="Q12" i="47"/>
  <c r="E132" i="47"/>
  <c r="Q44" i="47"/>
  <c r="Q76" i="47"/>
  <c r="E164" i="47"/>
  <c r="W20" i="45"/>
  <c r="B98" i="24"/>
  <c r="B97" i="24"/>
  <c r="B132" i="24"/>
  <c r="C102" i="24" s="1"/>
  <c r="A132" i="24"/>
  <c r="B102" i="24" s="1"/>
  <c r="B130" i="24"/>
  <c r="C100" i="24" s="1"/>
  <c r="A130" i="24"/>
  <c r="B100" i="24" s="1"/>
  <c r="F157" i="47" l="1"/>
  <c r="L135" i="50" s="1"/>
  <c r="L138" i="50" s="1"/>
  <c r="T20" i="45"/>
  <c r="F149" i="47"/>
  <c r="L125" i="50" s="1"/>
  <c r="L128" i="50" s="1"/>
  <c r="T20" i="47"/>
  <c r="T90" i="47"/>
  <c r="E155" i="50" s="1"/>
  <c r="E158" i="50" s="1"/>
  <c r="L126" i="47"/>
  <c r="R95" i="50" s="1"/>
  <c r="R98" i="50" s="1"/>
  <c r="K172" i="47"/>
  <c r="Q145" i="50" s="1"/>
  <c r="Q148" i="50" s="1"/>
  <c r="K114" i="47"/>
  <c r="Q75" i="50" s="1"/>
  <c r="Q78" i="50" s="1"/>
  <c r="I70" i="45"/>
  <c r="O24" i="50" s="1"/>
  <c r="O27" i="50" s="1"/>
  <c r="S20" i="47"/>
  <c r="T84" i="47"/>
  <c r="E145" i="50" s="1"/>
  <c r="E148" i="50" s="1"/>
  <c r="X48" i="47"/>
  <c r="I105" i="50" s="1"/>
  <c r="I108" i="50" s="1"/>
  <c r="X84" i="47"/>
  <c r="I145" i="50" s="1"/>
  <c r="I148" i="50" s="1"/>
  <c r="H172" i="47"/>
  <c r="N145" i="50" s="1"/>
  <c r="N148" i="50" s="1"/>
  <c r="R61" i="47"/>
  <c r="C125" i="50" s="1"/>
  <c r="C128" i="50" s="1"/>
  <c r="T26" i="47"/>
  <c r="E75" i="50" s="1"/>
  <c r="E78" i="50" s="1"/>
  <c r="K126" i="47"/>
  <c r="Q95" i="50" s="1"/>
  <c r="Q98" i="50" s="1"/>
  <c r="H114" i="47"/>
  <c r="N75" i="50" s="1"/>
  <c r="N78" i="50" s="1"/>
  <c r="Q61" i="47"/>
  <c r="B125" i="50" s="1"/>
  <c r="B128" i="50" s="1"/>
  <c r="W90" i="47"/>
  <c r="H155" i="50" s="1"/>
  <c r="H158" i="50" s="1"/>
  <c r="W25" i="45"/>
  <c r="H14" i="50" s="1"/>
  <c r="H17" i="50" s="1"/>
  <c r="U32" i="47"/>
  <c r="F85" i="50" s="1"/>
  <c r="F88" i="50" s="1"/>
  <c r="X69" i="47"/>
  <c r="I135" i="50" s="1"/>
  <c r="I138" i="50" s="1"/>
  <c r="H126" i="47"/>
  <c r="N95" i="50" s="1"/>
  <c r="N98" i="50" s="1"/>
  <c r="E157" i="47"/>
  <c r="K135" i="50" s="1"/>
  <c r="K138" i="50" s="1"/>
  <c r="T61" i="47"/>
  <c r="E125" i="50" s="1"/>
  <c r="E128" i="50" s="1"/>
  <c r="G70" i="45"/>
  <c r="M24" i="50" s="1"/>
  <c r="M27" i="50" s="1"/>
  <c r="E149" i="47"/>
  <c r="K125" i="50" s="1"/>
  <c r="K128" i="50" s="1"/>
  <c r="K178" i="47"/>
  <c r="Q155" i="50" s="1"/>
  <c r="Q158" i="50" s="1"/>
  <c r="K59" i="45"/>
  <c r="Q14" i="50" s="1"/>
  <c r="Q17" i="50" s="1"/>
  <c r="F114" i="47"/>
  <c r="L75" i="50" s="1"/>
  <c r="L78" i="50" s="1"/>
  <c r="K54" i="45"/>
  <c r="Q4" i="50" s="1"/>
  <c r="H143" i="47"/>
  <c r="N115" i="50" s="1"/>
  <c r="N118" i="50" s="1"/>
  <c r="W84" i="47"/>
  <c r="H145" i="50" s="1"/>
  <c r="H148" i="50" s="1"/>
  <c r="U26" i="47"/>
  <c r="F75" i="50" s="1"/>
  <c r="F78" i="50" s="1"/>
  <c r="Q69" i="47"/>
  <c r="B135" i="50" s="1"/>
  <c r="B138" i="50" s="1"/>
  <c r="H108" i="47"/>
  <c r="H178" i="47"/>
  <c r="N155" i="50" s="1"/>
  <c r="N158" i="50" s="1"/>
  <c r="H149" i="47"/>
  <c r="N125" i="50" s="1"/>
  <c r="N128" i="50" s="1"/>
  <c r="H59" i="45"/>
  <c r="N14" i="50" s="1"/>
  <c r="N17" i="50" s="1"/>
  <c r="L136" i="47"/>
  <c r="R105" i="50" s="1"/>
  <c r="R108" i="50" s="1"/>
  <c r="X38" i="47"/>
  <c r="I95" i="50" s="1"/>
  <c r="I98" i="50" s="1"/>
  <c r="X26" i="47"/>
  <c r="I75" i="50" s="1"/>
  <c r="I78" i="50" s="1"/>
  <c r="G143" i="47"/>
  <c r="M115" i="50" s="1"/>
  <c r="M118" i="50" s="1"/>
  <c r="W38" i="47"/>
  <c r="H95" i="50" s="1"/>
  <c r="H98" i="50" s="1"/>
  <c r="W26" i="47"/>
  <c r="H75" i="50" s="1"/>
  <c r="H78" i="50" s="1"/>
  <c r="R38" i="47"/>
  <c r="C95" i="50" s="1"/>
  <c r="C98" i="50" s="1"/>
  <c r="R26" i="47"/>
  <c r="C75" i="50" s="1"/>
  <c r="C78" i="50" s="1"/>
  <c r="I157" i="47"/>
  <c r="O135" i="50" s="1"/>
  <c r="O138" i="50" s="1"/>
  <c r="L157" i="47"/>
  <c r="R135" i="50" s="1"/>
  <c r="R138" i="50" s="1"/>
  <c r="G157" i="47"/>
  <c r="M135" i="50" s="1"/>
  <c r="M138" i="50" s="1"/>
  <c r="X20" i="47"/>
  <c r="I65" i="50" s="1"/>
  <c r="I68" i="50" s="1"/>
  <c r="H54" i="45"/>
  <c r="N4" i="50" s="1"/>
  <c r="G108" i="47"/>
  <c r="L172" i="47"/>
  <c r="R145" i="50" s="1"/>
  <c r="R148" i="50" s="1"/>
  <c r="U55" i="47"/>
  <c r="F115" i="50" s="1"/>
  <c r="F118" i="50" s="1"/>
  <c r="I143" i="47"/>
  <c r="O115" i="50" s="1"/>
  <c r="O118" i="50" s="1"/>
  <c r="L108" i="47"/>
  <c r="R65" i="50" s="1"/>
  <c r="R68" i="50" s="1"/>
  <c r="L54" i="45"/>
  <c r="W20" i="47"/>
  <c r="H65" i="50" s="1"/>
  <c r="H68" i="50" s="1"/>
  <c r="R55" i="47"/>
  <c r="C115" i="50" s="1"/>
  <c r="C118" i="50" s="1"/>
  <c r="E4" i="50"/>
  <c r="N65" i="50"/>
  <c r="N68" i="50" s="1"/>
  <c r="R4" i="50"/>
  <c r="B34" i="50"/>
  <c r="B37" i="50" s="1"/>
  <c r="Q26" i="46"/>
  <c r="D65" i="50"/>
  <c r="D68" i="50" s="1"/>
  <c r="M97" i="47"/>
  <c r="Y9" i="47"/>
  <c r="G44" i="46"/>
  <c r="G47" i="46" s="1"/>
  <c r="M54" i="50" s="1"/>
  <c r="M57" i="50" s="1"/>
  <c r="S25" i="46"/>
  <c r="D54" i="50" s="1"/>
  <c r="D57" i="50" s="1"/>
  <c r="M68" i="45"/>
  <c r="Y34" i="45"/>
  <c r="M163" i="47"/>
  <c r="Y75" i="47"/>
  <c r="Y19" i="46"/>
  <c r="J44" i="50" s="1"/>
  <c r="J47" i="50" s="1"/>
  <c r="M38" i="46"/>
  <c r="M41" i="46" s="1"/>
  <c r="S44" i="50" s="1"/>
  <c r="S47" i="50" s="1"/>
  <c r="M146" i="47"/>
  <c r="Y58" i="47"/>
  <c r="M111" i="47"/>
  <c r="Y23" i="47"/>
  <c r="Y10" i="47"/>
  <c r="M98" i="47"/>
  <c r="M147" i="47"/>
  <c r="Y59" i="47"/>
  <c r="M140" i="47"/>
  <c r="Y52" i="47"/>
  <c r="M165" i="47"/>
  <c r="Y77" i="47"/>
  <c r="M66" i="45"/>
  <c r="Y32" i="45"/>
  <c r="R34" i="50"/>
  <c r="R37" i="50" s="1"/>
  <c r="L48" i="46"/>
  <c r="M132" i="47"/>
  <c r="Y44" i="47"/>
  <c r="G30" i="46"/>
  <c r="G35" i="46" s="1"/>
  <c r="S13" i="46"/>
  <c r="M46" i="45"/>
  <c r="Y12" i="45"/>
  <c r="C34" i="50"/>
  <c r="C37" i="50" s="1"/>
  <c r="R26" i="46"/>
  <c r="J131" i="47"/>
  <c r="V43" i="47"/>
  <c r="J49" i="45"/>
  <c r="V15" i="45"/>
  <c r="V34" i="45"/>
  <c r="J68" i="45"/>
  <c r="J99" i="47"/>
  <c r="V11" i="47"/>
  <c r="J69" i="45"/>
  <c r="V35" i="45"/>
  <c r="J135" i="47"/>
  <c r="V47" i="47"/>
  <c r="J98" i="47"/>
  <c r="V10" i="47"/>
  <c r="J147" i="47"/>
  <c r="V59" i="47"/>
  <c r="V52" i="47"/>
  <c r="J140" i="47"/>
  <c r="J165" i="47"/>
  <c r="V77" i="47"/>
  <c r="V32" i="45"/>
  <c r="J66" i="45"/>
  <c r="J65" i="45"/>
  <c r="V31" i="45"/>
  <c r="I30" i="46"/>
  <c r="I35" i="46" s="1"/>
  <c r="U13" i="46"/>
  <c r="J102" i="47"/>
  <c r="V14" i="47"/>
  <c r="M64" i="45"/>
  <c r="Y30" i="45"/>
  <c r="M43" i="45"/>
  <c r="Y9" i="45"/>
  <c r="M49" i="45"/>
  <c r="Y15" i="45"/>
  <c r="M67" i="45"/>
  <c r="Y33" i="45"/>
  <c r="M99" i="47"/>
  <c r="Y11" i="47"/>
  <c r="T26" i="46"/>
  <c r="E34" i="50"/>
  <c r="E37" i="50" s="1"/>
  <c r="M69" i="45"/>
  <c r="Y35" i="45"/>
  <c r="Y47" i="47"/>
  <c r="M135" i="47"/>
  <c r="M162" i="47"/>
  <c r="Y74" i="47"/>
  <c r="M153" i="47"/>
  <c r="Y65" i="47"/>
  <c r="M112" i="47"/>
  <c r="Y24" i="47"/>
  <c r="M47" i="45"/>
  <c r="Y13" i="45"/>
  <c r="M155" i="47"/>
  <c r="Y67" i="47"/>
  <c r="Y14" i="47"/>
  <c r="M102" i="47"/>
  <c r="V30" i="45"/>
  <c r="J64" i="45"/>
  <c r="I44" i="46"/>
  <c r="I47" i="46" s="1"/>
  <c r="O54" i="50" s="1"/>
  <c r="O57" i="50" s="1"/>
  <c r="U25" i="46"/>
  <c r="F54" i="50" s="1"/>
  <c r="F57" i="50" s="1"/>
  <c r="J67" i="45"/>
  <c r="V33" i="45"/>
  <c r="J163" i="47"/>
  <c r="V75" i="47"/>
  <c r="Q34" i="50"/>
  <c r="Q37" i="50" s="1"/>
  <c r="K48" i="46"/>
  <c r="J38" i="46"/>
  <c r="J41" i="46" s="1"/>
  <c r="P44" i="50" s="1"/>
  <c r="P47" i="50" s="1"/>
  <c r="V19" i="46"/>
  <c r="G44" i="50" s="1"/>
  <c r="G47" i="50" s="1"/>
  <c r="J146" i="47"/>
  <c r="V58" i="47"/>
  <c r="V23" i="47"/>
  <c r="J111" i="47"/>
  <c r="V74" i="47"/>
  <c r="J162" i="47"/>
  <c r="J153" i="47"/>
  <c r="V65" i="47"/>
  <c r="J112" i="47"/>
  <c r="V24" i="47"/>
  <c r="J47" i="45"/>
  <c r="V13" i="45"/>
  <c r="V44" i="47"/>
  <c r="J132" i="47"/>
  <c r="V12" i="45"/>
  <c r="J46" i="45"/>
  <c r="Y43" i="47"/>
  <c r="M131" i="47"/>
  <c r="J43" i="45"/>
  <c r="V9" i="45"/>
  <c r="Q36" i="45"/>
  <c r="B24" i="50" s="1"/>
  <c r="B27" i="50" s="1"/>
  <c r="T69" i="47"/>
  <c r="E135" i="50" s="1"/>
  <c r="E138" i="50" s="1"/>
  <c r="H136" i="47"/>
  <c r="N105" i="50" s="1"/>
  <c r="N108" i="50" s="1"/>
  <c r="H70" i="45"/>
  <c r="N24" i="50" s="1"/>
  <c r="N27" i="50" s="1"/>
  <c r="F172" i="47"/>
  <c r="L145" i="50" s="1"/>
  <c r="L148" i="50" s="1"/>
  <c r="F54" i="45"/>
  <c r="F143" i="47"/>
  <c r="L115" i="50" s="1"/>
  <c r="L118" i="50" s="1"/>
  <c r="W69" i="47"/>
  <c r="H135" i="50" s="1"/>
  <c r="H138" i="50" s="1"/>
  <c r="I108" i="47"/>
  <c r="E172" i="47"/>
  <c r="K145" i="50" s="1"/>
  <c r="K148" i="50" s="1"/>
  <c r="E54" i="45"/>
  <c r="E136" i="47"/>
  <c r="K105" i="50" s="1"/>
  <c r="K108" i="50" s="1"/>
  <c r="S84" i="47"/>
  <c r="D145" i="50" s="1"/>
  <c r="D148" i="50" s="1"/>
  <c r="G54" i="45"/>
  <c r="G136" i="47"/>
  <c r="M105" i="50" s="1"/>
  <c r="M108" i="50" s="1"/>
  <c r="X32" i="47"/>
  <c r="I85" i="50" s="1"/>
  <c r="I88" i="50" s="1"/>
  <c r="X25" i="45"/>
  <c r="I14" i="50" s="1"/>
  <c r="I17" i="50" s="1"/>
  <c r="G120" i="47"/>
  <c r="M85" i="50" s="1"/>
  <c r="M88" i="50" s="1"/>
  <c r="E120" i="47"/>
  <c r="K85" i="50" s="1"/>
  <c r="K88" i="50" s="1"/>
  <c r="F108" i="47"/>
  <c r="W32" i="47"/>
  <c r="H85" i="50" s="1"/>
  <c r="H88" i="50" s="1"/>
  <c r="R32" i="47"/>
  <c r="C85" i="50" s="1"/>
  <c r="C88" i="50" s="1"/>
  <c r="I136" i="47"/>
  <c r="O105" i="50" s="1"/>
  <c r="O108" i="50" s="1"/>
  <c r="I178" i="47"/>
  <c r="O155" i="50" s="1"/>
  <c r="O158" i="50" s="1"/>
  <c r="U61" i="47"/>
  <c r="F125" i="50" s="1"/>
  <c r="F128" i="50" s="1"/>
  <c r="I59" i="45"/>
  <c r="O14" i="50" s="1"/>
  <c r="O17" i="50" s="1"/>
  <c r="K136" i="47"/>
  <c r="Q105" i="50" s="1"/>
  <c r="Q108" i="50" s="1"/>
  <c r="K70" i="45"/>
  <c r="Q24" i="50" s="1"/>
  <c r="Q27" i="50" s="1"/>
  <c r="F136" i="47"/>
  <c r="L105" i="50" s="1"/>
  <c r="L108" i="50" s="1"/>
  <c r="F70" i="45"/>
  <c r="L24" i="50" s="1"/>
  <c r="L27" i="50" s="1"/>
  <c r="U84" i="47"/>
  <c r="F145" i="50" s="1"/>
  <c r="F148" i="50" s="1"/>
  <c r="I54" i="45"/>
  <c r="E108" i="47"/>
  <c r="I4" i="50"/>
  <c r="Q65" i="50"/>
  <c r="Q68" i="50" s="1"/>
  <c r="H4" i="50"/>
  <c r="E65" i="50"/>
  <c r="E68" i="50" s="1"/>
  <c r="K34" i="50"/>
  <c r="K37" i="50" s="1"/>
  <c r="E48" i="46"/>
  <c r="M65" i="50"/>
  <c r="M68" i="50" s="1"/>
  <c r="M167" i="47"/>
  <c r="Y79" i="47"/>
  <c r="M44" i="46"/>
  <c r="M47" i="46" s="1"/>
  <c r="S54" i="50" s="1"/>
  <c r="S57" i="50" s="1"/>
  <c r="Y25" i="46"/>
  <c r="J54" i="50" s="1"/>
  <c r="J57" i="50" s="1"/>
  <c r="M63" i="45"/>
  <c r="Y29" i="45"/>
  <c r="G38" i="46"/>
  <c r="G41" i="46" s="1"/>
  <c r="M44" i="50" s="1"/>
  <c r="M47" i="50" s="1"/>
  <c r="S19" i="46"/>
  <c r="D44" i="50" s="1"/>
  <c r="D47" i="50" s="1"/>
  <c r="M175" i="47"/>
  <c r="Y87" i="47"/>
  <c r="M123" i="47"/>
  <c r="Y35" i="47"/>
  <c r="Y23" i="45"/>
  <c r="M57" i="45"/>
  <c r="M176" i="47"/>
  <c r="Y88" i="47"/>
  <c r="Y30" i="47"/>
  <c r="M118" i="47"/>
  <c r="M58" i="45"/>
  <c r="Y24" i="45"/>
  <c r="M101" i="47"/>
  <c r="Y13" i="47"/>
  <c r="X26" i="46"/>
  <c r="I34" i="50"/>
  <c r="I37" i="50" s="1"/>
  <c r="M164" i="47"/>
  <c r="Y76" i="47"/>
  <c r="M100" i="47"/>
  <c r="Y12" i="47"/>
  <c r="M30" i="46"/>
  <c r="M35" i="46" s="1"/>
  <c r="Y13" i="46"/>
  <c r="M166" i="47"/>
  <c r="Y78" i="47"/>
  <c r="L34" i="50"/>
  <c r="L37" i="50" s="1"/>
  <c r="F48" i="46"/>
  <c r="J103" i="47"/>
  <c r="V15" i="47"/>
  <c r="V64" i="47"/>
  <c r="J152" i="47"/>
  <c r="J63" i="45"/>
  <c r="V29" i="45"/>
  <c r="J45" i="45"/>
  <c r="V11" i="45"/>
  <c r="V68" i="47"/>
  <c r="J156" i="47"/>
  <c r="J117" i="47"/>
  <c r="V29" i="47"/>
  <c r="V88" i="47"/>
  <c r="J176" i="47"/>
  <c r="J118" i="47"/>
  <c r="V30" i="47"/>
  <c r="J58" i="45"/>
  <c r="V24" i="45"/>
  <c r="V13" i="47"/>
  <c r="J101" i="47"/>
  <c r="V54" i="47"/>
  <c r="J142" i="47"/>
  <c r="J143" i="47" s="1"/>
  <c r="P115" i="50" s="1"/>
  <c r="P118" i="50" s="1"/>
  <c r="J100" i="47"/>
  <c r="V12" i="47"/>
  <c r="J30" i="46"/>
  <c r="J35" i="46" s="1"/>
  <c r="V13" i="46"/>
  <c r="V14" i="45"/>
  <c r="J48" i="45"/>
  <c r="V9" i="47"/>
  <c r="J97" i="47"/>
  <c r="M161" i="47"/>
  <c r="M172" i="47" s="1"/>
  <c r="S145" i="50" s="1"/>
  <c r="S148" i="50" s="1"/>
  <c r="Y73" i="47"/>
  <c r="M103" i="47"/>
  <c r="Y15" i="47"/>
  <c r="M152" i="47"/>
  <c r="Y64" i="47"/>
  <c r="M130" i="47"/>
  <c r="Y42" i="47"/>
  <c r="M45" i="45"/>
  <c r="Y11" i="45"/>
  <c r="N34" i="50"/>
  <c r="N37" i="50" s="1"/>
  <c r="H48" i="46"/>
  <c r="M156" i="47"/>
  <c r="Y68" i="47"/>
  <c r="M117" i="47"/>
  <c r="Y29" i="47"/>
  <c r="M44" i="45"/>
  <c r="Y10" i="45"/>
  <c r="M124" i="47"/>
  <c r="Y36" i="47"/>
  <c r="Y45" i="47"/>
  <c r="M133" i="47"/>
  <c r="M142" i="47"/>
  <c r="Y54" i="47"/>
  <c r="Y55" i="47" s="1"/>
  <c r="J115" i="50" s="1"/>
  <c r="J118" i="50" s="1"/>
  <c r="M65" i="45"/>
  <c r="Y31" i="45"/>
  <c r="M48" i="45"/>
  <c r="Y14" i="45"/>
  <c r="J167" i="47"/>
  <c r="V79" i="47"/>
  <c r="J44" i="46"/>
  <c r="J47" i="46" s="1"/>
  <c r="P54" i="50" s="1"/>
  <c r="P57" i="50" s="1"/>
  <c r="V25" i="46"/>
  <c r="G54" i="50" s="1"/>
  <c r="G57" i="50" s="1"/>
  <c r="V42" i="47"/>
  <c r="J130" i="47"/>
  <c r="H34" i="50"/>
  <c r="H37" i="50" s="1"/>
  <c r="W26" i="46"/>
  <c r="I38" i="46"/>
  <c r="I41" i="46" s="1"/>
  <c r="O44" i="50" s="1"/>
  <c r="O47" i="50" s="1"/>
  <c r="U19" i="46"/>
  <c r="F44" i="50" s="1"/>
  <c r="F47" i="50" s="1"/>
  <c r="J175" i="47"/>
  <c r="V87" i="47"/>
  <c r="V90" i="47" s="1"/>
  <c r="G155" i="50" s="1"/>
  <c r="G158" i="50" s="1"/>
  <c r="V35" i="47"/>
  <c r="J123" i="47"/>
  <c r="J57" i="45"/>
  <c r="J59" i="45" s="1"/>
  <c r="P14" i="50" s="1"/>
  <c r="P17" i="50" s="1"/>
  <c r="V23" i="45"/>
  <c r="V25" i="45" s="1"/>
  <c r="G14" i="50" s="1"/>
  <c r="G17" i="50" s="1"/>
  <c r="V10" i="45"/>
  <c r="J44" i="45"/>
  <c r="J124" i="47"/>
  <c r="V36" i="47"/>
  <c r="J133" i="47"/>
  <c r="V45" i="47"/>
  <c r="V76" i="47"/>
  <c r="J164" i="47"/>
  <c r="J155" i="47"/>
  <c r="V67" i="47"/>
  <c r="V78" i="47"/>
  <c r="J166" i="47"/>
  <c r="J161" i="47"/>
  <c r="V73" i="47"/>
  <c r="E70" i="45"/>
  <c r="K24" i="50" s="1"/>
  <c r="K27" i="50" s="1"/>
  <c r="X36" i="45"/>
  <c r="I24" i="50" s="1"/>
  <c r="I27" i="50" s="1"/>
  <c r="S36" i="45"/>
  <c r="D24" i="50" s="1"/>
  <c r="D27" i="50" s="1"/>
  <c r="H157" i="47"/>
  <c r="N135" i="50" s="1"/>
  <c r="N138" i="50" s="1"/>
  <c r="T48" i="47"/>
  <c r="E105" i="50" s="1"/>
  <c r="E108" i="50" s="1"/>
  <c r="T36" i="45"/>
  <c r="E24" i="50" s="1"/>
  <c r="E27" i="50" s="1"/>
  <c r="R84" i="47"/>
  <c r="C145" i="50" s="1"/>
  <c r="C148" i="50" s="1"/>
  <c r="R20" i="45"/>
  <c r="U36" i="45"/>
  <c r="F24" i="50" s="1"/>
  <c r="F27" i="50" s="1"/>
  <c r="K157" i="47"/>
  <c r="Q135" i="50" s="1"/>
  <c r="Q138" i="50" s="1"/>
  <c r="U20" i="47"/>
  <c r="Q84" i="47"/>
  <c r="B145" i="50" s="1"/>
  <c r="B148" i="50" s="1"/>
  <c r="Q20" i="45"/>
  <c r="Q48" i="47"/>
  <c r="B105" i="50" s="1"/>
  <c r="B108" i="50" s="1"/>
  <c r="G172" i="47"/>
  <c r="M145" i="50" s="1"/>
  <c r="M148" i="50" s="1"/>
  <c r="S20" i="45"/>
  <c r="S55" i="47"/>
  <c r="D115" i="50" s="1"/>
  <c r="D118" i="50" s="1"/>
  <c r="S48" i="47"/>
  <c r="D105" i="50" s="1"/>
  <c r="D108" i="50" s="1"/>
  <c r="L120" i="47"/>
  <c r="R85" i="50" s="1"/>
  <c r="R88" i="50" s="1"/>
  <c r="L59" i="45"/>
  <c r="R14" i="50" s="1"/>
  <c r="R17" i="50" s="1"/>
  <c r="S32" i="47"/>
  <c r="D85" i="50" s="1"/>
  <c r="D88" i="50" s="1"/>
  <c r="Q32" i="47"/>
  <c r="B85" i="50" s="1"/>
  <c r="B88" i="50" s="1"/>
  <c r="R20" i="47"/>
  <c r="K120" i="47"/>
  <c r="Q85" i="50" s="1"/>
  <c r="Q88" i="50" s="1"/>
  <c r="F120" i="47"/>
  <c r="L85" i="50" s="1"/>
  <c r="L88" i="50" s="1"/>
  <c r="U48" i="47"/>
  <c r="F105" i="50" s="1"/>
  <c r="F108" i="50" s="1"/>
  <c r="U90" i="47"/>
  <c r="F155" i="50" s="1"/>
  <c r="F158" i="50" s="1"/>
  <c r="I149" i="47"/>
  <c r="O125" i="50" s="1"/>
  <c r="O128" i="50" s="1"/>
  <c r="U25" i="45"/>
  <c r="F14" i="50" s="1"/>
  <c r="F17" i="50" s="1"/>
  <c r="W48" i="47"/>
  <c r="H105" i="50" s="1"/>
  <c r="H108" i="50" s="1"/>
  <c r="W36" i="45"/>
  <c r="H24" i="50" s="1"/>
  <c r="H27" i="50" s="1"/>
  <c r="R48" i="47"/>
  <c r="C105" i="50" s="1"/>
  <c r="C108" i="50" s="1"/>
  <c r="R36" i="45"/>
  <c r="C24" i="50" s="1"/>
  <c r="C27" i="50" s="1"/>
  <c r="I172" i="47"/>
  <c r="O145" i="50" s="1"/>
  <c r="O148" i="50" s="1"/>
  <c r="U20" i="45"/>
  <c r="Q20" i="47"/>
  <c r="B101" i="24"/>
  <c r="C147" i="24" s="1"/>
  <c r="C47" i="24"/>
  <c r="B47" i="24"/>
  <c r="B41" i="24"/>
  <c r="B45" i="24" s="1"/>
  <c r="C44" i="24"/>
  <c r="J149" i="47" l="1"/>
  <c r="P125" i="50" s="1"/>
  <c r="P128" i="50" s="1"/>
  <c r="Y32" i="47"/>
  <c r="J85" i="50" s="1"/>
  <c r="J88" i="50" s="1"/>
  <c r="V55" i="47"/>
  <c r="G115" i="50" s="1"/>
  <c r="G118" i="50" s="1"/>
  <c r="V36" i="45"/>
  <c r="G24" i="50" s="1"/>
  <c r="G27" i="50" s="1"/>
  <c r="Y84" i="47"/>
  <c r="J145" i="50" s="1"/>
  <c r="J148" i="50" s="1"/>
  <c r="V32" i="47"/>
  <c r="G85" i="50" s="1"/>
  <c r="G88" i="50" s="1"/>
  <c r="M120" i="47"/>
  <c r="S85" i="50" s="1"/>
  <c r="S88" i="50" s="1"/>
  <c r="J70" i="45"/>
  <c r="P24" i="50" s="1"/>
  <c r="P27" i="50" s="1"/>
  <c r="V84" i="47"/>
  <c r="G145" i="50" s="1"/>
  <c r="G148" i="50" s="1"/>
  <c r="V38" i="47"/>
  <c r="G95" i="50" s="1"/>
  <c r="G98" i="50" s="1"/>
  <c r="J126" i="47"/>
  <c r="P95" i="50" s="1"/>
  <c r="P98" i="50" s="1"/>
  <c r="M136" i="47"/>
  <c r="S105" i="50" s="1"/>
  <c r="S108" i="50" s="1"/>
  <c r="J108" i="47"/>
  <c r="P65" i="50" s="1"/>
  <c r="P68" i="50" s="1"/>
  <c r="Y25" i="45"/>
  <c r="J14" i="50" s="1"/>
  <c r="J17" i="50" s="1"/>
  <c r="H7" i="50"/>
  <c r="H101" i="6"/>
  <c r="H104" i="6" s="1"/>
  <c r="I7" i="50"/>
  <c r="I101" i="6"/>
  <c r="I104" i="6" s="1"/>
  <c r="N7" i="50"/>
  <c r="N101" i="6"/>
  <c r="N104" i="6" s="1"/>
  <c r="R7" i="50"/>
  <c r="R101" i="6"/>
  <c r="R104" i="6" s="1"/>
  <c r="E7" i="50"/>
  <c r="E101" i="6"/>
  <c r="E104" i="6" s="1"/>
  <c r="J136" i="47"/>
  <c r="P105" i="50" s="1"/>
  <c r="P108" i="50" s="1"/>
  <c r="Y48" i="47"/>
  <c r="J105" i="50" s="1"/>
  <c r="J108" i="50" s="1"/>
  <c r="M59" i="45"/>
  <c r="S14" i="50" s="1"/>
  <c r="S17" i="50" s="1"/>
  <c r="Q7" i="50"/>
  <c r="Q165" i="50" s="1"/>
  <c r="Q166" i="50" s="1"/>
  <c r="Q101" i="6"/>
  <c r="Q104" i="6" s="1"/>
  <c r="Q92" i="47"/>
  <c r="B65" i="50"/>
  <c r="B68" i="50" s="1"/>
  <c r="S38" i="45"/>
  <c r="D4" i="50"/>
  <c r="C4" i="50"/>
  <c r="R38" i="45"/>
  <c r="G34" i="50"/>
  <c r="G37" i="50" s="1"/>
  <c r="V26" i="46"/>
  <c r="J34" i="50"/>
  <c r="J37" i="50" s="1"/>
  <c r="Y26" i="46"/>
  <c r="K65" i="50"/>
  <c r="K68" i="50" s="1"/>
  <c r="E180" i="47"/>
  <c r="G72" i="45"/>
  <c r="M4" i="50"/>
  <c r="O34" i="50"/>
  <c r="O37" i="50" s="1"/>
  <c r="I48" i="46"/>
  <c r="M34" i="50"/>
  <c r="M37" i="50" s="1"/>
  <c r="G48" i="46"/>
  <c r="Y69" i="47"/>
  <c r="J135" i="50" s="1"/>
  <c r="J138" i="50" s="1"/>
  <c r="J178" i="47"/>
  <c r="P155" i="50" s="1"/>
  <c r="P158" i="50" s="1"/>
  <c r="J157" i="47"/>
  <c r="P135" i="50" s="1"/>
  <c r="P138" i="50" s="1"/>
  <c r="Y38" i="47"/>
  <c r="J95" i="50" s="1"/>
  <c r="J98" i="50" s="1"/>
  <c r="Y90" i="47"/>
  <c r="J155" i="50" s="1"/>
  <c r="J158" i="50" s="1"/>
  <c r="Y36" i="45"/>
  <c r="J24" i="50" s="1"/>
  <c r="J27" i="50" s="1"/>
  <c r="G180" i="47"/>
  <c r="T92" i="47"/>
  <c r="K180" i="47"/>
  <c r="X38" i="45"/>
  <c r="J54" i="45"/>
  <c r="Q170" i="50"/>
  <c r="Q171" i="50" s="1"/>
  <c r="M157" i="47"/>
  <c r="S135" i="50" s="1"/>
  <c r="S138" i="50" s="1"/>
  <c r="M54" i="45"/>
  <c r="R170" i="50"/>
  <c r="R171" i="50" s="1"/>
  <c r="M143" i="47"/>
  <c r="S115" i="50" s="1"/>
  <c r="S118" i="50" s="1"/>
  <c r="M114" i="47"/>
  <c r="S75" i="50" s="1"/>
  <c r="S78" i="50" s="1"/>
  <c r="M149" i="47"/>
  <c r="S125" i="50" s="1"/>
  <c r="S128" i="50" s="1"/>
  <c r="M108" i="47"/>
  <c r="S92" i="47"/>
  <c r="X92" i="47"/>
  <c r="L72" i="45"/>
  <c r="U38" i="45"/>
  <c r="F4" i="50"/>
  <c r="C65" i="50"/>
  <c r="C68" i="50" s="1"/>
  <c r="R92" i="47"/>
  <c r="Q38" i="45"/>
  <c r="B4" i="50"/>
  <c r="U92" i="47"/>
  <c r="F65" i="50"/>
  <c r="F68" i="50" s="1"/>
  <c r="P34" i="50"/>
  <c r="P37" i="50" s="1"/>
  <c r="J48" i="46"/>
  <c r="M48" i="46"/>
  <c r="S34" i="50"/>
  <c r="S37" i="50" s="1"/>
  <c r="I72" i="45"/>
  <c r="O4" i="50"/>
  <c r="L65" i="50"/>
  <c r="L68" i="50" s="1"/>
  <c r="F180" i="47"/>
  <c r="E72" i="45"/>
  <c r="K4" i="50"/>
  <c r="O65" i="50"/>
  <c r="O68" i="50" s="1"/>
  <c r="I180" i="47"/>
  <c r="L4" i="50"/>
  <c r="F72" i="45"/>
  <c r="F34" i="50"/>
  <c r="F37" i="50" s="1"/>
  <c r="U26" i="46"/>
  <c r="D34" i="50"/>
  <c r="D37" i="50" s="1"/>
  <c r="S26" i="46"/>
  <c r="J172" i="47"/>
  <c r="P145" i="50" s="1"/>
  <c r="P148" i="50" s="1"/>
  <c r="V48" i="47"/>
  <c r="G105" i="50" s="1"/>
  <c r="G108" i="50" s="1"/>
  <c r="V20" i="47"/>
  <c r="J120" i="47"/>
  <c r="P85" i="50" s="1"/>
  <c r="P88" i="50" s="1"/>
  <c r="V69" i="47"/>
  <c r="G135" i="50" s="1"/>
  <c r="G138" i="50" s="1"/>
  <c r="M126" i="47"/>
  <c r="S95" i="50" s="1"/>
  <c r="S98" i="50" s="1"/>
  <c r="M178" i="47"/>
  <c r="S155" i="50" s="1"/>
  <c r="S158" i="50" s="1"/>
  <c r="M70" i="45"/>
  <c r="S24" i="50" s="1"/>
  <c r="S27" i="50" s="1"/>
  <c r="W38" i="45"/>
  <c r="V20" i="45"/>
  <c r="V26" i="47"/>
  <c r="G75" i="50" s="1"/>
  <c r="G78" i="50" s="1"/>
  <c r="J114" i="47"/>
  <c r="P75" i="50" s="1"/>
  <c r="P78" i="50" s="1"/>
  <c r="Y20" i="45"/>
  <c r="V61" i="47"/>
  <c r="G125" i="50" s="1"/>
  <c r="G128" i="50" s="1"/>
  <c r="Y26" i="47"/>
  <c r="J75" i="50" s="1"/>
  <c r="J78" i="50" s="1"/>
  <c r="Y61" i="47"/>
  <c r="J125" i="50" s="1"/>
  <c r="J128" i="50" s="1"/>
  <c r="Y20" i="47"/>
  <c r="H72" i="45"/>
  <c r="W92" i="47"/>
  <c r="R165" i="50"/>
  <c r="R166" i="50" s="1"/>
  <c r="L180" i="47"/>
  <c r="H180" i="47"/>
  <c r="K72" i="45"/>
  <c r="T38" i="45"/>
  <c r="C45" i="24"/>
  <c r="C101" i="24"/>
  <c r="D147" i="24" s="1"/>
  <c r="C15" i="27"/>
  <c r="N20" i="27" s="1"/>
  <c r="O20" i="27"/>
  <c r="P20" i="27"/>
  <c r="N21" i="27"/>
  <c r="O21" i="27"/>
  <c r="P21" i="27"/>
  <c r="N22" i="27"/>
  <c r="O22" i="27"/>
  <c r="P22" i="27"/>
  <c r="N23" i="27"/>
  <c r="O23" i="27"/>
  <c r="P23" i="27"/>
  <c r="H24" i="27"/>
  <c r="H20" i="27" s="1"/>
  <c r="N26" i="27"/>
  <c r="O26" i="27"/>
  <c r="P26" i="27"/>
  <c r="N27" i="27"/>
  <c r="O27" i="27"/>
  <c r="P27" i="27"/>
  <c r="N28" i="27"/>
  <c r="O28" i="27"/>
  <c r="P28" i="27"/>
  <c r="N29" i="27"/>
  <c r="O29" i="27"/>
  <c r="P29" i="27"/>
  <c r="N30" i="27"/>
  <c r="O30" i="27"/>
  <c r="P30" i="27"/>
  <c r="H31" i="27"/>
  <c r="H26" i="27" s="1"/>
  <c r="T26" i="27" s="1"/>
  <c r="AB26" i="27" s="1"/>
  <c r="E11" i="26"/>
  <c r="H11" i="26" s="1"/>
  <c r="E12" i="26"/>
  <c r="H12" i="26" s="1"/>
  <c r="AB205" i="3"/>
  <c r="AN205" i="3" s="1"/>
  <c r="Y205" i="3"/>
  <c r="AK205" i="3" s="1"/>
  <c r="X205" i="3"/>
  <c r="W205" i="3"/>
  <c r="AI205" i="3" s="1"/>
  <c r="V205" i="3"/>
  <c r="U205" i="3"/>
  <c r="AG205" i="3" s="1"/>
  <c r="T205" i="3"/>
  <c r="AD205" i="3"/>
  <c r="AP205" i="3" s="1"/>
  <c r="AC205" i="3"/>
  <c r="W145" i="2"/>
  <c r="AA145" i="2"/>
  <c r="X145" i="2"/>
  <c r="V145" i="2"/>
  <c r="T145" i="2"/>
  <c r="S145" i="2"/>
  <c r="S65" i="6"/>
  <c r="R65" i="6"/>
  <c r="Q65" i="6"/>
  <c r="N65" i="6"/>
  <c r="M65" i="6"/>
  <c r="L65" i="6"/>
  <c r="K65" i="6"/>
  <c r="J65" i="6"/>
  <c r="I65" i="6"/>
  <c r="H65" i="6"/>
  <c r="E65" i="6"/>
  <c r="D65" i="6"/>
  <c r="C65" i="6"/>
  <c r="B65" i="6"/>
  <c r="S58" i="6"/>
  <c r="R58" i="6"/>
  <c r="Q58" i="6"/>
  <c r="N58" i="6"/>
  <c r="M58" i="6"/>
  <c r="L58" i="6"/>
  <c r="K58" i="6"/>
  <c r="J58" i="6"/>
  <c r="I58" i="6"/>
  <c r="H58" i="6"/>
  <c r="E58" i="6"/>
  <c r="D58" i="6"/>
  <c r="C58" i="6"/>
  <c r="B58" i="6"/>
  <c r="S51" i="6"/>
  <c r="R51" i="6"/>
  <c r="Q51" i="6"/>
  <c r="N51" i="6"/>
  <c r="M51" i="6"/>
  <c r="L51" i="6"/>
  <c r="K51" i="6"/>
  <c r="J51" i="6"/>
  <c r="I51" i="6"/>
  <c r="H51" i="6"/>
  <c r="E51" i="6"/>
  <c r="D51" i="6"/>
  <c r="C51" i="6"/>
  <c r="B51" i="6"/>
  <c r="S44" i="6"/>
  <c r="R44" i="6"/>
  <c r="Q44" i="6"/>
  <c r="N44" i="6"/>
  <c r="M44" i="6"/>
  <c r="L44" i="6"/>
  <c r="K44" i="6"/>
  <c r="J44" i="6"/>
  <c r="I44" i="6"/>
  <c r="H44" i="6"/>
  <c r="E44" i="6"/>
  <c r="D44" i="6"/>
  <c r="C44" i="6"/>
  <c r="B44" i="6"/>
  <c r="A44" i="6"/>
  <c r="A43" i="6"/>
  <c r="A42" i="6"/>
  <c r="A41" i="6"/>
  <c r="A40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23" i="6"/>
  <c r="A22" i="6"/>
  <c r="A21" i="6"/>
  <c r="A20" i="6"/>
  <c r="A19" i="6"/>
  <c r="A18" i="6"/>
  <c r="A16" i="6"/>
  <c r="A15" i="6"/>
  <c r="A14" i="6"/>
  <c r="A13" i="6"/>
  <c r="A12" i="6"/>
  <c r="A11" i="6"/>
  <c r="B7" i="6"/>
  <c r="A4" i="6"/>
  <c r="K7" i="50" l="1"/>
  <c r="K101" i="6"/>
  <c r="K104" i="6" s="1"/>
  <c r="O7" i="50"/>
  <c r="O101" i="6"/>
  <c r="O104" i="6" s="1"/>
  <c r="B7" i="50"/>
  <c r="B101" i="6"/>
  <c r="B104" i="6" s="1"/>
  <c r="F7" i="50"/>
  <c r="F101" i="6"/>
  <c r="F104" i="6" s="1"/>
  <c r="D7" i="50"/>
  <c r="D101" i="6"/>
  <c r="D104" i="6" s="1"/>
  <c r="L7" i="50"/>
  <c r="L101" i="6"/>
  <c r="L104" i="6" s="1"/>
  <c r="M7" i="50"/>
  <c r="M101" i="6"/>
  <c r="M104" i="6" s="1"/>
  <c r="C7" i="50"/>
  <c r="C101" i="6"/>
  <c r="C104" i="6" s="1"/>
  <c r="V38" i="45"/>
  <c r="G4" i="50"/>
  <c r="S65" i="50"/>
  <c r="S68" i="50" s="1"/>
  <c r="S170" i="50" s="1"/>
  <c r="S171" i="50" s="1"/>
  <c r="Q172" i="50" s="1"/>
  <c r="M180" i="47"/>
  <c r="J72" i="45"/>
  <c r="P4" i="50"/>
  <c r="J65" i="50"/>
  <c r="J68" i="50" s="1"/>
  <c r="Y92" i="47"/>
  <c r="J4" i="50"/>
  <c r="Y38" i="45"/>
  <c r="G65" i="50"/>
  <c r="G68" i="50" s="1"/>
  <c r="V92" i="47"/>
  <c r="S4" i="50"/>
  <c r="M72" i="45"/>
  <c r="J180" i="47"/>
  <c r="V26" i="27"/>
  <c r="AD26" i="27" s="1"/>
  <c r="H10" i="26"/>
  <c r="X26" i="27"/>
  <c r="AF26" i="27" s="1"/>
  <c r="Q26" i="27"/>
  <c r="Y26" i="27" s="1"/>
  <c r="S26" i="27"/>
  <c r="AA26" i="27" s="1"/>
  <c r="U26" i="27"/>
  <c r="AC26" i="27" s="1"/>
  <c r="W26" i="27"/>
  <c r="AE26" i="27" s="1"/>
  <c r="Q20" i="27"/>
  <c r="Y20" i="27" s="1"/>
  <c r="S20" i="27"/>
  <c r="AA20" i="27" s="1"/>
  <c r="U20" i="27"/>
  <c r="AC20" i="27" s="1"/>
  <c r="W20" i="27"/>
  <c r="AE20" i="27" s="1"/>
  <c r="R20" i="27"/>
  <c r="Z20" i="27" s="1"/>
  <c r="T20" i="27"/>
  <c r="AB20" i="27" s="1"/>
  <c r="V20" i="27"/>
  <c r="AD20" i="27" s="1"/>
  <c r="X20" i="27"/>
  <c r="AF20" i="27" s="1"/>
  <c r="R26" i="27"/>
  <c r="Z26" i="27" s="1"/>
  <c r="H30" i="27"/>
  <c r="V30" i="27" s="1"/>
  <c r="AD30" i="27" s="1"/>
  <c r="H29" i="27"/>
  <c r="H28" i="27"/>
  <c r="H27" i="27"/>
  <c r="H23" i="27"/>
  <c r="H22" i="27"/>
  <c r="H21" i="27"/>
  <c r="AO205" i="3"/>
  <c r="AF205" i="3"/>
  <c r="AH205" i="3"/>
  <c r="AJ205" i="3"/>
  <c r="U145" i="2"/>
  <c r="AE115" i="3"/>
  <c r="AE72" i="3"/>
  <c r="AE71" i="3"/>
  <c r="AE70" i="3"/>
  <c r="AE59" i="3"/>
  <c r="AE58" i="3"/>
  <c r="AE57" i="3"/>
  <c r="AE39" i="3"/>
  <c r="AE38" i="3"/>
  <c r="AE37" i="3"/>
  <c r="AE32" i="3"/>
  <c r="AE31" i="3"/>
  <c r="AE30" i="3"/>
  <c r="AE11" i="3"/>
  <c r="AE10" i="3"/>
  <c r="AE9" i="3"/>
  <c r="C81" i="4"/>
  <c r="B81" i="4"/>
  <c r="C86" i="4"/>
  <c r="C78" i="4"/>
  <c r="D86" i="4" s="1"/>
  <c r="A62" i="4"/>
  <c r="C71" i="4" s="1"/>
  <c r="D85" i="4" s="1"/>
  <c r="D88" i="4" s="1"/>
  <c r="G8" i="53" s="1"/>
  <c r="A59" i="4"/>
  <c r="B71" i="4" s="1"/>
  <c r="C85" i="4" s="1"/>
  <c r="B141" i="24"/>
  <c r="D148" i="24" s="1"/>
  <c r="A141" i="24"/>
  <c r="C148" i="24" s="1"/>
  <c r="B91" i="24"/>
  <c r="D91" i="24" s="1"/>
  <c r="A91" i="24"/>
  <c r="C91" i="24" s="1"/>
  <c r="C70" i="24"/>
  <c r="A66" i="24"/>
  <c r="A63" i="24"/>
  <c r="B75" i="24" s="1"/>
  <c r="C146" i="24" s="1"/>
  <c r="A26" i="24"/>
  <c r="C35" i="24" s="1"/>
  <c r="D145" i="24" s="1"/>
  <c r="A23" i="24"/>
  <c r="B35" i="24" s="1"/>
  <c r="C145" i="24" s="1"/>
  <c r="G8" i="5" l="1"/>
  <c r="D90" i="4"/>
  <c r="P31" i="5" s="1"/>
  <c r="P89" i="6" s="1"/>
  <c r="G89" i="6"/>
  <c r="C88" i="4"/>
  <c r="D91" i="4"/>
  <c r="P126" i="5" s="1"/>
  <c r="P136" i="6" s="1"/>
  <c r="G126" i="5"/>
  <c r="G138" i="5" s="1"/>
  <c r="D89" i="4"/>
  <c r="S7" i="50"/>
  <c r="S165" i="50" s="1"/>
  <c r="S166" i="50" s="1"/>
  <c r="Q167" i="50" s="1"/>
  <c r="S101" i="6"/>
  <c r="S104" i="6" s="1"/>
  <c r="J7" i="50"/>
  <c r="J101" i="6"/>
  <c r="J104" i="6" s="1"/>
  <c r="P7" i="50"/>
  <c r="P101" i="6"/>
  <c r="P104" i="6" s="1"/>
  <c r="G7" i="50"/>
  <c r="G101" i="6"/>
  <c r="G104" i="6" s="1"/>
  <c r="C150" i="24"/>
  <c r="C103" i="24"/>
  <c r="B103" i="24"/>
  <c r="Q22" i="27"/>
  <c r="Y22" i="27" s="1"/>
  <c r="S22" i="27"/>
  <c r="AA22" i="27" s="1"/>
  <c r="U22" i="27"/>
  <c r="AC22" i="27" s="1"/>
  <c r="W22" i="27"/>
  <c r="AE22" i="27" s="1"/>
  <c r="R22" i="27"/>
  <c r="Z22" i="27" s="1"/>
  <c r="T22" i="27"/>
  <c r="AB22" i="27" s="1"/>
  <c r="V22" i="27"/>
  <c r="AD22" i="27" s="1"/>
  <c r="X22" i="27"/>
  <c r="AF22" i="27" s="1"/>
  <c r="Q27" i="27"/>
  <c r="Y27" i="27" s="1"/>
  <c r="S27" i="27"/>
  <c r="AA27" i="27" s="1"/>
  <c r="U27" i="27"/>
  <c r="AC27" i="27" s="1"/>
  <c r="W27" i="27"/>
  <c r="AE27" i="27" s="1"/>
  <c r="AE31" i="27" s="1"/>
  <c r="T27" i="27"/>
  <c r="AB27" i="27" s="1"/>
  <c r="X27" i="27"/>
  <c r="AF27" i="27" s="1"/>
  <c r="R27" i="27"/>
  <c r="Z27" i="27" s="1"/>
  <c r="V27" i="27"/>
  <c r="AD27" i="27" s="1"/>
  <c r="Q29" i="27"/>
  <c r="Y29" i="27" s="1"/>
  <c r="S29" i="27"/>
  <c r="AA29" i="27" s="1"/>
  <c r="U29" i="27"/>
  <c r="AC29" i="27" s="1"/>
  <c r="W29" i="27"/>
  <c r="AE29" i="27" s="1"/>
  <c r="T29" i="27"/>
  <c r="AB29" i="27" s="1"/>
  <c r="X29" i="27"/>
  <c r="AF29" i="27" s="1"/>
  <c r="R29" i="27"/>
  <c r="Z29" i="27" s="1"/>
  <c r="V29" i="27"/>
  <c r="AD29" i="27" s="1"/>
  <c r="Q21" i="27"/>
  <c r="Y21" i="27" s="1"/>
  <c r="S21" i="27"/>
  <c r="AA21" i="27" s="1"/>
  <c r="U21" i="27"/>
  <c r="AC21" i="27" s="1"/>
  <c r="W21" i="27"/>
  <c r="AE21" i="27" s="1"/>
  <c r="R21" i="27"/>
  <c r="Z21" i="27" s="1"/>
  <c r="T21" i="27"/>
  <c r="AB21" i="27" s="1"/>
  <c r="V21" i="27"/>
  <c r="AD21" i="27" s="1"/>
  <c r="X21" i="27"/>
  <c r="AF21" i="27" s="1"/>
  <c r="Q23" i="27"/>
  <c r="Y23" i="27" s="1"/>
  <c r="S23" i="27"/>
  <c r="AA23" i="27" s="1"/>
  <c r="U23" i="27"/>
  <c r="AC23" i="27" s="1"/>
  <c r="W23" i="27"/>
  <c r="AE23" i="27" s="1"/>
  <c r="R23" i="27"/>
  <c r="Z23" i="27" s="1"/>
  <c r="T23" i="27"/>
  <c r="AB23" i="27" s="1"/>
  <c r="V23" i="27"/>
  <c r="AD23" i="27" s="1"/>
  <c r="X23" i="27"/>
  <c r="AF23" i="27" s="1"/>
  <c r="Q28" i="27"/>
  <c r="Y28" i="27" s="1"/>
  <c r="S28" i="27"/>
  <c r="AA28" i="27" s="1"/>
  <c r="U28" i="27"/>
  <c r="AC28" i="27" s="1"/>
  <c r="W28" i="27"/>
  <c r="AE28" i="27" s="1"/>
  <c r="R28" i="27"/>
  <c r="Z28" i="27" s="1"/>
  <c r="T28" i="27"/>
  <c r="AB28" i="27" s="1"/>
  <c r="X28" i="27"/>
  <c r="AF28" i="27" s="1"/>
  <c r="Q30" i="27"/>
  <c r="Y30" i="27" s="1"/>
  <c r="S30" i="27"/>
  <c r="AA30" i="27" s="1"/>
  <c r="U30" i="27"/>
  <c r="AC30" i="27" s="1"/>
  <c r="W30" i="27"/>
  <c r="AE30" i="27" s="1"/>
  <c r="R30" i="27"/>
  <c r="Z30" i="27" s="1"/>
  <c r="T30" i="27"/>
  <c r="AB30" i="27" s="1"/>
  <c r="X30" i="27"/>
  <c r="AF30" i="27" s="1"/>
  <c r="AD24" i="27"/>
  <c r="O12" i="26" s="1"/>
  <c r="U12" i="26" s="1"/>
  <c r="AC24" i="27"/>
  <c r="L12" i="26" s="1"/>
  <c r="R12" i="26" s="1"/>
  <c r="V28" i="27"/>
  <c r="AD28" i="27" s="1"/>
  <c r="C75" i="24"/>
  <c r="D146" i="24" s="1"/>
  <c r="D150" i="24" s="1"/>
  <c r="P138" i="5" l="1"/>
  <c r="G136" i="6"/>
  <c r="AB24" i="27"/>
  <c r="N12" i="26" s="1"/>
  <c r="T12" i="26" s="1"/>
  <c r="P8" i="53"/>
  <c r="P8" i="5"/>
  <c r="AA24" i="27"/>
  <c r="J12" i="26" s="1"/>
  <c r="P12" i="26" s="1"/>
  <c r="F8" i="53"/>
  <c r="C90" i="4"/>
  <c r="O31" i="5" s="1"/>
  <c r="O89" i="6" s="1"/>
  <c r="F8" i="5"/>
  <c r="C89" i="4"/>
  <c r="C91" i="4"/>
  <c r="O126" i="5" s="1"/>
  <c r="F89" i="6"/>
  <c r="F126" i="5"/>
  <c r="AA31" i="27"/>
  <c r="J11" i="26" s="1"/>
  <c r="G57" i="54"/>
  <c r="G154" i="55" s="1"/>
  <c r="G44" i="54"/>
  <c r="G140" i="55" s="1"/>
  <c r="G32" i="54"/>
  <c r="G127" i="55" s="1"/>
  <c r="G20" i="54"/>
  <c r="G108" i="55" s="1"/>
  <c r="G8" i="54"/>
  <c r="G89" i="55" s="1"/>
  <c r="G42" i="23"/>
  <c r="G88" i="23"/>
  <c r="G157" i="23"/>
  <c r="G180" i="23"/>
  <c r="G193" i="23"/>
  <c r="F57" i="54"/>
  <c r="F154" i="55" s="1"/>
  <c r="F44" i="54"/>
  <c r="F140" i="55" s="1"/>
  <c r="F32" i="54"/>
  <c r="F127" i="55" s="1"/>
  <c r="F20" i="54"/>
  <c r="F108" i="55" s="1"/>
  <c r="F8" i="54"/>
  <c r="F89" i="55" s="1"/>
  <c r="F42" i="23"/>
  <c r="F88" i="23"/>
  <c r="F157" i="23"/>
  <c r="F180" i="23"/>
  <c r="F193" i="23"/>
  <c r="C157" i="24"/>
  <c r="F134" i="23"/>
  <c r="F111" i="23"/>
  <c r="F77" i="23"/>
  <c r="F65" i="23"/>
  <c r="F54" i="23"/>
  <c r="F168" i="23"/>
  <c r="F146" i="23"/>
  <c r="F123" i="23"/>
  <c r="F100" i="23"/>
  <c r="F31" i="23"/>
  <c r="F19" i="23"/>
  <c r="F8" i="23"/>
  <c r="G168" i="23"/>
  <c r="G146" i="23"/>
  <c r="G123" i="23"/>
  <c r="G100" i="23"/>
  <c r="G134" i="23"/>
  <c r="G111" i="23"/>
  <c r="G77" i="23"/>
  <c r="G65" i="23"/>
  <c r="G54" i="23"/>
  <c r="G19" i="23"/>
  <c r="G8" i="23"/>
  <c r="G31" i="23"/>
  <c r="C152" i="24"/>
  <c r="C153" i="24"/>
  <c r="C156" i="24"/>
  <c r="C155" i="24"/>
  <c r="D156" i="24"/>
  <c r="D152" i="24"/>
  <c r="D155" i="24"/>
  <c r="D158" i="24"/>
  <c r="D154" i="24"/>
  <c r="D157" i="24"/>
  <c r="D153" i="24"/>
  <c r="C154" i="24"/>
  <c r="C158" i="24"/>
  <c r="AF31" i="27"/>
  <c r="Z31" i="27"/>
  <c r="K11" i="26" s="1"/>
  <c r="AC31" i="27"/>
  <c r="L11" i="26" s="1"/>
  <c r="Y31" i="27"/>
  <c r="M11" i="26" s="1"/>
  <c r="Z24" i="27"/>
  <c r="K12" i="26" s="1"/>
  <c r="Q12" i="26" s="1"/>
  <c r="Y24" i="27"/>
  <c r="M12" i="26" s="1"/>
  <c r="S12" i="26" s="1"/>
  <c r="AF24" i="27"/>
  <c r="W12" i="26" s="1"/>
  <c r="AE24" i="27"/>
  <c r="V12" i="26" s="1"/>
  <c r="W11" i="26"/>
  <c r="AB31" i="27"/>
  <c r="N11" i="26" s="1"/>
  <c r="V11" i="26"/>
  <c r="AD31" i="27"/>
  <c r="O11" i="26" s="1"/>
  <c r="U11" i="26" l="1"/>
  <c r="O3" i="26"/>
  <c r="S11" i="26"/>
  <c r="M3" i="26"/>
  <c r="T11" i="26"/>
  <c r="T3" i="26" s="1"/>
  <c r="N3" i="26"/>
  <c r="O136" i="6"/>
  <c r="O138" i="5"/>
  <c r="Q11" i="26"/>
  <c r="K3" i="26"/>
  <c r="O8" i="53"/>
  <c r="O8" i="5"/>
  <c r="P11" i="26"/>
  <c r="P3" i="26" s="1"/>
  <c r="J3" i="26"/>
  <c r="F138" i="5"/>
  <c r="F136" i="6"/>
  <c r="R11" i="26"/>
  <c r="L3" i="26"/>
  <c r="P32" i="54"/>
  <c r="P127" i="55" s="1"/>
  <c r="P20" i="54"/>
  <c r="P108" i="55" s="1"/>
  <c r="P8" i="54"/>
  <c r="P89" i="55" s="1"/>
  <c r="P42" i="23"/>
  <c r="P88" i="23"/>
  <c r="P157" i="23"/>
  <c r="P57" i="54"/>
  <c r="P154" i="55" s="1"/>
  <c r="P44" i="54"/>
  <c r="P140" i="55" s="1"/>
  <c r="P180" i="23"/>
  <c r="P193" i="23"/>
  <c r="F97" i="6"/>
  <c r="O32" i="54"/>
  <c r="O127" i="55" s="1"/>
  <c r="O20" i="54"/>
  <c r="O108" i="55" s="1"/>
  <c r="O8" i="54"/>
  <c r="O89" i="55" s="1"/>
  <c r="O42" i="23"/>
  <c r="O88" i="23"/>
  <c r="O157" i="23"/>
  <c r="O57" i="54"/>
  <c r="O154" i="55" s="1"/>
  <c r="O44" i="54"/>
  <c r="O140" i="55" s="1"/>
  <c r="O180" i="23"/>
  <c r="O193" i="23"/>
  <c r="G123" i="6"/>
  <c r="G143" i="6"/>
  <c r="G183" i="6"/>
  <c r="F164" i="6"/>
  <c r="F123" i="6"/>
  <c r="G97" i="6"/>
  <c r="G203" i="6"/>
  <c r="G164" i="6"/>
  <c r="F143" i="6"/>
  <c r="F183" i="6"/>
  <c r="F203" i="6"/>
  <c r="O123" i="23"/>
  <c r="O65" i="23"/>
  <c r="O19" i="23"/>
  <c r="P168" i="23"/>
  <c r="P111" i="23"/>
  <c r="O134" i="23"/>
  <c r="O100" i="23"/>
  <c r="O168" i="23"/>
  <c r="O111" i="23"/>
  <c r="P54" i="23"/>
  <c r="P8" i="23"/>
  <c r="P123" i="23"/>
  <c r="P65" i="23"/>
  <c r="P19" i="23"/>
  <c r="P134" i="23"/>
  <c r="P100" i="23"/>
  <c r="P146" i="23"/>
  <c r="P77" i="23"/>
  <c r="P31" i="23"/>
  <c r="O54" i="23"/>
  <c r="O8" i="23"/>
  <c r="O146" i="23"/>
  <c r="O77" i="23"/>
  <c r="O31" i="23"/>
  <c r="F15" i="6"/>
  <c r="R3" i="26"/>
  <c r="S3" i="26"/>
  <c r="Q3" i="26"/>
  <c r="U3" i="26"/>
  <c r="W3" i="26"/>
  <c r="V3" i="26"/>
  <c r="D56" i="54" l="1"/>
  <c r="D153" i="55" s="1"/>
  <c r="D30" i="23"/>
  <c r="D96" i="6" s="1"/>
  <c r="D76" i="23"/>
  <c r="D122" i="6" s="1"/>
  <c r="D145" i="23"/>
  <c r="D163" i="6" s="1"/>
  <c r="D192" i="23"/>
  <c r="D202" i="6" s="1"/>
  <c r="E30" i="23"/>
  <c r="E96" i="6" s="1"/>
  <c r="E76" i="23"/>
  <c r="E122" i="6" s="1"/>
  <c r="E145" i="23"/>
  <c r="E163" i="6" s="1"/>
  <c r="E192" i="23"/>
  <c r="E202" i="6" s="1"/>
  <c r="E56" i="54"/>
  <c r="E153" i="55" s="1"/>
  <c r="C56" i="54"/>
  <c r="C153" i="55" s="1"/>
  <c r="C30" i="23"/>
  <c r="C96" i="6" s="1"/>
  <c r="C76" i="23"/>
  <c r="C122" i="6" s="1"/>
  <c r="C192" i="23"/>
  <c r="C202" i="6" s="1"/>
  <c r="C145" i="23"/>
  <c r="C163" i="6" s="1"/>
  <c r="F145" i="23"/>
  <c r="F163" i="6" s="1"/>
  <c r="F192" i="23"/>
  <c r="F202" i="6" s="1"/>
  <c r="G56" i="54"/>
  <c r="G153" i="55" s="1"/>
  <c r="F56" i="54"/>
  <c r="F153" i="55" s="1"/>
  <c r="G192" i="23"/>
  <c r="G202" i="6" s="1"/>
  <c r="G30" i="23"/>
  <c r="G96" i="6" s="1"/>
  <c r="G145" i="23"/>
  <c r="G163" i="6" s="1"/>
  <c r="F76" i="23"/>
  <c r="F122" i="6" s="1"/>
  <c r="G76" i="23"/>
  <c r="G122" i="6" s="1"/>
  <c r="F30" i="23"/>
  <c r="F96" i="6" s="1"/>
  <c r="B192" i="23"/>
  <c r="B202" i="6" s="1"/>
  <c r="B30" i="23"/>
  <c r="B96" i="6" s="1"/>
  <c r="B145" i="23"/>
  <c r="B163" i="6" s="1"/>
  <c r="B56" i="54"/>
  <c r="B153" i="55" s="1"/>
  <c r="B76" i="23"/>
  <c r="B122" i="6" s="1"/>
  <c r="H76" i="23"/>
  <c r="H122" i="6" s="1"/>
  <c r="H145" i="23"/>
  <c r="H163" i="6" s="1"/>
  <c r="H192" i="23"/>
  <c r="H202" i="6" s="1"/>
  <c r="H56" i="54"/>
  <c r="H153" i="55" s="1"/>
  <c r="H30" i="23"/>
  <c r="H96" i="6" s="1"/>
  <c r="Q56" i="54"/>
  <c r="Q153" i="55" s="1"/>
  <c r="Q30" i="23"/>
  <c r="Q96" i="6" s="1"/>
  <c r="Q76" i="23"/>
  <c r="Q122" i="6" s="1"/>
  <c r="Q145" i="23"/>
  <c r="Q163" i="6" s="1"/>
  <c r="Q192" i="23"/>
  <c r="Q202" i="6" s="1"/>
  <c r="M56" i="54"/>
  <c r="M153" i="55" s="1"/>
  <c r="M30" i="23"/>
  <c r="M96" i="6" s="1"/>
  <c r="M76" i="23"/>
  <c r="M122" i="6" s="1"/>
  <c r="M145" i="23"/>
  <c r="M163" i="6" s="1"/>
  <c r="M192" i="23"/>
  <c r="M202" i="6" s="1"/>
  <c r="L56" i="54"/>
  <c r="L153" i="55" s="1"/>
  <c r="L30" i="23"/>
  <c r="L96" i="6" s="1"/>
  <c r="L76" i="23"/>
  <c r="L122" i="6" s="1"/>
  <c r="L145" i="23"/>
  <c r="L163" i="6" s="1"/>
  <c r="L192" i="23"/>
  <c r="L202" i="6" s="1"/>
  <c r="N56" i="54"/>
  <c r="N153" i="55" s="1"/>
  <c r="N30" i="23"/>
  <c r="N96" i="6" s="1"/>
  <c r="N76" i="23"/>
  <c r="N122" i="6" s="1"/>
  <c r="N145" i="23"/>
  <c r="N163" i="6" s="1"/>
  <c r="N192" i="23"/>
  <c r="N202" i="6" s="1"/>
  <c r="K56" i="54"/>
  <c r="K153" i="55" s="1"/>
  <c r="K30" i="23"/>
  <c r="K96" i="6" s="1"/>
  <c r="K76" i="23"/>
  <c r="K122" i="6" s="1"/>
  <c r="K145" i="23"/>
  <c r="K163" i="6" s="1"/>
  <c r="K192" i="23"/>
  <c r="K202" i="6" s="1"/>
  <c r="P56" i="54"/>
  <c r="P153" i="55" s="1"/>
  <c r="P30" i="23"/>
  <c r="P96" i="6" s="1"/>
  <c r="P76" i="23"/>
  <c r="P122" i="6" s="1"/>
  <c r="P145" i="23"/>
  <c r="P163" i="6" s="1"/>
  <c r="P192" i="23"/>
  <c r="P202" i="6" s="1"/>
  <c r="O56" i="54"/>
  <c r="O153" i="55" s="1"/>
  <c r="O30" i="23"/>
  <c r="O96" i="6" s="1"/>
  <c r="O76" i="23"/>
  <c r="O122" i="6" s="1"/>
  <c r="O145" i="23"/>
  <c r="O163" i="6" s="1"/>
  <c r="O192" i="23"/>
  <c r="O202" i="6" s="1"/>
  <c r="O15" i="55"/>
  <c r="P15" i="55"/>
  <c r="P183" i="6"/>
  <c r="O123" i="6"/>
  <c r="P143" i="6"/>
  <c r="P164" i="6"/>
  <c r="P123" i="6"/>
  <c r="O183" i="6"/>
  <c r="O203" i="6"/>
  <c r="P203" i="6"/>
  <c r="O143" i="6"/>
  <c r="O164" i="6"/>
  <c r="O97" i="6"/>
  <c r="P97" i="6"/>
  <c r="O15" i="6"/>
  <c r="F65" i="6"/>
  <c r="O65" i="6"/>
  <c r="P15" i="6"/>
  <c r="G15" i="6"/>
  <c r="F22" i="6"/>
  <c r="F58" i="6"/>
  <c r="O51" i="6"/>
  <c r="O22" i="6"/>
  <c r="O58" i="6"/>
  <c r="F51" i="6"/>
  <c r="A17" i="6"/>
  <c r="R137" i="2"/>
  <c r="U137" i="2" s="1"/>
  <c r="M200" i="5" s="1"/>
  <c r="M194" i="6" s="1"/>
  <c r="O137" i="2"/>
  <c r="AA137" i="2" s="1"/>
  <c r="Q200" i="5" s="1"/>
  <c r="Q194" i="6" s="1"/>
  <c r="L137" i="2"/>
  <c r="X137" i="2" s="1"/>
  <c r="K137" i="2"/>
  <c r="W137" i="2" s="1"/>
  <c r="J137" i="2"/>
  <c r="V137" i="2" s="1"/>
  <c r="N200" i="5" s="1"/>
  <c r="N194" i="6" s="1"/>
  <c r="H137" i="2"/>
  <c r="T137" i="2" s="1"/>
  <c r="L200" i="5" s="1"/>
  <c r="L194" i="6" s="1"/>
  <c r="G137" i="2"/>
  <c r="S137" i="2" s="1"/>
  <c r="K200" i="5" s="1"/>
  <c r="K194" i="6" s="1"/>
  <c r="R136" i="2"/>
  <c r="U136" i="2" s="1"/>
  <c r="M147" i="5" s="1"/>
  <c r="O136" i="2"/>
  <c r="AA136" i="2" s="1"/>
  <c r="Q147" i="5" s="1"/>
  <c r="L136" i="2"/>
  <c r="X136" i="2" s="1"/>
  <c r="K136" i="2"/>
  <c r="W136" i="2" s="1"/>
  <c r="J136" i="2"/>
  <c r="V136" i="2" s="1"/>
  <c r="N147" i="5" s="1"/>
  <c r="H136" i="2"/>
  <c r="T136" i="2" s="1"/>
  <c r="L147" i="5" s="1"/>
  <c r="G136" i="2"/>
  <c r="S136" i="2" s="1"/>
  <c r="K147" i="5" s="1"/>
  <c r="R135" i="2"/>
  <c r="O135" i="2"/>
  <c r="L135" i="2"/>
  <c r="K135" i="2"/>
  <c r="J135" i="2"/>
  <c r="H135" i="2"/>
  <c r="G135" i="2"/>
  <c r="C114" i="5" s="1"/>
  <c r="R134" i="2"/>
  <c r="O134" i="2"/>
  <c r="L134" i="2"/>
  <c r="K134" i="2"/>
  <c r="J134" i="2"/>
  <c r="U134" i="2"/>
  <c r="M87" i="6" s="1"/>
  <c r="H134" i="2"/>
  <c r="G134" i="2"/>
  <c r="R128" i="2"/>
  <c r="O128" i="2"/>
  <c r="H109" i="23" s="1"/>
  <c r="L128" i="2"/>
  <c r="K128" i="2"/>
  <c r="J128" i="2"/>
  <c r="E109" i="23" s="1"/>
  <c r="H128" i="2"/>
  <c r="D109" i="23" s="1"/>
  <c r="G128" i="2"/>
  <c r="C109" i="23" s="1"/>
  <c r="R125" i="2"/>
  <c r="O125" i="2"/>
  <c r="L125" i="2"/>
  <c r="K125" i="2"/>
  <c r="J125" i="2"/>
  <c r="H125" i="2"/>
  <c r="G125" i="2"/>
  <c r="R122" i="2"/>
  <c r="O122" i="2"/>
  <c r="H28" i="23" s="1"/>
  <c r="L122" i="2"/>
  <c r="K122" i="2"/>
  <c r="J122" i="2"/>
  <c r="E28" i="23" s="1"/>
  <c r="H122" i="2"/>
  <c r="D28" i="23" s="1"/>
  <c r="G122" i="2"/>
  <c r="C28" i="23" s="1"/>
  <c r="R120" i="2"/>
  <c r="O120" i="2"/>
  <c r="H98" i="23" s="1"/>
  <c r="L120" i="2"/>
  <c r="K120" i="2"/>
  <c r="J120" i="2"/>
  <c r="E98" i="23" s="1"/>
  <c r="H120" i="2"/>
  <c r="D98" i="23" s="1"/>
  <c r="G120" i="2"/>
  <c r="C98" i="23" s="1"/>
  <c r="R117" i="2"/>
  <c r="O117" i="2"/>
  <c r="H17" i="23" s="1"/>
  <c r="L117" i="2"/>
  <c r="K117" i="2"/>
  <c r="J117" i="2"/>
  <c r="E17" i="23" s="1"/>
  <c r="H117" i="2"/>
  <c r="D17" i="23" s="1"/>
  <c r="G117" i="2"/>
  <c r="C17" i="23" s="1"/>
  <c r="R115" i="2"/>
  <c r="O115" i="2"/>
  <c r="H6" i="23" s="1"/>
  <c r="L115" i="2"/>
  <c r="K115" i="2"/>
  <c r="J115" i="2"/>
  <c r="E6" i="23" s="1"/>
  <c r="H115" i="2"/>
  <c r="D6" i="23" s="1"/>
  <c r="G115" i="2"/>
  <c r="C6" i="23" s="1"/>
  <c r="R113" i="2"/>
  <c r="O113" i="2"/>
  <c r="L113" i="2"/>
  <c r="K113" i="2"/>
  <c r="J113" i="2"/>
  <c r="H113" i="2"/>
  <c r="G113" i="2"/>
  <c r="AE116" i="3"/>
  <c r="AB116" i="3"/>
  <c r="Y116" i="3"/>
  <c r="AK116" i="3" s="1"/>
  <c r="X116" i="3"/>
  <c r="W116" i="3"/>
  <c r="AI116" i="3" s="1"/>
  <c r="V116" i="3"/>
  <c r="U116" i="3"/>
  <c r="AG116" i="3" s="1"/>
  <c r="T116" i="3"/>
  <c r="AD116" i="3"/>
  <c r="AP116" i="3" s="1"/>
  <c r="AC116" i="3"/>
  <c r="AB71" i="3"/>
  <c r="Y71" i="3"/>
  <c r="AK71" i="3" s="1"/>
  <c r="X71" i="3"/>
  <c r="W71" i="3"/>
  <c r="AI71" i="3" s="1"/>
  <c r="V71" i="3"/>
  <c r="U71" i="3"/>
  <c r="AG71" i="3" s="1"/>
  <c r="T71" i="3"/>
  <c r="AD71" i="3"/>
  <c r="AP71" i="3" s="1"/>
  <c r="AC71" i="3"/>
  <c r="AB58" i="3"/>
  <c r="Y58" i="3"/>
  <c r="X58" i="3"/>
  <c r="W58" i="3"/>
  <c r="V58" i="3"/>
  <c r="U58" i="3"/>
  <c r="AG58" i="3" s="1"/>
  <c r="T58" i="3"/>
  <c r="S58" i="3"/>
  <c r="AD58" i="3" s="1"/>
  <c r="AP58" i="3" s="1"/>
  <c r="R58" i="3"/>
  <c r="AC58" i="3" s="1"/>
  <c r="AB38" i="3"/>
  <c r="Y38" i="3"/>
  <c r="AK38" i="3" s="1"/>
  <c r="X38" i="3"/>
  <c r="W38" i="3"/>
  <c r="AI38" i="3" s="1"/>
  <c r="V38" i="3"/>
  <c r="U38" i="3"/>
  <c r="AG38" i="3" s="1"/>
  <c r="T38" i="3"/>
  <c r="AD38" i="3"/>
  <c r="AP38" i="3" s="1"/>
  <c r="AC38" i="3"/>
  <c r="AB31" i="3"/>
  <c r="Y31" i="3"/>
  <c r="X31" i="3"/>
  <c r="W31" i="3"/>
  <c r="AI31" i="3" s="1"/>
  <c r="V31" i="3"/>
  <c r="U31" i="3"/>
  <c r="AG31" i="3" s="1"/>
  <c r="T31" i="3"/>
  <c r="S31" i="3"/>
  <c r="AD31" i="3" s="1"/>
  <c r="AP31" i="3" s="1"/>
  <c r="R31" i="3"/>
  <c r="AC31" i="3" s="1"/>
  <c r="AB10" i="3"/>
  <c r="Y10" i="3"/>
  <c r="AK10" i="3" s="1"/>
  <c r="X10" i="3"/>
  <c r="W10" i="3"/>
  <c r="AI10" i="3" s="1"/>
  <c r="V10" i="3"/>
  <c r="U10" i="3"/>
  <c r="AG10" i="3" s="1"/>
  <c r="T10" i="3"/>
  <c r="S10" i="3"/>
  <c r="AD10" i="3" s="1"/>
  <c r="AP10" i="3" s="1"/>
  <c r="R10" i="3"/>
  <c r="AC10" i="3" s="1"/>
  <c r="AB117" i="3"/>
  <c r="Y117" i="3"/>
  <c r="X117" i="3"/>
  <c r="W117" i="3"/>
  <c r="V117" i="3"/>
  <c r="U117" i="3"/>
  <c r="T117" i="3"/>
  <c r="AD117" i="3"/>
  <c r="AC117" i="3"/>
  <c r="AB115" i="3"/>
  <c r="Y115" i="3"/>
  <c r="X115" i="3"/>
  <c r="W115" i="3"/>
  <c r="V115" i="3"/>
  <c r="U115" i="3"/>
  <c r="T115" i="3"/>
  <c r="AD115" i="3"/>
  <c r="AC115" i="3"/>
  <c r="AB73" i="3"/>
  <c r="Y73" i="3"/>
  <c r="X73" i="3"/>
  <c r="W73" i="3"/>
  <c r="V73" i="3"/>
  <c r="U73" i="3"/>
  <c r="T73" i="3"/>
  <c r="AD73" i="3"/>
  <c r="AC73" i="3"/>
  <c r="AB72" i="3"/>
  <c r="AN72" i="3" s="1"/>
  <c r="Y72" i="3"/>
  <c r="AK72" i="3" s="1"/>
  <c r="X72" i="3"/>
  <c r="AJ72" i="3" s="1"/>
  <c r="W72" i="3"/>
  <c r="AI72" i="3" s="1"/>
  <c r="V72" i="3"/>
  <c r="AH72" i="3" s="1"/>
  <c r="U72" i="3"/>
  <c r="AG72" i="3" s="1"/>
  <c r="T72" i="3"/>
  <c r="AF72" i="3" s="1"/>
  <c r="AD72" i="3"/>
  <c r="AP72" i="3" s="1"/>
  <c r="AC72" i="3"/>
  <c r="AO72" i="3" s="1"/>
  <c r="AB70" i="3"/>
  <c r="Y70" i="3"/>
  <c r="X70" i="3"/>
  <c r="W70" i="3"/>
  <c r="V70" i="3"/>
  <c r="U70" i="3"/>
  <c r="T70" i="3"/>
  <c r="AD70" i="3"/>
  <c r="AC70" i="3"/>
  <c r="AB60" i="3"/>
  <c r="Y60" i="3"/>
  <c r="AK60" i="3" s="1"/>
  <c r="X60" i="3"/>
  <c r="W60" i="3"/>
  <c r="AI60" i="3" s="1"/>
  <c r="V60" i="3"/>
  <c r="U60" i="3"/>
  <c r="AG60" i="3" s="1"/>
  <c r="T60" i="3"/>
  <c r="AD60" i="3"/>
  <c r="AC60" i="3"/>
  <c r="AO60" i="3" s="1"/>
  <c r="AB59" i="3"/>
  <c r="AN59" i="3" s="1"/>
  <c r="Y59" i="3"/>
  <c r="AK59" i="3" s="1"/>
  <c r="X59" i="3"/>
  <c r="AJ59" i="3" s="1"/>
  <c r="W59" i="3"/>
  <c r="AI59" i="3" s="1"/>
  <c r="V59" i="3"/>
  <c r="AH59" i="3" s="1"/>
  <c r="U59" i="3"/>
  <c r="AG59" i="3" s="1"/>
  <c r="T59" i="3"/>
  <c r="AF59" i="3" s="1"/>
  <c r="AD59" i="3"/>
  <c r="AP59" i="3" s="1"/>
  <c r="AC59" i="3"/>
  <c r="AO59" i="3" s="1"/>
  <c r="AB57" i="3"/>
  <c r="Y57" i="3"/>
  <c r="X57" i="3"/>
  <c r="W57" i="3"/>
  <c r="V57" i="3"/>
  <c r="U57" i="3"/>
  <c r="T57" i="3"/>
  <c r="S57" i="3"/>
  <c r="AD57" i="3" s="1"/>
  <c r="R57" i="3"/>
  <c r="AC57" i="3" s="1"/>
  <c r="AB40" i="3"/>
  <c r="Y40" i="3"/>
  <c r="X40" i="3"/>
  <c r="W40" i="3"/>
  <c r="V40" i="3"/>
  <c r="U40" i="3"/>
  <c r="T40" i="3"/>
  <c r="AD40" i="3"/>
  <c r="AC40" i="3"/>
  <c r="AB39" i="3"/>
  <c r="AN39" i="3" s="1"/>
  <c r="Y39" i="3"/>
  <c r="AK39" i="3" s="1"/>
  <c r="X39" i="3"/>
  <c r="AJ39" i="3" s="1"/>
  <c r="W39" i="3"/>
  <c r="AI39" i="3" s="1"/>
  <c r="V39" i="3"/>
  <c r="AH39" i="3" s="1"/>
  <c r="U39" i="3"/>
  <c r="AG39" i="3" s="1"/>
  <c r="T39" i="3"/>
  <c r="AF39" i="3" s="1"/>
  <c r="AD39" i="3"/>
  <c r="AP39" i="3" s="1"/>
  <c r="AC39" i="3"/>
  <c r="AO39" i="3" s="1"/>
  <c r="AB37" i="3"/>
  <c r="Y37" i="3"/>
  <c r="X37" i="3"/>
  <c r="W37" i="3"/>
  <c r="V37" i="3"/>
  <c r="U37" i="3"/>
  <c r="T37" i="3"/>
  <c r="AD37" i="3"/>
  <c r="AC37" i="3"/>
  <c r="AB33" i="3"/>
  <c r="Y33" i="3"/>
  <c r="X33" i="3"/>
  <c r="W33" i="3"/>
  <c r="V33" i="3"/>
  <c r="U33" i="3"/>
  <c r="T33" i="3"/>
  <c r="AD33" i="3"/>
  <c r="AC33" i="3"/>
  <c r="AB32" i="3"/>
  <c r="AN32" i="3" s="1"/>
  <c r="Y32" i="3"/>
  <c r="AK32" i="3" s="1"/>
  <c r="X32" i="3"/>
  <c r="AJ32" i="3" s="1"/>
  <c r="W32" i="3"/>
  <c r="AI32" i="3" s="1"/>
  <c r="V32" i="3"/>
  <c r="AH32" i="3" s="1"/>
  <c r="U32" i="3"/>
  <c r="AG32" i="3" s="1"/>
  <c r="T32" i="3"/>
  <c r="AF32" i="3" s="1"/>
  <c r="AD32" i="3"/>
  <c r="AP32" i="3" s="1"/>
  <c r="AC32" i="3"/>
  <c r="AO32" i="3" s="1"/>
  <c r="AB30" i="3"/>
  <c r="Y30" i="3"/>
  <c r="X30" i="3"/>
  <c r="W30" i="3"/>
  <c r="V30" i="3"/>
  <c r="U30" i="3"/>
  <c r="T30" i="3"/>
  <c r="S30" i="3"/>
  <c r="AD30" i="3" s="1"/>
  <c r="R30" i="3"/>
  <c r="AC30" i="3" s="1"/>
  <c r="AB11" i="3"/>
  <c r="AN11" i="3" s="1"/>
  <c r="Y11" i="3"/>
  <c r="AK11" i="3" s="1"/>
  <c r="X11" i="3"/>
  <c r="AJ11" i="3" s="1"/>
  <c r="W11" i="3"/>
  <c r="AI11" i="3" s="1"/>
  <c r="V11" i="3"/>
  <c r="AH11" i="3" s="1"/>
  <c r="U11" i="3"/>
  <c r="AG11" i="3" s="1"/>
  <c r="T11" i="3"/>
  <c r="AF11" i="3" s="1"/>
  <c r="AD11" i="3"/>
  <c r="AP11" i="3" s="1"/>
  <c r="AC11" i="3"/>
  <c r="AO11" i="3" s="1"/>
  <c r="AB9" i="3"/>
  <c r="Y9" i="3"/>
  <c r="X9" i="3"/>
  <c r="W9" i="3"/>
  <c r="V9" i="3"/>
  <c r="U9" i="3"/>
  <c r="T9" i="3"/>
  <c r="S9" i="3"/>
  <c r="AD9" i="3" s="1"/>
  <c r="R9" i="3"/>
  <c r="AC9" i="3" s="1"/>
  <c r="AB12" i="3"/>
  <c r="Y12" i="3"/>
  <c r="AK12" i="3" s="1"/>
  <c r="X12" i="3"/>
  <c r="W12" i="3"/>
  <c r="AI12" i="3" s="1"/>
  <c r="V12" i="3"/>
  <c r="U12" i="3"/>
  <c r="AG12" i="3" s="1"/>
  <c r="T12" i="3"/>
  <c r="AD12" i="3"/>
  <c r="AC12" i="3"/>
  <c r="Q128" i="2"/>
  <c r="J109" i="23" s="1"/>
  <c r="P128" i="2"/>
  <c r="I109" i="23" s="1"/>
  <c r="Q125" i="2"/>
  <c r="P125" i="2"/>
  <c r="Q122" i="2"/>
  <c r="J28" i="23" s="1"/>
  <c r="P122" i="2"/>
  <c r="I28" i="23" s="1"/>
  <c r="AF11" i="2"/>
  <c r="Q120" i="2" s="1"/>
  <c r="J98" i="23" s="1"/>
  <c r="AD11" i="2"/>
  <c r="P120" i="2" s="1"/>
  <c r="I98" i="23" s="1"/>
  <c r="AF8" i="2"/>
  <c r="Q117" i="2" s="1"/>
  <c r="J17" i="23" s="1"/>
  <c r="AD8" i="2"/>
  <c r="P117" i="2" s="1"/>
  <c r="I17" i="23" s="1"/>
  <c r="Q115" i="2"/>
  <c r="J6" i="23" s="1"/>
  <c r="P115" i="2"/>
  <c r="I6" i="23" s="1"/>
  <c r="AF4" i="2"/>
  <c r="AD4" i="2"/>
  <c r="S134" i="2" l="1"/>
  <c r="K87" i="6" s="1"/>
  <c r="T134" i="2"/>
  <c r="L52" i="5" s="1"/>
  <c r="X134" i="2"/>
  <c r="V134" i="2"/>
  <c r="N52" i="5" s="1"/>
  <c r="W134" i="2"/>
  <c r="AA134" i="2"/>
  <c r="Q87" i="6" s="1"/>
  <c r="I6" i="54"/>
  <c r="I87" i="55" s="1"/>
  <c r="I40" i="23"/>
  <c r="D6" i="54"/>
  <c r="D87" i="55" s="1"/>
  <c r="D40" i="23"/>
  <c r="D94" i="6" s="1"/>
  <c r="H6" i="54"/>
  <c r="H87" i="55" s="1"/>
  <c r="H40" i="23"/>
  <c r="H94" i="6" s="1"/>
  <c r="I94" i="6"/>
  <c r="J6" i="54"/>
  <c r="J87" i="55" s="1"/>
  <c r="J40" i="23"/>
  <c r="J94" i="6" s="1"/>
  <c r="C6" i="54"/>
  <c r="C87" i="55" s="1"/>
  <c r="C40" i="23"/>
  <c r="E6" i="54"/>
  <c r="E87" i="55" s="1"/>
  <c r="E40" i="23"/>
  <c r="E94" i="6" s="1"/>
  <c r="L42" i="6"/>
  <c r="L42" i="55"/>
  <c r="C94" i="6"/>
  <c r="K124" i="5"/>
  <c r="K136" i="5" s="1"/>
  <c r="Q124" i="5"/>
  <c r="Q136" i="5" s="1"/>
  <c r="C124" i="5"/>
  <c r="C136" i="5" s="1"/>
  <c r="C147" i="5"/>
  <c r="I141" i="6"/>
  <c r="D141" i="6"/>
  <c r="H141" i="6"/>
  <c r="J141" i="6"/>
  <c r="C141" i="6"/>
  <c r="E141" i="6"/>
  <c r="M124" i="5"/>
  <c r="M136" i="5" s="1"/>
  <c r="C158" i="5"/>
  <c r="E158" i="5"/>
  <c r="K158" i="5"/>
  <c r="M158" i="5"/>
  <c r="Q158" i="5"/>
  <c r="C179" i="5"/>
  <c r="E179" i="5"/>
  <c r="K179" i="5"/>
  <c r="M179" i="5"/>
  <c r="Q179" i="5"/>
  <c r="C189" i="5"/>
  <c r="E189" i="5"/>
  <c r="K189" i="5"/>
  <c r="M189" i="5"/>
  <c r="Q189" i="5"/>
  <c r="C200" i="5"/>
  <c r="C194" i="6" s="1"/>
  <c r="E200" i="5"/>
  <c r="E194" i="6" s="1"/>
  <c r="B158" i="5"/>
  <c r="D158" i="5"/>
  <c r="H158" i="5"/>
  <c r="L158" i="5"/>
  <c r="N158" i="5"/>
  <c r="B179" i="5"/>
  <c r="D179" i="5"/>
  <c r="H179" i="5"/>
  <c r="L179" i="5"/>
  <c r="N179" i="5"/>
  <c r="B189" i="5"/>
  <c r="D189" i="5"/>
  <c r="H189" i="5"/>
  <c r="L189" i="5"/>
  <c r="N189" i="5"/>
  <c r="B200" i="5"/>
  <c r="B194" i="6" s="1"/>
  <c r="D200" i="5"/>
  <c r="D194" i="6" s="1"/>
  <c r="H200" i="5"/>
  <c r="H194" i="6" s="1"/>
  <c r="E124" i="5"/>
  <c r="E136" i="5" s="1"/>
  <c r="E147" i="5"/>
  <c r="B124" i="5"/>
  <c r="B136" i="5" s="1"/>
  <c r="D124" i="5"/>
  <c r="D136" i="5" s="1"/>
  <c r="H124" i="5"/>
  <c r="H136" i="5" s="1"/>
  <c r="L124" i="5"/>
  <c r="L136" i="5" s="1"/>
  <c r="N124" i="5"/>
  <c r="N136" i="5" s="1"/>
  <c r="B147" i="5"/>
  <c r="D147" i="5"/>
  <c r="H147" i="5"/>
  <c r="T135" i="2"/>
  <c r="D63" i="5"/>
  <c r="D74" i="5" s="1"/>
  <c r="V135" i="2"/>
  <c r="E63" i="5"/>
  <c r="E74" i="5" s="1"/>
  <c r="X135" i="2"/>
  <c r="C18" i="5"/>
  <c r="E18" i="5"/>
  <c r="C84" i="5"/>
  <c r="E84" i="5"/>
  <c r="C94" i="5"/>
  <c r="E94" i="5"/>
  <c r="C104" i="5"/>
  <c r="E104" i="5"/>
  <c r="E114" i="5"/>
  <c r="S135" i="2"/>
  <c r="C63" i="5"/>
  <c r="C74" i="5" s="1"/>
  <c r="U135" i="2"/>
  <c r="B63" i="5"/>
  <c r="B74" i="5" s="1"/>
  <c r="W135" i="2"/>
  <c r="AA135" i="2"/>
  <c r="H63" i="5"/>
  <c r="H74" i="5" s="1"/>
  <c r="B18" i="5"/>
  <c r="D18" i="5"/>
  <c r="H18" i="5"/>
  <c r="B84" i="5"/>
  <c r="D84" i="5"/>
  <c r="H84" i="5"/>
  <c r="B94" i="5"/>
  <c r="D94" i="5"/>
  <c r="H94" i="5"/>
  <c r="B104" i="5"/>
  <c r="D104" i="5"/>
  <c r="H104" i="5"/>
  <c r="B114" i="5"/>
  <c r="D114" i="5"/>
  <c r="H114" i="5"/>
  <c r="L87" i="6"/>
  <c r="N87" i="6"/>
  <c r="B87" i="6"/>
  <c r="D87" i="6"/>
  <c r="H87" i="6"/>
  <c r="C52" i="5"/>
  <c r="E52" i="5"/>
  <c r="K52" i="5"/>
  <c r="M52" i="5"/>
  <c r="Q52" i="5"/>
  <c r="C87" i="6"/>
  <c r="E87" i="6"/>
  <c r="B52" i="5"/>
  <c r="D52" i="5"/>
  <c r="H52" i="5"/>
  <c r="P113" i="2"/>
  <c r="AB113" i="2" s="1"/>
  <c r="R13" i="6" s="1"/>
  <c r="AB145" i="2"/>
  <c r="Q113" i="2"/>
  <c r="AC113" i="2" s="1"/>
  <c r="S13" i="6" s="1"/>
  <c r="AC145" i="2"/>
  <c r="I13" i="6"/>
  <c r="AB115" i="2"/>
  <c r="R6" i="23" s="1"/>
  <c r="AB117" i="2"/>
  <c r="R17" i="23" s="1"/>
  <c r="AB120" i="2"/>
  <c r="R98" i="23" s="1"/>
  <c r="AB122" i="2"/>
  <c r="R28" i="23" s="1"/>
  <c r="AB125" i="2"/>
  <c r="AB128" i="2"/>
  <c r="R109" i="23" s="1"/>
  <c r="T113" i="2"/>
  <c r="L13" i="6" s="1"/>
  <c r="D13" i="6"/>
  <c r="V113" i="2"/>
  <c r="N13" i="6" s="1"/>
  <c r="E13" i="6"/>
  <c r="X113" i="2"/>
  <c r="T115" i="2"/>
  <c r="M6" i="23" s="1"/>
  <c r="V115" i="2"/>
  <c r="N6" i="23" s="1"/>
  <c r="X115" i="2"/>
  <c r="T117" i="2"/>
  <c r="M17" i="23" s="1"/>
  <c r="V117" i="2"/>
  <c r="N17" i="23" s="1"/>
  <c r="X117" i="2"/>
  <c r="T120" i="2"/>
  <c r="M98" i="23" s="1"/>
  <c r="V120" i="2"/>
  <c r="N98" i="23" s="1"/>
  <c r="X120" i="2"/>
  <c r="T122" i="2"/>
  <c r="M28" i="23" s="1"/>
  <c r="V122" i="2"/>
  <c r="N28" i="23" s="1"/>
  <c r="X122" i="2"/>
  <c r="T125" i="2"/>
  <c r="V125" i="2"/>
  <c r="X125" i="2"/>
  <c r="T128" i="2"/>
  <c r="M109" i="23" s="1"/>
  <c r="V128" i="2"/>
  <c r="N109" i="23" s="1"/>
  <c r="X128" i="2"/>
  <c r="J13" i="6"/>
  <c r="AC115" i="2"/>
  <c r="S6" i="23" s="1"/>
  <c r="AC117" i="2"/>
  <c r="S17" i="23" s="1"/>
  <c r="AC120" i="2"/>
  <c r="S98" i="23" s="1"/>
  <c r="AC122" i="2"/>
  <c r="S28" i="23" s="1"/>
  <c r="AC125" i="2"/>
  <c r="AC128" i="2"/>
  <c r="S109" i="23" s="1"/>
  <c r="S113" i="2"/>
  <c r="K13" i="6" s="1"/>
  <c r="C13" i="6"/>
  <c r="U113" i="2"/>
  <c r="M13" i="6" s="1"/>
  <c r="B13" i="6"/>
  <c r="W113" i="2"/>
  <c r="AA113" i="2"/>
  <c r="Q13" i="6" s="1"/>
  <c r="H13" i="6"/>
  <c r="S115" i="2"/>
  <c r="L6" i="23" s="1"/>
  <c r="U115" i="2"/>
  <c r="W115" i="2"/>
  <c r="AA115" i="2"/>
  <c r="Q6" i="23" s="1"/>
  <c r="S117" i="2"/>
  <c r="L17" i="23" s="1"/>
  <c r="U117" i="2"/>
  <c r="W117" i="2"/>
  <c r="AA117" i="2"/>
  <c r="Q17" i="23" s="1"/>
  <c r="S120" i="2"/>
  <c r="L98" i="23" s="1"/>
  <c r="U120" i="2"/>
  <c r="K98" i="23" s="1"/>
  <c r="W120" i="2"/>
  <c r="AA120" i="2"/>
  <c r="Q98" i="23" s="1"/>
  <c r="S122" i="2"/>
  <c r="L28" i="23" s="1"/>
  <c r="U122" i="2"/>
  <c r="W122" i="2"/>
  <c r="AA122" i="2"/>
  <c r="Q28" i="23" s="1"/>
  <c r="S125" i="2"/>
  <c r="U125" i="2"/>
  <c r="W125" i="2"/>
  <c r="AA125" i="2"/>
  <c r="S128" i="2"/>
  <c r="L109" i="23" s="1"/>
  <c r="U128" i="2"/>
  <c r="K109" i="23" s="1"/>
  <c r="W128" i="2"/>
  <c r="AA128" i="2"/>
  <c r="Q109" i="23" s="1"/>
  <c r="G51" i="6"/>
  <c r="G22" i="6"/>
  <c r="G58" i="6"/>
  <c r="P51" i="6"/>
  <c r="P22" i="6"/>
  <c r="P58" i="6"/>
  <c r="G65" i="6"/>
  <c r="P65" i="6"/>
  <c r="AP9" i="3"/>
  <c r="AD13" i="3"/>
  <c r="AG9" i="3"/>
  <c r="AG13" i="3" s="1"/>
  <c r="U13" i="3"/>
  <c r="AI9" i="3"/>
  <c r="AI13" i="3" s="1"/>
  <c r="W13" i="3"/>
  <c r="AK9" i="3"/>
  <c r="AK13" i="3" s="1"/>
  <c r="Y13" i="3"/>
  <c r="AP30" i="3"/>
  <c r="AD34" i="3"/>
  <c r="J53" i="23" s="1"/>
  <c r="AG30" i="3"/>
  <c r="U34" i="3"/>
  <c r="D53" i="23" s="1"/>
  <c r="AI30" i="3"/>
  <c r="W34" i="3"/>
  <c r="E53" i="23" s="1"/>
  <c r="AK30" i="3"/>
  <c r="Y34" i="3"/>
  <c r="AO37" i="3"/>
  <c r="AC41" i="3"/>
  <c r="I18" i="23" s="1"/>
  <c r="AF37" i="3"/>
  <c r="T41" i="3"/>
  <c r="C18" i="23" s="1"/>
  <c r="AH37" i="3"/>
  <c r="V41" i="3"/>
  <c r="B18" i="23" s="1"/>
  <c r="AJ37" i="3"/>
  <c r="X41" i="3"/>
  <c r="AN37" i="3"/>
  <c r="AB41" i="3"/>
  <c r="H18" i="23" s="1"/>
  <c r="AP57" i="3"/>
  <c r="AD61" i="3"/>
  <c r="AG57" i="3"/>
  <c r="AG61" i="3" s="1"/>
  <c r="U61" i="3"/>
  <c r="AI57" i="3"/>
  <c r="W61" i="3"/>
  <c r="AK57" i="3"/>
  <c r="Y61" i="3"/>
  <c r="AO70" i="3"/>
  <c r="AC74" i="3"/>
  <c r="I29" i="23" s="1"/>
  <c r="AF70" i="3"/>
  <c r="T74" i="3"/>
  <c r="C29" i="23" s="1"/>
  <c r="AH70" i="3"/>
  <c r="V74" i="3"/>
  <c r="B29" i="23" s="1"/>
  <c r="AJ70" i="3"/>
  <c r="X74" i="3"/>
  <c r="AN70" i="3"/>
  <c r="AB74" i="3"/>
  <c r="H29" i="23" s="1"/>
  <c r="AO115" i="3"/>
  <c r="AC118" i="3"/>
  <c r="I167" i="23" s="1"/>
  <c r="AF115" i="3"/>
  <c r="T118" i="3"/>
  <c r="C167" i="23" s="1"/>
  <c r="AH115" i="3"/>
  <c r="V118" i="3"/>
  <c r="B167" i="23" s="1"/>
  <c r="AJ115" i="3"/>
  <c r="X118" i="3"/>
  <c r="AN115" i="3"/>
  <c r="AB118" i="3"/>
  <c r="H167" i="23" s="1"/>
  <c r="AO9" i="3"/>
  <c r="AC13" i="3"/>
  <c r="AF9" i="3"/>
  <c r="T13" i="3"/>
  <c r="AH9" i="3"/>
  <c r="V13" i="3"/>
  <c r="AJ9" i="3"/>
  <c r="X13" i="3"/>
  <c r="AN9" i="3"/>
  <c r="AB13" i="3"/>
  <c r="AO30" i="3"/>
  <c r="AC34" i="3"/>
  <c r="I53" i="23" s="1"/>
  <c r="AF30" i="3"/>
  <c r="T34" i="3"/>
  <c r="C53" i="23" s="1"/>
  <c r="AH30" i="3"/>
  <c r="V34" i="3"/>
  <c r="B53" i="23" s="1"/>
  <c r="AJ30" i="3"/>
  <c r="X34" i="3"/>
  <c r="AN30" i="3"/>
  <c r="AB34" i="3"/>
  <c r="H53" i="23" s="1"/>
  <c r="AP37" i="3"/>
  <c r="AD41" i="3"/>
  <c r="J18" i="23" s="1"/>
  <c r="AG37" i="3"/>
  <c r="U41" i="3"/>
  <c r="D18" i="23" s="1"/>
  <c r="AI37" i="3"/>
  <c r="W41" i="3"/>
  <c r="E18" i="23" s="1"/>
  <c r="AK37" i="3"/>
  <c r="Y41" i="3"/>
  <c r="AO57" i="3"/>
  <c r="AC61" i="3"/>
  <c r="AF57" i="3"/>
  <c r="T61" i="3"/>
  <c r="AH57" i="3"/>
  <c r="V61" i="3"/>
  <c r="AJ57" i="3"/>
  <c r="X61" i="3"/>
  <c r="AN57" i="3"/>
  <c r="AB61" i="3"/>
  <c r="AP70" i="3"/>
  <c r="AD74" i="3"/>
  <c r="J29" i="23" s="1"/>
  <c r="AG70" i="3"/>
  <c r="U74" i="3"/>
  <c r="D29" i="23" s="1"/>
  <c r="AI70" i="3"/>
  <c r="W74" i="3"/>
  <c r="E29" i="23" s="1"/>
  <c r="AK70" i="3"/>
  <c r="Y74" i="3"/>
  <c r="AP115" i="3"/>
  <c r="AD118" i="3"/>
  <c r="J167" i="23" s="1"/>
  <c r="AG115" i="3"/>
  <c r="U118" i="3"/>
  <c r="D167" i="23" s="1"/>
  <c r="AI115" i="3"/>
  <c r="W118" i="3"/>
  <c r="E167" i="23" s="1"/>
  <c r="AK115" i="3"/>
  <c r="Y118" i="3"/>
  <c r="M14" i="6"/>
  <c r="AO10" i="3"/>
  <c r="AF10" i="3"/>
  <c r="AH10" i="3"/>
  <c r="AJ10" i="3"/>
  <c r="AN10" i="3"/>
  <c r="AO31" i="3"/>
  <c r="AF31" i="3"/>
  <c r="AH31" i="3"/>
  <c r="AJ31" i="3"/>
  <c r="AN31" i="3"/>
  <c r="AO38" i="3"/>
  <c r="AF38" i="3"/>
  <c r="AH38" i="3"/>
  <c r="AJ38" i="3"/>
  <c r="AN38" i="3"/>
  <c r="AO58" i="3"/>
  <c r="AF58" i="3"/>
  <c r="AH58" i="3"/>
  <c r="AJ58" i="3"/>
  <c r="AN58" i="3"/>
  <c r="AO71" i="3"/>
  <c r="AF71" i="3"/>
  <c r="AH71" i="3"/>
  <c r="AJ71" i="3"/>
  <c r="AN71" i="3"/>
  <c r="AO116" i="3"/>
  <c r="AF116" i="3"/>
  <c r="AH116" i="3"/>
  <c r="AJ116" i="3"/>
  <c r="AN116" i="3"/>
  <c r="AK31" i="3"/>
  <c r="AI58" i="3"/>
  <c r="AI61" i="3" s="1"/>
  <c r="AK58" i="3"/>
  <c r="AI73" i="3"/>
  <c r="AH60" i="3"/>
  <c r="AI33" i="3"/>
  <c r="AI40" i="3"/>
  <c r="AF60" i="3"/>
  <c r="AJ60" i="3"/>
  <c r="AN60" i="3"/>
  <c r="AG73" i="3"/>
  <c r="AK73" i="3"/>
  <c r="AG117" i="3"/>
  <c r="AK117" i="3"/>
  <c r="AG33" i="3"/>
  <c r="AK33" i="3"/>
  <c r="AG40" i="3"/>
  <c r="AK40" i="3"/>
  <c r="AI117" i="3"/>
  <c r="AO117" i="3"/>
  <c r="AF117" i="3"/>
  <c r="AH117" i="3"/>
  <c r="AJ117" i="3"/>
  <c r="AN117" i="3"/>
  <c r="AP117" i="3"/>
  <c r="AO73" i="3"/>
  <c r="AF73" i="3"/>
  <c r="AH73" i="3"/>
  <c r="AJ73" i="3"/>
  <c r="AN73" i="3"/>
  <c r="AP73" i="3"/>
  <c r="AP60" i="3"/>
  <c r="AO40" i="3"/>
  <c r="AF40" i="3"/>
  <c r="AH40" i="3"/>
  <c r="AJ40" i="3"/>
  <c r="AN40" i="3"/>
  <c r="AP40" i="3"/>
  <c r="AO33" i="3"/>
  <c r="AF33" i="3"/>
  <c r="AH33" i="3"/>
  <c r="AJ33" i="3"/>
  <c r="AN33" i="3"/>
  <c r="AP33" i="3"/>
  <c r="AO12" i="3"/>
  <c r="AP12" i="3"/>
  <c r="AF12" i="3"/>
  <c r="AH12" i="3"/>
  <c r="AJ12" i="3"/>
  <c r="AN12" i="3"/>
  <c r="P45" i="22"/>
  <c r="P44" i="22"/>
  <c r="P43" i="22"/>
  <c r="P42" i="22"/>
  <c r="P41" i="22"/>
  <c r="P40" i="22"/>
  <c r="X42" i="22"/>
  <c r="W42" i="22"/>
  <c r="K85" i="22" s="1"/>
  <c r="U42" i="22"/>
  <c r="T42" i="22"/>
  <c r="H85" i="22" s="1"/>
  <c r="S42" i="22"/>
  <c r="G85" i="22" s="1"/>
  <c r="R42" i="22"/>
  <c r="F85" i="22" s="1"/>
  <c r="Q42" i="22"/>
  <c r="Y42" i="22"/>
  <c r="M85" i="22" s="1"/>
  <c r="V42" i="22"/>
  <c r="J85" i="22" s="1"/>
  <c r="P36" i="22"/>
  <c r="P35" i="22"/>
  <c r="P34" i="22"/>
  <c r="P28" i="22"/>
  <c r="P27" i="22"/>
  <c r="P26" i="22"/>
  <c r="P25" i="22"/>
  <c r="P21" i="22"/>
  <c r="P20" i="22"/>
  <c r="P19" i="22"/>
  <c r="P18" i="22"/>
  <c r="P17" i="22"/>
  <c r="X8" i="22"/>
  <c r="L51" i="22" s="1"/>
  <c r="W8" i="22"/>
  <c r="U8" i="22"/>
  <c r="I51" i="22" s="1"/>
  <c r="T8" i="22"/>
  <c r="S8" i="22"/>
  <c r="G51" i="22" s="1"/>
  <c r="R8" i="22"/>
  <c r="F51" i="22" s="1"/>
  <c r="Q8" i="22"/>
  <c r="E51" i="22" s="1"/>
  <c r="Y8" i="22"/>
  <c r="V8" i="22"/>
  <c r="A89" i="22"/>
  <c r="A88" i="22"/>
  <c r="A87" i="22"/>
  <c r="A86" i="22"/>
  <c r="A85" i="22"/>
  <c r="A84" i="22"/>
  <c r="A83" i="22"/>
  <c r="A82" i="22"/>
  <c r="A80" i="22"/>
  <c r="A79" i="22"/>
  <c r="A78" i="22"/>
  <c r="A77" i="22"/>
  <c r="A76" i="22"/>
  <c r="A75" i="22"/>
  <c r="A72" i="22"/>
  <c r="A71" i="22"/>
  <c r="A70" i="22"/>
  <c r="A69" i="22"/>
  <c r="A68" i="22"/>
  <c r="A67" i="22"/>
  <c r="A65" i="22"/>
  <c r="A64" i="22"/>
  <c r="A63" i="22"/>
  <c r="A62" i="22"/>
  <c r="A61" i="22"/>
  <c r="A60" i="22"/>
  <c r="A59" i="22"/>
  <c r="A58" i="22"/>
  <c r="A56" i="22"/>
  <c r="A55" i="22"/>
  <c r="A54" i="22"/>
  <c r="A53" i="22"/>
  <c r="A52" i="22"/>
  <c r="A51" i="22"/>
  <c r="A50" i="22"/>
  <c r="X45" i="22"/>
  <c r="L88" i="22" s="1"/>
  <c r="W45" i="22"/>
  <c r="K88" i="22" s="1"/>
  <c r="U45" i="22"/>
  <c r="I88" i="22" s="1"/>
  <c r="T45" i="22"/>
  <c r="H88" i="22" s="1"/>
  <c r="S45" i="22"/>
  <c r="G88" i="22" s="1"/>
  <c r="R45" i="22"/>
  <c r="F88" i="22" s="1"/>
  <c r="Q45" i="22"/>
  <c r="E88" i="22" s="1"/>
  <c r="Y45" i="22"/>
  <c r="M88" i="22" s="1"/>
  <c r="V45" i="22"/>
  <c r="J88" i="22" s="1"/>
  <c r="X44" i="22"/>
  <c r="W44" i="22"/>
  <c r="K87" i="22" s="1"/>
  <c r="U44" i="22"/>
  <c r="I87" i="22" s="1"/>
  <c r="T44" i="22"/>
  <c r="S44" i="22"/>
  <c r="R44" i="22"/>
  <c r="F87" i="22" s="1"/>
  <c r="Q44" i="22"/>
  <c r="Y44" i="22"/>
  <c r="M87" i="22" s="1"/>
  <c r="V44" i="22"/>
  <c r="X43" i="22"/>
  <c r="W43" i="22"/>
  <c r="K86" i="22" s="1"/>
  <c r="U43" i="22"/>
  <c r="T43" i="22"/>
  <c r="S43" i="22"/>
  <c r="G86" i="22" s="1"/>
  <c r="R43" i="22"/>
  <c r="Q43" i="22"/>
  <c r="E86" i="22" s="1"/>
  <c r="Y43" i="22"/>
  <c r="V43" i="22"/>
  <c r="L85" i="22"/>
  <c r="I85" i="22"/>
  <c r="E85" i="22"/>
  <c r="X41" i="22"/>
  <c r="L84" i="22" s="1"/>
  <c r="W41" i="22"/>
  <c r="K84" i="22" s="1"/>
  <c r="U41" i="22"/>
  <c r="I84" i="22" s="1"/>
  <c r="T41" i="22"/>
  <c r="H84" i="22" s="1"/>
  <c r="S41" i="22"/>
  <c r="G84" i="22" s="1"/>
  <c r="R41" i="22"/>
  <c r="F84" i="22" s="1"/>
  <c r="Q41" i="22"/>
  <c r="E84" i="22" s="1"/>
  <c r="Y41" i="22"/>
  <c r="M84" i="22" s="1"/>
  <c r="V41" i="22"/>
  <c r="J84" i="22" s="1"/>
  <c r="X40" i="22"/>
  <c r="W40" i="22"/>
  <c r="U40" i="22"/>
  <c r="T40" i="22"/>
  <c r="S40" i="22"/>
  <c r="R40" i="22"/>
  <c r="Q40" i="22"/>
  <c r="Y40" i="22"/>
  <c r="M83" i="22" s="1"/>
  <c r="V40" i="22"/>
  <c r="X36" i="22"/>
  <c r="W36" i="22"/>
  <c r="U36" i="22"/>
  <c r="T36" i="22"/>
  <c r="S36" i="22"/>
  <c r="R36" i="22"/>
  <c r="Q36" i="22"/>
  <c r="E79" i="22" s="1"/>
  <c r="Y36" i="22"/>
  <c r="V36" i="22"/>
  <c r="X35" i="22"/>
  <c r="W35" i="22"/>
  <c r="U35" i="22"/>
  <c r="T35" i="22"/>
  <c r="S35" i="22"/>
  <c r="R35" i="22"/>
  <c r="Q35" i="22"/>
  <c r="Y35" i="22"/>
  <c r="M78" i="22" s="1"/>
  <c r="V35" i="22"/>
  <c r="X34" i="22"/>
  <c r="L77" i="22" s="1"/>
  <c r="W34" i="22"/>
  <c r="U34" i="22"/>
  <c r="T34" i="22"/>
  <c r="S34" i="22"/>
  <c r="G77" i="22" s="1"/>
  <c r="R34" i="22"/>
  <c r="Q34" i="22"/>
  <c r="Y34" i="22"/>
  <c r="V34" i="22"/>
  <c r="J77" i="22" s="1"/>
  <c r="X33" i="22"/>
  <c r="W33" i="22"/>
  <c r="U33" i="22"/>
  <c r="T33" i="22"/>
  <c r="S33" i="22"/>
  <c r="R33" i="22"/>
  <c r="Q33" i="22"/>
  <c r="P33" i="22"/>
  <c r="Y33" i="22"/>
  <c r="V33" i="22"/>
  <c r="X28" i="22"/>
  <c r="L71" i="22" s="1"/>
  <c r="W28" i="22"/>
  <c r="U28" i="22"/>
  <c r="T28" i="22"/>
  <c r="S28" i="22"/>
  <c r="R28" i="22"/>
  <c r="Q28" i="22"/>
  <c r="Y28" i="22"/>
  <c r="V28" i="22"/>
  <c r="J71" i="22" s="1"/>
  <c r="X27" i="22"/>
  <c r="L70" i="22" s="1"/>
  <c r="W27" i="22"/>
  <c r="U27" i="22"/>
  <c r="I70" i="22" s="1"/>
  <c r="T27" i="22"/>
  <c r="S27" i="22"/>
  <c r="G70" i="22" s="1"/>
  <c r="R27" i="22"/>
  <c r="Q27" i="22"/>
  <c r="E70" i="22" s="1"/>
  <c r="Y27" i="22"/>
  <c r="M70" i="22" s="1"/>
  <c r="V27" i="22"/>
  <c r="J70" i="22" s="1"/>
  <c r="X26" i="22"/>
  <c r="L69" i="22" s="1"/>
  <c r="W26" i="22"/>
  <c r="U26" i="22"/>
  <c r="T26" i="22"/>
  <c r="H69" i="22" s="1"/>
  <c r="S26" i="22"/>
  <c r="R26" i="22"/>
  <c r="F69" i="22" s="1"/>
  <c r="Q26" i="22"/>
  <c r="Y26" i="22"/>
  <c r="M69" i="22" s="1"/>
  <c r="V26" i="22"/>
  <c r="J69" i="22" s="1"/>
  <c r="X25" i="22"/>
  <c r="W25" i="22"/>
  <c r="U25" i="22"/>
  <c r="T25" i="22"/>
  <c r="S25" i="22"/>
  <c r="R25" i="22"/>
  <c r="Q25" i="22"/>
  <c r="E68" i="22" s="1"/>
  <c r="Y25" i="22"/>
  <c r="V25" i="22"/>
  <c r="X21" i="22"/>
  <c r="L64" i="22" s="1"/>
  <c r="W21" i="22"/>
  <c r="K64" i="22" s="1"/>
  <c r="U21" i="22"/>
  <c r="T21" i="22"/>
  <c r="S21" i="22"/>
  <c r="G64" i="22" s="1"/>
  <c r="R21" i="22"/>
  <c r="F64" i="22" s="1"/>
  <c r="Q21" i="22"/>
  <c r="E64" i="22" s="1"/>
  <c r="Y21" i="22"/>
  <c r="V21" i="22"/>
  <c r="J64" i="22" s="1"/>
  <c r="X20" i="22"/>
  <c r="W20" i="22"/>
  <c r="U20" i="22"/>
  <c r="T20" i="22"/>
  <c r="S20" i="22"/>
  <c r="G63" i="22" s="1"/>
  <c r="R20" i="22"/>
  <c r="Q20" i="22"/>
  <c r="Y20" i="22"/>
  <c r="V20" i="22"/>
  <c r="X19" i="22"/>
  <c r="L62" i="22" s="1"/>
  <c r="W19" i="22"/>
  <c r="U19" i="22"/>
  <c r="I62" i="22" s="1"/>
  <c r="T19" i="22"/>
  <c r="S19" i="22"/>
  <c r="G62" i="22" s="1"/>
  <c r="R19" i="22"/>
  <c r="Q19" i="22"/>
  <c r="E62" i="22" s="1"/>
  <c r="Y19" i="22"/>
  <c r="M62" i="22" s="1"/>
  <c r="V19" i="22"/>
  <c r="J62" i="22" s="1"/>
  <c r="X18" i="22"/>
  <c r="W18" i="22"/>
  <c r="U18" i="22"/>
  <c r="I61" i="22" s="1"/>
  <c r="T18" i="22"/>
  <c r="S18" i="22"/>
  <c r="R18" i="22"/>
  <c r="Q18" i="22"/>
  <c r="E61" i="22" s="1"/>
  <c r="Y18" i="22"/>
  <c r="V18" i="22"/>
  <c r="X17" i="22"/>
  <c r="L60" i="22" s="1"/>
  <c r="W17" i="22"/>
  <c r="K60" i="22" s="1"/>
  <c r="U17" i="22"/>
  <c r="T17" i="22"/>
  <c r="S17" i="22"/>
  <c r="R17" i="22"/>
  <c r="Q17" i="22"/>
  <c r="Y17" i="22"/>
  <c r="V17" i="22"/>
  <c r="J60" i="22" s="1"/>
  <c r="X16" i="22"/>
  <c r="W16" i="22"/>
  <c r="U16" i="22"/>
  <c r="T16" i="22"/>
  <c r="S16" i="22"/>
  <c r="R16" i="22"/>
  <c r="Q16" i="22"/>
  <c r="P16" i="22"/>
  <c r="Y16" i="22"/>
  <c r="V16" i="22"/>
  <c r="X12" i="22"/>
  <c r="L55" i="22" s="1"/>
  <c r="W12" i="22"/>
  <c r="U12" i="22"/>
  <c r="I55" i="22" s="1"/>
  <c r="T12" i="22"/>
  <c r="S12" i="22"/>
  <c r="G55" i="22" s="1"/>
  <c r="R12" i="22"/>
  <c r="Q12" i="22"/>
  <c r="E55" i="22" s="1"/>
  <c r="Y12" i="22"/>
  <c r="M55" i="22" s="1"/>
  <c r="V12" i="22"/>
  <c r="J55" i="22" s="1"/>
  <c r="X11" i="22"/>
  <c r="L54" i="22" s="1"/>
  <c r="W11" i="22"/>
  <c r="U11" i="22"/>
  <c r="I54" i="22" s="1"/>
  <c r="T11" i="22"/>
  <c r="S11" i="22"/>
  <c r="G54" i="22" s="1"/>
  <c r="R11" i="22"/>
  <c r="Q11" i="22"/>
  <c r="E54" i="22" s="1"/>
  <c r="Y11" i="22"/>
  <c r="M54" i="22" s="1"/>
  <c r="V11" i="22"/>
  <c r="J54" i="22" s="1"/>
  <c r="X10" i="22"/>
  <c r="L53" i="22" s="1"/>
  <c r="W10" i="22"/>
  <c r="U10" i="22"/>
  <c r="I53" i="22" s="1"/>
  <c r="T10" i="22"/>
  <c r="S10" i="22"/>
  <c r="G53" i="22" s="1"/>
  <c r="R10" i="22"/>
  <c r="Q10" i="22"/>
  <c r="E53" i="22" s="1"/>
  <c r="Y10" i="22"/>
  <c r="M53" i="22" s="1"/>
  <c r="V10" i="22"/>
  <c r="J53" i="22" s="1"/>
  <c r="X9" i="22"/>
  <c r="L52" i="22" s="1"/>
  <c r="W9" i="22"/>
  <c r="U9" i="22"/>
  <c r="I52" i="22" s="1"/>
  <c r="T9" i="22"/>
  <c r="S9" i="22"/>
  <c r="G52" i="22" s="1"/>
  <c r="R9" i="22"/>
  <c r="Q9" i="22"/>
  <c r="E52" i="22" s="1"/>
  <c r="Y9" i="22"/>
  <c r="M52" i="22" s="1"/>
  <c r="V9" i="22"/>
  <c r="J52" i="22" s="1"/>
  <c r="K51" i="22"/>
  <c r="H51" i="22"/>
  <c r="P25" i="21"/>
  <c r="P24" i="21"/>
  <c r="P23" i="21"/>
  <c r="P22" i="21"/>
  <c r="P18" i="21"/>
  <c r="P15" i="21"/>
  <c r="P14" i="21"/>
  <c r="P13" i="21"/>
  <c r="P11" i="21"/>
  <c r="P10" i="21"/>
  <c r="P9" i="21"/>
  <c r="P8" i="21"/>
  <c r="A95" i="21"/>
  <c r="A94" i="21"/>
  <c r="A93" i="21"/>
  <c r="A92" i="21"/>
  <c r="A91" i="21"/>
  <c r="A90" i="21"/>
  <c r="A89" i="21"/>
  <c r="A87" i="21"/>
  <c r="A86" i="21"/>
  <c r="A85" i="21"/>
  <c r="A84" i="21"/>
  <c r="A83" i="21"/>
  <c r="A80" i="21"/>
  <c r="A79" i="21"/>
  <c r="A78" i="21"/>
  <c r="A77" i="21"/>
  <c r="A76" i="21"/>
  <c r="A75" i="21"/>
  <c r="A72" i="21"/>
  <c r="A71" i="21"/>
  <c r="A70" i="21"/>
  <c r="A69" i="21"/>
  <c r="A68" i="21"/>
  <c r="A67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X48" i="21"/>
  <c r="W48" i="21"/>
  <c r="U48" i="21"/>
  <c r="T48" i="21"/>
  <c r="S48" i="21"/>
  <c r="R48" i="21"/>
  <c r="Q48" i="21"/>
  <c r="P48" i="21"/>
  <c r="Y48" i="21"/>
  <c r="V48" i="21"/>
  <c r="X47" i="21"/>
  <c r="W47" i="21"/>
  <c r="U47" i="21"/>
  <c r="T47" i="21"/>
  <c r="S47" i="21"/>
  <c r="R47" i="21"/>
  <c r="Q47" i="21"/>
  <c r="P47" i="21"/>
  <c r="Y47" i="21"/>
  <c r="V47" i="21"/>
  <c r="J93" i="21" s="1"/>
  <c r="X46" i="21"/>
  <c r="W46" i="21"/>
  <c r="U46" i="21"/>
  <c r="T46" i="21"/>
  <c r="S46" i="21"/>
  <c r="R46" i="21"/>
  <c r="Q46" i="21"/>
  <c r="P46" i="21"/>
  <c r="Y46" i="21"/>
  <c r="V46" i="21"/>
  <c r="X45" i="21"/>
  <c r="W45" i="21"/>
  <c r="U45" i="21"/>
  <c r="T45" i="21"/>
  <c r="S45" i="21"/>
  <c r="R45" i="21"/>
  <c r="Q45" i="21"/>
  <c r="P45" i="21"/>
  <c r="Y45" i="21"/>
  <c r="V45" i="21"/>
  <c r="J91" i="21" s="1"/>
  <c r="X44" i="21"/>
  <c r="W44" i="21"/>
  <c r="U44" i="21"/>
  <c r="T44" i="21"/>
  <c r="S44" i="21"/>
  <c r="R44" i="21"/>
  <c r="Q44" i="21"/>
  <c r="P44" i="21"/>
  <c r="Y44" i="21"/>
  <c r="V44" i="21"/>
  <c r="X40" i="21"/>
  <c r="W40" i="21"/>
  <c r="U40" i="21"/>
  <c r="T40" i="21"/>
  <c r="S40" i="21"/>
  <c r="R40" i="21"/>
  <c r="Q40" i="21"/>
  <c r="P40" i="21"/>
  <c r="Y40" i="21"/>
  <c r="V40" i="21"/>
  <c r="J86" i="21" s="1"/>
  <c r="X39" i="21"/>
  <c r="W39" i="21"/>
  <c r="U39" i="21"/>
  <c r="T39" i="21"/>
  <c r="S39" i="21"/>
  <c r="R39" i="21"/>
  <c r="Q39" i="21"/>
  <c r="P39" i="21"/>
  <c r="K85" i="21" s="1"/>
  <c r="Y39" i="21"/>
  <c r="V39" i="21"/>
  <c r="X38" i="21"/>
  <c r="W38" i="21"/>
  <c r="W41" i="21" s="1"/>
  <c r="U38" i="21"/>
  <c r="T38" i="21"/>
  <c r="S38" i="21"/>
  <c r="R38" i="21"/>
  <c r="Q38" i="21"/>
  <c r="P38" i="21"/>
  <c r="Y38" i="21"/>
  <c r="V38" i="21"/>
  <c r="X33" i="21"/>
  <c r="W33" i="21"/>
  <c r="U33" i="21"/>
  <c r="T33" i="21"/>
  <c r="S33" i="21"/>
  <c r="R33" i="21"/>
  <c r="Q33" i="21"/>
  <c r="P33" i="21"/>
  <c r="Y33" i="21"/>
  <c r="V33" i="21"/>
  <c r="X32" i="21"/>
  <c r="W32" i="21"/>
  <c r="U32" i="21"/>
  <c r="T32" i="21"/>
  <c r="S32" i="21"/>
  <c r="R32" i="21"/>
  <c r="Q32" i="21"/>
  <c r="P32" i="21"/>
  <c r="Y32" i="21"/>
  <c r="V32" i="21"/>
  <c r="J78" i="21" s="1"/>
  <c r="X31" i="21"/>
  <c r="W31" i="21"/>
  <c r="U31" i="21"/>
  <c r="T31" i="21"/>
  <c r="S31" i="21"/>
  <c r="R31" i="21"/>
  <c r="Q31" i="21"/>
  <c r="P31" i="21"/>
  <c r="Y31" i="21"/>
  <c r="V31" i="21"/>
  <c r="X30" i="21"/>
  <c r="W30" i="21"/>
  <c r="U30" i="21"/>
  <c r="T30" i="21"/>
  <c r="S30" i="21"/>
  <c r="R30" i="21"/>
  <c r="Q30" i="21"/>
  <c r="P30" i="21"/>
  <c r="Y30" i="21"/>
  <c r="V30" i="21"/>
  <c r="J76" i="21" s="1"/>
  <c r="X25" i="21"/>
  <c r="W25" i="21"/>
  <c r="U25" i="21"/>
  <c r="T25" i="21"/>
  <c r="S25" i="21"/>
  <c r="R25" i="21"/>
  <c r="Q25" i="21"/>
  <c r="Y25" i="21"/>
  <c r="V25" i="21"/>
  <c r="X24" i="21"/>
  <c r="W24" i="21"/>
  <c r="K70" i="21" s="1"/>
  <c r="U24" i="21"/>
  <c r="I70" i="21" s="1"/>
  <c r="T24" i="21"/>
  <c r="S24" i="21"/>
  <c r="R24" i="21"/>
  <c r="F70" i="21" s="1"/>
  <c r="Q24" i="21"/>
  <c r="E70" i="21" s="1"/>
  <c r="Y24" i="21"/>
  <c r="M70" i="21" s="1"/>
  <c r="V24" i="21"/>
  <c r="X23" i="21"/>
  <c r="W23" i="21"/>
  <c r="K69" i="21" s="1"/>
  <c r="U23" i="21"/>
  <c r="T23" i="21"/>
  <c r="H69" i="21" s="1"/>
  <c r="S23" i="21"/>
  <c r="R23" i="21"/>
  <c r="F69" i="21" s="1"/>
  <c r="Q23" i="21"/>
  <c r="Y23" i="21"/>
  <c r="M69" i="21" s="1"/>
  <c r="V23" i="21"/>
  <c r="X22" i="21"/>
  <c r="L68" i="21" s="1"/>
  <c r="W22" i="21"/>
  <c r="U22" i="21"/>
  <c r="T22" i="21"/>
  <c r="H68" i="21" s="1"/>
  <c r="S22" i="21"/>
  <c r="R22" i="21"/>
  <c r="F68" i="21" s="1"/>
  <c r="Q22" i="21"/>
  <c r="Y22" i="21"/>
  <c r="V22" i="21"/>
  <c r="J68" i="21" s="1"/>
  <c r="X18" i="21"/>
  <c r="W18" i="21"/>
  <c r="U18" i="21"/>
  <c r="T18" i="21"/>
  <c r="H64" i="21" s="1"/>
  <c r="S18" i="21"/>
  <c r="R18" i="21"/>
  <c r="Q18" i="21"/>
  <c r="Y18" i="21"/>
  <c r="M64" i="21" s="1"/>
  <c r="V18" i="21"/>
  <c r="X17" i="21"/>
  <c r="L63" i="21" s="1"/>
  <c r="W17" i="21"/>
  <c r="K63" i="21" s="1"/>
  <c r="U17" i="21"/>
  <c r="I63" i="21" s="1"/>
  <c r="T17" i="21"/>
  <c r="H63" i="21" s="1"/>
  <c r="S17" i="21"/>
  <c r="G63" i="21" s="1"/>
  <c r="R17" i="21"/>
  <c r="F63" i="21" s="1"/>
  <c r="Q17" i="21"/>
  <c r="E63" i="21" s="1"/>
  <c r="Y17" i="21"/>
  <c r="M63" i="21" s="1"/>
  <c r="V17" i="21"/>
  <c r="J63" i="21" s="1"/>
  <c r="X16" i="21"/>
  <c r="L62" i="21" s="1"/>
  <c r="W16" i="21"/>
  <c r="K62" i="21" s="1"/>
  <c r="U16" i="21"/>
  <c r="I62" i="21" s="1"/>
  <c r="T16" i="21"/>
  <c r="H62" i="21" s="1"/>
  <c r="S16" i="21"/>
  <c r="G62" i="21" s="1"/>
  <c r="R16" i="21"/>
  <c r="F62" i="21" s="1"/>
  <c r="Q16" i="21"/>
  <c r="E62" i="21" s="1"/>
  <c r="Y16" i="21"/>
  <c r="M62" i="21" s="1"/>
  <c r="V16" i="21"/>
  <c r="J62" i="21" s="1"/>
  <c r="X15" i="21"/>
  <c r="L61" i="21" s="1"/>
  <c r="W15" i="21"/>
  <c r="K61" i="21" s="1"/>
  <c r="U15" i="21"/>
  <c r="I61" i="21" s="1"/>
  <c r="T15" i="21"/>
  <c r="H61" i="21" s="1"/>
  <c r="S15" i="21"/>
  <c r="G61" i="21" s="1"/>
  <c r="R15" i="21"/>
  <c r="F61" i="21" s="1"/>
  <c r="Q15" i="21"/>
  <c r="E61" i="21" s="1"/>
  <c r="Y15" i="21"/>
  <c r="M61" i="21" s="1"/>
  <c r="V15" i="21"/>
  <c r="J61" i="21" s="1"/>
  <c r="X14" i="21"/>
  <c r="W14" i="21"/>
  <c r="U14" i="21"/>
  <c r="T14" i="21"/>
  <c r="S14" i="21"/>
  <c r="R14" i="21"/>
  <c r="Q14" i="21"/>
  <c r="Y14" i="21"/>
  <c r="V14" i="21"/>
  <c r="X13" i="21"/>
  <c r="W13" i="21"/>
  <c r="U13" i="21"/>
  <c r="T13" i="21"/>
  <c r="S13" i="21"/>
  <c r="R13" i="21"/>
  <c r="F59" i="21" s="1"/>
  <c r="Q13" i="21"/>
  <c r="E59" i="21" s="1"/>
  <c r="Y13" i="21"/>
  <c r="V13" i="21"/>
  <c r="X12" i="21"/>
  <c r="W12" i="21"/>
  <c r="U12" i="21"/>
  <c r="T12" i="21"/>
  <c r="S12" i="21"/>
  <c r="R12" i="21"/>
  <c r="Q12" i="21"/>
  <c r="P12" i="21"/>
  <c r="Y12" i="21"/>
  <c r="V12" i="21"/>
  <c r="J58" i="21" s="1"/>
  <c r="X11" i="21"/>
  <c r="W11" i="21"/>
  <c r="U11" i="21"/>
  <c r="T11" i="21"/>
  <c r="S11" i="21"/>
  <c r="R11" i="21"/>
  <c r="Q11" i="21"/>
  <c r="Y11" i="21"/>
  <c r="V11" i="21"/>
  <c r="X10" i="21"/>
  <c r="W10" i="21"/>
  <c r="K56" i="21" s="1"/>
  <c r="U10" i="21"/>
  <c r="T10" i="21"/>
  <c r="H56" i="21" s="1"/>
  <c r="S10" i="21"/>
  <c r="R10" i="21"/>
  <c r="F56" i="21" s="1"/>
  <c r="Q10" i="21"/>
  <c r="Y10" i="21"/>
  <c r="V10" i="21"/>
  <c r="X9" i="21"/>
  <c r="W9" i="21"/>
  <c r="K55" i="21" s="1"/>
  <c r="U9" i="21"/>
  <c r="T9" i="21"/>
  <c r="H55" i="21" s="1"/>
  <c r="S9" i="21"/>
  <c r="R9" i="21"/>
  <c r="F55" i="21" s="1"/>
  <c r="Q9" i="21"/>
  <c r="Y9" i="21"/>
  <c r="M55" i="21" s="1"/>
  <c r="V9" i="21"/>
  <c r="X8" i="21"/>
  <c r="L54" i="21" s="1"/>
  <c r="W8" i="21"/>
  <c r="K54" i="21" s="1"/>
  <c r="U8" i="21"/>
  <c r="T8" i="21"/>
  <c r="H54" i="21" s="1"/>
  <c r="S8" i="21"/>
  <c r="G54" i="21" s="1"/>
  <c r="R8" i="21"/>
  <c r="Q8" i="21"/>
  <c r="Y8" i="21"/>
  <c r="V8" i="21"/>
  <c r="A103" i="19"/>
  <c r="A95" i="20"/>
  <c r="P49" i="20"/>
  <c r="P48" i="20"/>
  <c r="P47" i="20"/>
  <c r="P46" i="20"/>
  <c r="P45" i="20"/>
  <c r="P44" i="20"/>
  <c r="X48" i="20"/>
  <c r="W48" i="20"/>
  <c r="U48" i="20"/>
  <c r="T48" i="20"/>
  <c r="H95" i="20" s="1"/>
  <c r="S48" i="20"/>
  <c r="R48" i="20"/>
  <c r="Q48" i="20"/>
  <c r="Y48" i="20"/>
  <c r="M95" i="20" s="1"/>
  <c r="V48" i="20"/>
  <c r="P33" i="20"/>
  <c r="P32" i="20"/>
  <c r="P31" i="20"/>
  <c r="P30" i="20"/>
  <c r="P17" i="20"/>
  <c r="P14" i="20"/>
  <c r="P12" i="20"/>
  <c r="P11" i="20"/>
  <c r="P10" i="20"/>
  <c r="P8" i="20"/>
  <c r="A97" i="20"/>
  <c r="A96" i="20"/>
  <c r="A94" i="20"/>
  <c r="A93" i="20"/>
  <c r="A92" i="20"/>
  <c r="A91" i="20"/>
  <c r="A90" i="20"/>
  <c r="A88" i="20"/>
  <c r="A87" i="20"/>
  <c r="A86" i="20"/>
  <c r="A85" i="20"/>
  <c r="A84" i="20"/>
  <c r="A81" i="20"/>
  <c r="A80" i="20"/>
  <c r="A79" i="20"/>
  <c r="A78" i="20"/>
  <c r="A77" i="20"/>
  <c r="A76" i="20"/>
  <c r="A73" i="20"/>
  <c r="A72" i="20"/>
  <c r="A71" i="20"/>
  <c r="A70" i="20"/>
  <c r="A69" i="20"/>
  <c r="A68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X49" i="20"/>
  <c r="W49" i="20"/>
  <c r="U49" i="20"/>
  <c r="T49" i="20"/>
  <c r="S49" i="20"/>
  <c r="R49" i="20"/>
  <c r="Q49" i="20"/>
  <c r="Y49" i="20"/>
  <c r="V49" i="20"/>
  <c r="J96" i="20" s="1"/>
  <c r="X47" i="20"/>
  <c r="W47" i="20"/>
  <c r="U47" i="20"/>
  <c r="T47" i="20"/>
  <c r="S47" i="20"/>
  <c r="R47" i="20"/>
  <c r="Q47" i="20"/>
  <c r="Y47" i="20"/>
  <c r="M94" i="20" s="1"/>
  <c r="V47" i="20"/>
  <c r="X46" i="20"/>
  <c r="W46" i="20"/>
  <c r="U46" i="20"/>
  <c r="T46" i="20"/>
  <c r="S46" i="20"/>
  <c r="R46" i="20"/>
  <c r="Q46" i="20"/>
  <c r="E93" i="20" s="1"/>
  <c r="Y46" i="20"/>
  <c r="V46" i="20"/>
  <c r="J93" i="20" s="1"/>
  <c r="X45" i="20"/>
  <c r="W45" i="20"/>
  <c r="U45" i="20"/>
  <c r="T45" i="20"/>
  <c r="S45" i="20"/>
  <c r="R45" i="20"/>
  <c r="Q45" i="20"/>
  <c r="Y45" i="20"/>
  <c r="V45" i="20"/>
  <c r="X44" i="20"/>
  <c r="W44" i="20"/>
  <c r="U44" i="20"/>
  <c r="T44" i="20"/>
  <c r="S44" i="20"/>
  <c r="R44" i="20"/>
  <c r="Q44" i="20"/>
  <c r="Y44" i="20"/>
  <c r="V44" i="20"/>
  <c r="X40" i="20"/>
  <c r="W40" i="20"/>
  <c r="U40" i="20"/>
  <c r="T40" i="20"/>
  <c r="S40" i="20"/>
  <c r="R40" i="20"/>
  <c r="Q40" i="20"/>
  <c r="P40" i="20"/>
  <c r="Y40" i="20"/>
  <c r="V40" i="20"/>
  <c r="J87" i="20" s="1"/>
  <c r="X39" i="20"/>
  <c r="W39" i="20"/>
  <c r="U39" i="20"/>
  <c r="T39" i="20"/>
  <c r="S39" i="20"/>
  <c r="R39" i="20"/>
  <c r="Q39" i="20"/>
  <c r="P39" i="20"/>
  <c r="Y39" i="20"/>
  <c r="V39" i="20"/>
  <c r="X38" i="20"/>
  <c r="W38" i="20"/>
  <c r="U38" i="20"/>
  <c r="T38" i="20"/>
  <c r="S38" i="20"/>
  <c r="R38" i="20"/>
  <c r="R41" i="20" s="1"/>
  <c r="Q38" i="20"/>
  <c r="P38" i="20"/>
  <c r="Y38" i="20"/>
  <c r="V38" i="20"/>
  <c r="X33" i="20"/>
  <c r="L80" i="20" s="1"/>
  <c r="W33" i="20"/>
  <c r="K80" i="20" s="1"/>
  <c r="U33" i="20"/>
  <c r="I80" i="20" s="1"/>
  <c r="T33" i="20"/>
  <c r="H80" i="20" s="1"/>
  <c r="S33" i="20"/>
  <c r="G80" i="20" s="1"/>
  <c r="R33" i="20"/>
  <c r="F80" i="20" s="1"/>
  <c r="Q33" i="20"/>
  <c r="E80" i="20" s="1"/>
  <c r="Y33" i="20"/>
  <c r="M80" i="20" s="1"/>
  <c r="V33" i="20"/>
  <c r="J80" i="20" s="1"/>
  <c r="X32" i="20"/>
  <c r="W32" i="20"/>
  <c r="U32" i="20"/>
  <c r="I79" i="20" s="1"/>
  <c r="T32" i="20"/>
  <c r="S32" i="20"/>
  <c r="G79" i="20" s="1"/>
  <c r="R32" i="20"/>
  <c r="Q32" i="20"/>
  <c r="E79" i="20" s="1"/>
  <c r="Y32" i="20"/>
  <c r="V32" i="20"/>
  <c r="X31" i="20"/>
  <c r="W31" i="20"/>
  <c r="U31" i="20"/>
  <c r="I78" i="20" s="1"/>
  <c r="T31" i="20"/>
  <c r="S31" i="20"/>
  <c r="R31" i="20"/>
  <c r="Q31" i="20"/>
  <c r="E78" i="20" s="1"/>
  <c r="Y31" i="20"/>
  <c r="V31" i="20"/>
  <c r="X30" i="20"/>
  <c r="L77" i="20" s="1"/>
  <c r="W30" i="20"/>
  <c r="U30" i="20"/>
  <c r="I77" i="20" s="1"/>
  <c r="T30" i="20"/>
  <c r="S30" i="20"/>
  <c r="G77" i="20" s="1"/>
  <c r="R30" i="20"/>
  <c r="Q30" i="20"/>
  <c r="E77" i="20" s="1"/>
  <c r="Y30" i="20"/>
  <c r="V30" i="20"/>
  <c r="X25" i="20"/>
  <c r="W25" i="20"/>
  <c r="U25" i="20"/>
  <c r="T25" i="20"/>
  <c r="S25" i="20"/>
  <c r="R25" i="20"/>
  <c r="Q25" i="20"/>
  <c r="P25" i="20"/>
  <c r="Y25" i="20"/>
  <c r="V25" i="20"/>
  <c r="X24" i="20"/>
  <c r="W24" i="20"/>
  <c r="U24" i="20"/>
  <c r="T24" i="20"/>
  <c r="S24" i="20"/>
  <c r="R24" i="20"/>
  <c r="Q24" i="20"/>
  <c r="P24" i="20"/>
  <c r="Y24" i="20"/>
  <c r="V24" i="20"/>
  <c r="X23" i="20"/>
  <c r="W23" i="20"/>
  <c r="U23" i="20"/>
  <c r="T23" i="20"/>
  <c r="S23" i="20"/>
  <c r="R23" i="20"/>
  <c r="Q23" i="20"/>
  <c r="P23" i="20"/>
  <c r="Y23" i="20"/>
  <c r="V23" i="20"/>
  <c r="X22" i="20"/>
  <c r="W22" i="20"/>
  <c r="U22" i="20"/>
  <c r="T22" i="20"/>
  <c r="S22" i="20"/>
  <c r="R22" i="20"/>
  <c r="Q22" i="20"/>
  <c r="P22" i="20"/>
  <c r="Y22" i="20"/>
  <c r="V22" i="20"/>
  <c r="X18" i="20"/>
  <c r="L65" i="20" s="1"/>
  <c r="W18" i="20"/>
  <c r="K65" i="20" s="1"/>
  <c r="U18" i="20"/>
  <c r="I65" i="20" s="1"/>
  <c r="T18" i="20"/>
  <c r="H65" i="20" s="1"/>
  <c r="S18" i="20"/>
  <c r="G65" i="20" s="1"/>
  <c r="R18" i="20"/>
  <c r="F65" i="20" s="1"/>
  <c r="Q18" i="20"/>
  <c r="E65" i="20" s="1"/>
  <c r="Y18" i="20"/>
  <c r="M65" i="20" s="1"/>
  <c r="V18" i="20"/>
  <c r="J65" i="20" s="1"/>
  <c r="X17" i="20"/>
  <c r="W17" i="20"/>
  <c r="K64" i="20" s="1"/>
  <c r="U17" i="20"/>
  <c r="T17" i="20"/>
  <c r="H64" i="20" s="1"/>
  <c r="S17" i="20"/>
  <c r="R17" i="20"/>
  <c r="F64" i="20" s="1"/>
  <c r="Q17" i="20"/>
  <c r="Y17" i="20"/>
  <c r="M64" i="20" s="1"/>
  <c r="V17" i="20"/>
  <c r="X16" i="20"/>
  <c r="L63" i="20" s="1"/>
  <c r="W16" i="20"/>
  <c r="K63" i="20" s="1"/>
  <c r="U16" i="20"/>
  <c r="I63" i="20" s="1"/>
  <c r="T16" i="20"/>
  <c r="H63" i="20" s="1"/>
  <c r="S16" i="20"/>
  <c r="G63" i="20" s="1"/>
  <c r="R16" i="20"/>
  <c r="F63" i="20" s="1"/>
  <c r="Q16" i="20"/>
  <c r="E63" i="20" s="1"/>
  <c r="Y16" i="20"/>
  <c r="M63" i="20" s="1"/>
  <c r="V16" i="20"/>
  <c r="J63" i="20" s="1"/>
  <c r="X15" i="20"/>
  <c r="W15" i="20"/>
  <c r="U15" i="20"/>
  <c r="T15" i="20"/>
  <c r="S15" i="20"/>
  <c r="R15" i="20"/>
  <c r="Q15" i="20"/>
  <c r="P15" i="20"/>
  <c r="Y15" i="20"/>
  <c r="V15" i="20"/>
  <c r="J62" i="20" s="1"/>
  <c r="X14" i="20"/>
  <c r="W14" i="20"/>
  <c r="U14" i="20"/>
  <c r="I61" i="20" s="1"/>
  <c r="T14" i="20"/>
  <c r="H61" i="20" s="1"/>
  <c r="S14" i="20"/>
  <c r="R14" i="20"/>
  <c r="Q14" i="20"/>
  <c r="Y14" i="20"/>
  <c r="V14" i="20"/>
  <c r="X13" i="20"/>
  <c r="W13" i="20"/>
  <c r="U13" i="20"/>
  <c r="T13" i="20"/>
  <c r="S13" i="20"/>
  <c r="R13" i="20"/>
  <c r="Q13" i="20"/>
  <c r="P13" i="20"/>
  <c r="Y13" i="20"/>
  <c r="V13" i="20"/>
  <c r="J60" i="20" s="1"/>
  <c r="X12" i="20"/>
  <c r="L59" i="20" s="1"/>
  <c r="W12" i="20"/>
  <c r="U12" i="20"/>
  <c r="T12" i="20"/>
  <c r="S12" i="20"/>
  <c r="R12" i="20"/>
  <c r="Q12" i="20"/>
  <c r="Y12" i="20"/>
  <c r="V12" i="20"/>
  <c r="J59" i="20" s="1"/>
  <c r="X11" i="20"/>
  <c r="L58" i="20" s="1"/>
  <c r="W11" i="20"/>
  <c r="U11" i="20"/>
  <c r="I58" i="20" s="1"/>
  <c r="T11" i="20"/>
  <c r="H58" i="20" s="1"/>
  <c r="S11" i="20"/>
  <c r="R11" i="20"/>
  <c r="Q11" i="20"/>
  <c r="E58" i="20" s="1"/>
  <c r="Y11" i="20"/>
  <c r="M58" i="20" s="1"/>
  <c r="V11" i="20"/>
  <c r="J58" i="20" s="1"/>
  <c r="X10" i="20"/>
  <c r="L57" i="20" s="1"/>
  <c r="W10" i="20"/>
  <c r="U10" i="20"/>
  <c r="I57" i="20" s="1"/>
  <c r="T10" i="20"/>
  <c r="S10" i="20"/>
  <c r="G57" i="20" s="1"/>
  <c r="R10" i="20"/>
  <c r="Q10" i="20"/>
  <c r="E57" i="20" s="1"/>
  <c r="Y10" i="20"/>
  <c r="V10" i="20"/>
  <c r="J57" i="20" s="1"/>
  <c r="X9" i="20"/>
  <c r="W9" i="20"/>
  <c r="U9" i="20"/>
  <c r="T9" i="20"/>
  <c r="S9" i="20"/>
  <c r="R9" i="20"/>
  <c r="Q9" i="20"/>
  <c r="P9" i="20"/>
  <c r="Y9" i="20"/>
  <c r="V9" i="20"/>
  <c r="J56" i="20" s="1"/>
  <c r="X8" i="20"/>
  <c r="W8" i="20"/>
  <c r="U8" i="20"/>
  <c r="I55" i="20" s="1"/>
  <c r="T8" i="20"/>
  <c r="H55" i="20" s="1"/>
  <c r="S8" i="20"/>
  <c r="G55" i="20" s="1"/>
  <c r="R8" i="20"/>
  <c r="Q8" i="20"/>
  <c r="E55" i="20" s="1"/>
  <c r="Y8" i="20"/>
  <c r="V8" i="20"/>
  <c r="P53" i="19"/>
  <c r="P52" i="19"/>
  <c r="P51" i="19"/>
  <c r="P50" i="19"/>
  <c r="P49" i="19"/>
  <c r="P48" i="19"/>
  <c r="X52" i="19"/>
  <c r="W52" i="19"/>
  <c r="U52" i="19"/>
  <c r="T52" i="19"/>
  <c r="H103" i="19" s="1"/>
  <c r="S52" i="19"/>
  <c r="G103" i="19" s="1"/>
  <c r="R52" i="19"/>
  <c r="Q52" i="19"/>
  <c r="Y52" i="19"/>
  <c r="V52" i="19"/>
  <c r="P44" i="19"/>
  <c r="P43" i="19"/>
  <c r="P42" i="19"/>
  <c r="P41" i="19"/>
  <c r="P36" i="19"/>
  <c r="P35" i="19"/>
  <c r="P34" i="19"/>
  <c r="P33" i="19"/>
  <c r="P28" i="19"/>
  <c r="P27" i="19"/>
  <c r="P26" i="19"/>
  <c r="P25" i="19"/>
  <c r="P24" i="19"/>
  <c r="X26" i="19"/>
  <c r="W26" i="19"/>
  <c r="U26" i="19"/>
  <c r="T26" i="19"/>
  <c r="S26" i="19"/>
  <c r="R26" i="19"/>
  <c r="F77" i="19" s="1"/>
  <c r="Q26" i="19"/>
  <c r="E77" i="19" s="1"/>
  <c r="Y26" i="19"/>
  <c r="V26" i="19"/>
  <c r="X24" i="19"/>
  <c r="W24" i="19"/>
  <c r="U24" i="19"/>
  <c r="T24" i="19"/>
  <c r="S24" i="19"/>
  <c r="R24" i="19"/>
  <c r="Q24" i="19"/>
  <c r="Y24" i="19"/>
  <c r="V24" i="19"/>
  <c r="P20" i="19"/>
  <c r="P17" i="19"/>
  <c r="A105" i="19"/>
  <c r="A104" i="19"/>
  <c r="A102" i="19"/>
  <c r="A101" i="19"/>
  <c r="A100" i="19"/>
  <c r="A99" i="19"/>
  <c r="A98" i="19"/>
  <c r="A96" i="19"/>
  <c r="A95" i="19"/>
  <c r="A94" i="19"/>
  <c r="A93" i="19"/>
  <c r="A92" i="19"/>
  <c r="A91" i="19"/>
  <c r="A88" i="19"/>
  <c r="A87" i="19"/>
  <c r="A86" i="19"/>
  <c r="A85" i="19"/>
  <c r="A84" i="19"/>
  <c r="A83" i="19"/>
  <c r="A81" i="19"/>
  <c r="A80" i="19"/>
  <c r="A79" i="19"/>
  <c r="A78" i="19"/>
  <c r="A77" i="19"/>
  <c r="A76" i="19"/>
  <c r="A74" i="19"/>
  <c r="A72" i="19"/>
  <c r="A71" i="19"/>
  <c r="A70" i="19"/>
  <c r="A69" i="19"/>
  <c r="A68" i="19"/>
  <c r="A67" i="19"/>
  <c r="A65" i="19"/>
  <c r="A64" i="19"/>
  <c r="A63" i="19"/>
  <c r="A62" i="19"/>
  <c r="A61" i="19"/>
  <c r="A60" i="19"/>
  <c r="A59" i="19"/>
  <c r="A58" i="19"/>
  <c r="X53" i="19"/>
  <c r="W53" i="19"/>
  <c r="U53" i="19"/>
  <c r="T53" i="19"/>
  <c r="S53" i="19"/>
  <c r="R53" i="19"/>
  <c r="Q53" i="19"/>
  <c r="Y53" i="19"/>
  <c r="V53" i="19"/>
  <c r="J104" i="19" s="1"/>
  <c r="X51" i="19"/>
  <c r="W51" i="19"/>
  <c r="U51" i="19"/>
  <c r="T51" i="19"/>
  <c r="S51" i="19"/>
  <c r="R51" i="19"/>
  <c r="Q51" i="19"/>
  <c r="Y51" i="19"/>
  <c r="V51" i="19"/>
  <c r="X50" i="19"/>
  <c r="W50" i="19"/>
  <c r="U50" i="19"/>
  <c r="T50" i="19"/>
  <c r="S50" i="19"/>
  <c r="R50" i="19"/>
  <c r="Q50" i="19"/>
  <c r="Y50" i="19"/>
  <c r="V50" i="19"/>
  <c r="J101" i="19" s="1"/>
  <c r="X49" i="19"/>
  <c r="W49" i="19"/>
  <c r="U49" i="19"/>
  <c r="T49" i="19"/>
  <c r="S49" i="19"/>
  <c r="R49" i="19"/>
  <c r="Q49" i="19"/>
  <c r="Y49" i="19"/>
  <c r="V49" i="19"/>
  <c r="J100" i="19" s="1"/>
  <c r="X48" i="19"/>
  <c r="W48" i="19"/>
  <c r="U48" i="19"/>
  <c r="T48" i="19"/>
  <c r="S48" i="19"/>
  <c r="R48" i="19"/>
  <c r="Q48" i="19"/>
  <c r="Q54" i="19" s="1"/>
  <c r="Y48" i="19"/>
  <c r="V48" i="19"/>
  <c r="X44" i="19"/>
  <c r="W44" i="19"/>
  <c r="U44" i="19"/>
  <c r="T44" i="19"/>
  <c r="S44" i="19"/>
  <c r="R44" i="19"/>
  <c r="Q44" i="19"/>
  <c r="Y44" i="19"/>
  <c r="M95" i="19" s="1"/>
  <c r="V44" i="19"/>
  <c r="J95" i="19" s="1"/>
  <c r="X43" i="19"/>
  <c r="W43" i="19"/>
  <c r="U43" i="19"/>
  <c r="T43" i="19"/>
  <c r="S43" i="19"/>
  <c r="G94" i="19" s="1"/>
  <c r="R43" i="19"/>
  <c r="Q43" i="19"/>
  <c r="E94" i="19" s="1"/>
  <c r="Y43" i="19"/>
  <c r="M94" i="19" s="1"/>
  <c r="V43" i="19"/>
  <c r="J94" i="19" s="1"/>
  <c r="X42" i="19"/>
  <c r="W42" i="19"/>
  <c r="U42" i="19"/>
  <c r="I93" i="19" s="1"/>
  <c r="T42" i="19"/>
  <c r="S42" i="19"/>
  <c r="R42" i="19"/>
  <c r="Q42" i="19"/>
  <c r="Y42" i="19"/>
  <c r="V42" i="19"/>
  <c r="X41" i="19"/>
  <c r="W41" i="19"/>
  <c r="U41" i="19"/>
  <c r="I92" i="19" s="1"/>
  <c r="T41" i="19"/>
  <c r="S41" i="19"/>
  <c r="R41" i="19"/>
  <c r="Q41" i="19"/>
  <c r="Y41" i="19"/>
  <c r="V41" i="19"/>
  <c r="X36" i="19"/>
  <c r="L87" i="19" s="1"/>
  <c r="W36" i="19"/>
  <c r="K87" i="19" s="1"/>
  <c r="U36" i="19"/>
  <c r="I87" i="19" s="1"/>
  <c r="T36" i="19"/>
  <c r="S36" i="19"/>
  <c r="G87" i="19" s="1"/>
  <c r="R36" i="19"/>
  <c r="F87" i="19" s="1"/>
  <c r="Q36" i="19"/>
  <c r="Y36" i="19"/>
  <c r="V36" i="19"/>
  <c r="J87" i="19" s="1"/>
  <c r="X35" i="19"/>
  <c r="L86" i="19" s="1"/>
  <c r="W35" i="19"/>
  <c r="U35" i="19"/>
  <c r="I86" i="19" s="1"/>
  <c r="T35" i="19"/>
  <c r="S35" i="19"/>
  <c r="G86" i="19" s="1"/>
  <c r="R35" i="19"/>
  <c r="Q35" i="19"/>
  <c r="E86" i="19" s="1"/>
  <c r="Y35" i="19"/>
  <c r="M86" i="19" s="1"/>
  <c r="V35" i="19"/>
  <c r="J86" i="19" s="1"/>
  <c r="X34" i="19"/>
  <c r="L85" i="19" s="1"/>
  <c r="W34" i="19"/>
  <c r="U34" i="19"/>
  <c r="I85" i="19" s="1"/>
  <c r="T34" i="19"/>
  <c r="S34" i="19"/>
  <c r="R34" i="19"/>
  <c r="Q34" i="19"/>
  <c r="E85" i="19" s="1"/>
  <c r="Y34" i="19"/>
  <c r="M85" i="19" s="1"/>
  <c r="V34" i="19"/>
  <c r="J85" i="19" s="1"/>
  <c r="X33" i="19"/>
  <c r="W33" i="19"/>
  <c r="U33" i="19"/>
  <c r="I84" i="19" s="1"/>
  <c r="T33" i="19"/>
  <c r="S33" i="19"/>
  <c r="R33" i="19"/>
  <c r="Q33" i="19"/>
  <c r="E84" i="19" s="1"/>
  <c r="Y33" i="19"/>
  <c r="V33" i="19"/>
  <c r="X29" i="19"/>
  <c r="L80" i="19" s="1"/>
  <c r="W29" i="19"/>
  <c r="U29" i="19"/>
  <c r="T29" i="19"/>
  <c r="S29" i="19"/>
  <c r="G80" i="19" s="1"/>
  <c r="R29" i="19"/>
  <c r="Q29" i="19"/>
  <c r="E80" i="19" s="1"/>
  <c r="P29" i="19"/>
  <c r="Y29" i="19"/>
  <c r="M80" i="19" s="1"/>
  <c r="V29" i="19"/>
  <c r="J80" i="19" s="1"/>
  <c r="X28" i="19"/>
  <c r="L79" i="19" s="1"/>
  <c r="W28" i="19"/>
  <c r="K79" i="19" s="1"/>
  <c r="U28" i="19"/>
  <c r="I79" i="19" s="1"/>
  <c r="T28" i="19"/>
  <c r="H79" i="19" s="1"/>
  <c r="S28" i="19"/>
  <c r="G79" i="19" s="1"/>
  <c r="R28" i="19"/>
  <c r="F79" i="19" s="1"/>
  <c r="Q28" i="19"/>
  <c r="E79" i="19" s="1"/>
  <c r="Y28" i="19"/>
  <c r="M79" i="19" s="1"/>
  <c r="V28" i="19"/>
  <c r="J79" i="19" s="1"/>
  <c r="X27" i="19"/>
  <c r="W27" i="19"/>
  <c r="U27" i="19"/>
  <c r="T27" i="19"/>
  <c r="S27" i="19"/>
  <c r="R27" i="19"/>
  <c r="Q27" i="19"/>
  <c r="Y27" i="19"/>
  <c r="V27" i="19"/>
  <c r="J78" i="19" s="1"/>
  <c r="K77" i="19"/>
  <c r="H77" i="19"/>
  <c r="X25" i="19"/>
  <c r="W25" i="19"/>
  <c r="U25" i="19"/>
  <c r="T25" i="19"/>
  <c r="S25" i="19"/>
  <c r="R25" i="19"/>
  <c r="Q25" i="19"/>
  <c r="Y25" i="19"/>
  <c r="V25" i="19"/>
  <c r="X20" i="19"/>
  <c r="W20" i="19"/>
  <c r="U20" i="19"/>
  <c r="T20" i="19"/>
  <c r="S20" i="19"/>
  <c r="R20" i="19"/>
  <c r="Q20" i="19"/>
  <c r="Y20" i="19"/>
  <c r="V20" i="19"/>
  <c r="X19" i="19"/>
  <c r="W19" i="19"/>
  <c r="U19" i="19"/>
  <c r="T19" i="19"/>
  <c r="S19" i="19"/>
  <c r="R19" i="19"/>
  <c r="Q19" i="19"/>
  <c r="P19" i="19"/>
  <c r="Y19" i="19"/>
  <c r="V19" i="19"/>
  <c r="X18" i="19"/>
  <c r="W18" i="19"/>
  <c r="U18" i="19"/>
  <c r="T18" i="19"/>
  <c r="S18" i="19"/>
  <c r="R18" i="19"/>
  <c r="Q18" i="19"/>
  <c r="P18" i="19"/>
  <c r="Y18" i="19"/>
  <c r="V18" i="19"/>
  <c r="J69" i="19" s="1"/>
  <c r="X17" i="19"/>
  <c r="W17" i="19"/>
  <c r="U17" i="19"/>
  <c r="T17" i="19"/>
  <c r="S17" i="19"/>
  <c r="R17" i="19"/>
  <c r="Q17" i="19"/>
  <c r="Y17" i="19"/>
  <c r="V17" i="19"/>
  <c r="X13" i="19"/>
  <c r="W13" i="19"/>
  <c r="U13" i="19"/>
  <c r="T13" i="19"/>
  <c r="S13" i="19"/>
  <c r="R13" i="19"/>
  <c r="Q13" i="19"/>
  <c r="Y13" i="19"/>
  <c r="V13" i="19"/>
  <c r="J64" i="19" s="1"/>
  <c r="X12" i="19"/>
  <c r="W12" i="19"/>
  <c r="U12" i="19"/>
  <c r="T12" i="19"/>
  <c r="S12" i="19"/>
  <c r="R12" i="19"/>
  <c r="Q12" i="19"/>
  <c r="Y12" i="19"/>
  <c r="V12" i="19"/>
  <c r="J63" i="19" s="1"/>
  <c r="X11" i="19"/>
  <c r="W11" i="19"/>
  <c r="U11" i="19"/>
  <c r="T11" i="19"/>
  <c r="S11" i="19"/>
  <c r="R11" i="19"/>
  <c r="Q11" i="19"/>
  <c r="Y11" i="19"/>
  <c r="V11" i="19"/>
  <c r="J62" i="19" s="1"/>
  <c r="X10" i="19"/>
  <c r="W10" i="19"/>
  <c r="U10" i="19"/>
  <c r="T10" i="19"/>
  <c r="S10" i="19"/>
  <c r="R10" i="19"/>
  <c r="Q10" i="19"/>
  <c r="Y10" i="19"/>
  <c r="M61" i="19" s="1"/>
  <c r="V10" i="19"/>
  <c r="J61" i="19" s="1"/>
  <c r="X9" i="19"/>
  <c r="W9" i="19"/>
  <c r="U9" i="19"/>
  <c r="T9" i="19"/>
  <c r="S9" i="19"/>
  <c r="R9" i="19"/>
  <c r="Q9" i="19"/>
  <c r="E60" i="19" s="1"/>
  <c r="Y9" i="19"/>
  <c r="M60" i="19" s="1"/>
  <c r="V9" i="19"/>
  <c r="J60" i="19" s="1"/>
  <c r="X8" i="19"/>
  <c r="W8" i="19"/>
  <c r="U8" i="19"/>
  <c r="I59" i="19" s="1"/>
  <c r="T8" i="19"/>
  <c r="S8" i="19"/>
  <c r="G59" i="19" s="1"/>
  <c r="R8" i="19"/>
  <c r="Q8" i="19"/>
  <c r="E59" i="19" s="1"/>
  <c r="Y8" i="19"/>
  <c r="V8" i="19"/>
  <c r="A93" i="18"/>
  <c r="P49" i="18"/>
  <c r="H96" i="18" s="1"/>
  <c r="P48" i="18"/>
  <c r="P47" i="18"/>
  <c r="P46" i="18"/>
  <c r="P45" i="18"/>
  <c r="P44" i="18"/>
  <c r="X49" i="18"/>
  <c r="W49" i="18"/>
  <c r="K96" i="18" s="1"/>
  <c r="U49" i="18"/>
  <c r="I96" i="18" s="1"/>
  <c r="T49" i="18"/>
  <c r="S49" i="18"/>
  <c r="R49" i="18"/>
  <c r="Q49" i="18"/>
  <c r="Y49" i="18"/>
  <c r="V49" i="18"/>
  <c r="X48" i="18"/>
  <c r="L95" i="18" s="1"/>
  <c r="W48" i="18"/>
  <c r="K95" i="18" s="1"/>
  <c r="U48" i="18"/>
  <c r="I95" i="18" s="1"/>
  <c r="T48" i="18"/>
  <c r="S48" i="18"/>
  <c r="R48" i="18"/>
  <c r="Q48" i="18"/>
  <c r="Y48" i="18"/>
  <c r="V48" i="18"/>
  <c r="J95" i="18" s="1"/>
  <c r="X46" i="18"/>
  <c r="L93" i="18" s="1"/>
  <c r="W46" i="18"/>
  <c r="K93" i="18" s="1"/>
  <c r="U46" i="18"/>
  <c r="T46" i="18"/>
  <c r="H93" i="18" s="1"/>
  <c r="S46" i="18"/>
  <c r="G93" i="18" s="1"/>
  <c r="R46" i="18"/>
  <c r="Q46" i="18"/>
  <c r="Y46" i="18"/>
  <c r="M93" i="18" s="1"/>
  <c r="V46" i="18"/>
  <c r="J93" i="18" s="1"/>
  <c r="P33" i="18"/>
  <c r="P32" i="18"/>
  <c r="P31" i="18"/>
  <c r="P30" i="18"/>
  <c r="P25" i="18"/>
  <c r="P24" i="18"/>
  <c r="P23" i="18"/>
  <c r="P22" i="18"/>
  <c r="P17" i="18"/>
  <c r="P12" i="18"/>
  <c r="P11" i="18"/>
  <c r="P10" i="18"/>
  <c r="P8" i="18"/>
  <c r="A97" i="18"/>
  <c r="A96" i="18"/>
  <c r="A95" i="18"/>
  <c r="A94" i="18"/>
  <c r="A92" i="18"/>
  <c r="A91" i="18"/>
  <c r="A90" i="18"/>
  <c r="A88" i="18"/>
  <c r="A87" i="18"/>
  <c r="A86" i="18"/>
  <c r="A85" i="18"/>
  <c r="A84" i="18"/>
  <c r="A81" i="18"/>
  <c r="A80" i="18"/>
  <c r="A79" i="18"/>
  <c r="A78" i="18"/>
  <c r="A77" i="18"/>
  <c r="A76" i="18"/>
  <c r="A73" i="18"/>
  <c r="A72" i="18"/>
  <c r="A71" i="18"/>
  <c r="A70" i="18"/>
  <c r="A69" i="18"/>
  <c r="A68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F95" i="18"/>
  <c r="X47" i="18"/>
  <c r="L94" i="18" s="1"/>
  <c r="W47" i="18"/>
  <c r="K94" i="18" s="1"/>
  <c r="U47" i="18"/>
  <c r="I94" i="18" s="1"/>
  <c r="T47" i="18"/>
  <c r="H94" i="18" s="1"/>
  <c r="S47" i="18"/>
  <c r="G94" i="18" s="1"/>
  <c r="R47" i="18"/>
  <c r="F94" i="18" s="1"/>
  <c r="Q47" i="18"/>
  <c r="E94" i="18" s="1"/>
  <c r="Y47" i="18"/>
  <c r="M94" i="18" s="1"/>
  <c r="V47" i="18"/>
  <c r="J94" i="18" s="1"/>
  <c r="X45" i="18"/>
  <c r="L92" i="18" s="1"/>
  <c r="W45" i="18"/>
  <c r="U45" i="18"/>
  <c r="T45" i="18"/>
  <c r="H92" i="18" s="1"/>
  <c r="S45" i="18"/>
  <c r="R45" i="18"/>
  <c r="Q45" i="18"/>
  <c r="E92" i="18" s="1"/>
  <c r="Y45" i="18"/>
  <c r="M92" i="18" s="1"/>
  <c r="V45" i="18"/>
  <c r="J92" i="18" s="1"/>
  <c r="X44" i="18"/>
  <c r="L91" i="18" s="1"/>
  <c r="W44" i="18"/>
  <c r="U44" i="18"/>
  <c r="T44" i="18"/>
  <c r="H91" i="18" s="1"/>
  <c r="S44" i="18"/>
  <c r="R44" i="18"/>
  <c r="F91" i="18" s="1"/>
  <c r="Q44" i="18"/>
  <c r="Y44" i="18"/>
  <c r="V44" i="18"/>
  <c r="X40" i="18"/>
  <c r="W40" i="18"/>
  <c r="U40" i="18"/>
  <c r="T40" i="18"/>
  <c r="S40" i="18"/>
  <c r="R40" i="18"/>
  <c r="Q40" i="18"/>
  <c r="P40" i="18"/>
  <c r="Y40" i="18"/>
  <c r="V40" i="18"/>
  <c r="J87" i="18" s="1"/>
  <c r="X39" i="18"/>
  <c r="W39" i="18"/>
  <c r="U39" i="18"/>
  <c r="T39" i="18"/>
  <c r="S39" i="18"/>
  <c r="R39" i="18"/>
  <c r="Q39" i="18"/>
  <c r="P39" i="18"/>
  <c r="Y39" i="18"/>
  <c r="V39" i="18"/>
  <c r="X38" i="18"/>
  <c r="X41" i="18" s="1"/>
  <c r="W38" i="18"/>
  <c r="U38" i="18"/>
  <c r="T38" i="18"/>
  <c r="S38" i="18"/>
  <c r="R38" i="18"/>
  <c r="Q38" i="18"/>
  <c r="P38" i="18"/>
  <c r="Y38" i="18"/>
  <c r="V38" i="18"/>
  <c r="X33" i="18"/>
  <c r="L80" i="18" s="1"/>
  <c r="W33" i="18"/>
  <c r="U33" i="18"/>
  <c r="I80" i="18" s="1"/>
  <c r="T33" i="18"/>
  <c r="H80" i="18" s="1"/>
  <c r="S33" i="18"/>
  <c r="R33" i="18"/>
  <c r="Q33" i="18"/>
  <c r="E80" i="18" s="1"/>
  <c r="Y33" i="18"/>
  <c r="M80" i="18" s="1"/>
  <c r="V33" i="18"/>
  <c r="J80" i="18" s="1"/>
  <c r="X32" i="18"/>
  <c r="L79" i="18" s="1"/>
  <c r="W32" i="18"/>
  <c r="K79" i="18" s="1"/>
  <c r="U32" i="18"/>
  <c r="I79" i="18" s="1"/>
  <c r="T32" i="18"/>
  <c r="H79" i="18" s="1"/>
  <c r="S32" i="18"/>
  <c r="G79" i="18" s="1"/>
  <c r="R32" i="18"/>
  <c r="F79" i="18" s="1"/>
  <c r="Q32" i="18"/>
  <c r="E79" i="18" s="1"/>
  <c r="Y32" i="18"/>
  <c r="M79" i="18" s="1"/>
  <c r="V32" i="18"/>
  <c r="J79" i="18" s="1"/>
  <c r="X31" i="18"/>
  <c r="L78" i="18" s="1"/>
  <c r="W31" i="18"/>
  <c r="K78" i="18" s="1"/>
  <c r="U31" i="18"/>
  <c r="T31" i="18"/>
  <c r="S31" i="18"/>
  <c r="G78" i="18" s="1"/>
  <c r="R31" i="18"/>
  <c r="F78" i="18" s="1"/>
  <c r="Q31" i="18"/>
  <c r="E78" i="18" s="1"/>
  <c r="Y31" i="18"/>
  <c r="V31" i="18"/>
  <c r="J78" i="18" s="1"/>
  <c r="X30" i="18"/>
  <c r="L77" i="18" s="1"/>
  <c r="W30" i="18"/>
  <c r="U30" i="18"/>
  <c r="T30" i="18"/>
  <c r="H77" i="18" s="1"/>
  <c r="S30" i="18"/>
  <c r="G77" i="18" s="1"/>
  <c r="R30" i="18"/>
  <c r="F77" i="18" s="1"/>
  <c r="Q30" i="18"/>
  <c r="Y30" i="18"/>
  <c r="V30" i="18"/>
  <c r="X25" i="18"/>
  <c r="L72" i="18" s="1"/>
  <c r="W25" i="18"/>
  <c r="K72" i="18" s="1"/>
  <c r="U25" i="18"/>
  <c r="I72" i="18" s="1"/>
  <c r="T25" i="18"/>
  <c r="H72" i="18" s="1"/>
  <c r="S25" i="18"/>
  <c r="G72" i="18" s="1"/>
  <c r="R25" i="18"/>
  <c r="F72" i="18" s="1"/>
  <c r="Q25" i="18"/>
  <c r="E72" i="18" s="1"/>
  <c r="Y25" i="18"/>
  <c r="M72" i="18" s="1"/>
  <c r="V25" i="18"/>
  <c r="J72" i="18" s="1"/>
  <c r="X24" i="18"/>
  <c r="L71" i="18" s="1"/>
  <c r="W24" i="18"/>
  <c r="K71" i="18" s="1"/>
  <c r="U24" i="18"/>
  <c r="I71" i="18" s="1"/>
  <c r="T24" i="18"/>
  <c r="H71" i="18" s="1"/>
  <c r="S24" i="18"/>
  <c r="G71" i="18" s="1"/>
  <c r="R24" i="18"/>
  <c r="F71" i="18" s="1"/>
  <c r="Q24" i="18"/>
  <c r="E71" i="18" s="1"/>
  <c r="Y24" i="18"/>
  <c r="M71" i="18" s="1"/>
  <c r="V24" i="18"/>
  <c r="J71" i="18" s="1"/>
  <c r="X23" i="18"/>
  <c r="W23" i="18"/>
  <c r="U23" i="18"/>
  <c r="I70" i="18" s="1"/>
  <c r="T23" i="18"/>
  <c r="S23" i="18"/>
  <c r="R23" i="18"/>
  <c r="Q23" i="18"/>
  <c r="Y23" i="18"/>
  <c r="V23" i="18"/>
  <c r="X22" i="18"/>
  <c r="W22" i="18"/>
  <c r="U22" i="18"/>
  <c r="T22" i="18"/>
  <c r="S22" i="18"/>
  <c r="R22" i="18"/>
  <c r="Q22" i="18"/>
  <c r="Y22" i="18"/>
  <c r="V22" i="18"/>
  <c r="X18" i="18"/>
  <c r="L65" i="18" s="1"/>
  <c r="W18" i="18"/>
  <c r="K65" i="18" s="1"/>
  <c r="U18" i="18"/>
  <c r="I65" i="18" s="1"/>
  <c r="T18" i="18"/>
  <c r="H65" i="18" s="1"/>
  <c r="S18" i="18"/>
  <c r="G65" i="18" s="1"/>
  <c r="R18" i="18"/>
  <c r="F65" i="18" s="1"/>
  <c r="Q18" i="18"/>
  <c r="E65" i="18" s="1"/>
  <c r="Y18" i="18"/>
  <c r="M65" i="18" s="1"/>
  <c r="V18" i="18"/>
  <c r="J65" i="18" s="1"/>
  <c r="X17" i="18"/>
  <c r="W17" i="18"/>
  <c r="K64" i="18" s="1"/>
  <c r="U17" i="18"/>
  <c r="I64" i="18" s="1"/>
  <c r="T17" i="18"/>
  <c r="S17" i="18"/>
  <c r="R17" i="18"/>
  <c r="F64" i="18" s="1"/>
  <c r="Q17" i="18"/>
  <c r="E64" i="18" s="1"/>
  <c r="Y17" i="18"/>
  <c r="M64" i="18" s="1"/>
  <c r="V17" i="18"/>
  <c r="X16" i="18"/>
  <c r="L63" i="18" s="1"/>
  <c r="W16" i="18"/>
  <c r="K63" i="18" s="1"/>
  <c r="U16" i="18"/>
  <c r="I63" i="18" s="1"/>
  <c r="T16" i="18"/>
  <c r="H63" i="18" s="1"/>
  <c r="S16" i="18"/>
  <c r="G63" i="18" s="1"/>
  <c r="R16" i="18"/>
  <c r="F63" i="18" s="1"/>
  <c r="Q16" i="18"/>
  <c r="E63" i="18" s="1"/>
  <c r="Y16" i="18"/>
  <c r="M63" i="18" s="1"/>
  <c r="V16" i="18"/>
  <c r="J63" i="18" s="1"/>
  <c r="X15" i="18"/>
  <c r="W15" i="18"/>
  <c r="U15" i="18"/>
  <c r="T15" i="18"/>
  <c r="S15" i="18"/>
  <c r="R15" i="18"/>
  <c r="Q15" i="18"/>
  <c r="P15" i="18"/>
  <c r="Y15" i="18"/>
  <c r="V15" i="18"/>
  <c r="X14" i="18"/>
  <c r="W14" i="18"/>
  <c r="U14" i="18"/>
  <c r="T14" i="18"/>
  <c r="S14" i="18"/>
  <c r="R14" i="18"/>
  <c r="Q14" i="18"/>
  <c r="P14" i="18"/>
  <c r="Y14" i="18"/>
  <c r="V14" i="18"/>
  <c r="J61" i="18" s="1"/>
  <c r="X13" i="18"/>
  <c r="W13" i="18"/>
  <c r="U13" i="18"/>
  <c r="T13" i="18"/>
  <c r="S13" i="18"/>
  <c r="R13" i="18"/>
  <c r="Q13" i="18"/>
  <c r="P13" i="18"/>
  <c r="Y13" i="18"/>
  <c r="V13" i="18"/>
  <c r="J60" i="18" s="1"/>
  <c r="X12" i="18"/>
  <c r="L59" i="18" s="1"/>
  <c r="W12" i="18"/>
  <c r="K59" i="18" s="1"/>
  <c r="U12" i="18"/>
  <c r="I59" i="18" s="1"/>
  <c r="T12" i="18"/>
  <c r="H59" i="18" s="1"/>
  <c r="S12" i="18"/>
  <c r="G59" i="18" s="1"/>
  <c r="R12" i="18"/>
  <c r="F59" i="18" s="1"/>
  <c r="Q12" i="18"/>
  <c r="E59" i="18" s="1"/>
  <c r="Y12" i="18"/>
  <c r="M59" i="18" s="1"/>
  <c r="V12" i="18"/>
  <c r="J59" i="18" s="1"/>
  <c r="X11" i="18"/>
  <c r="L58" i="18" s="1"/>
  <c r="W11" i="18"/>
  <c r="K58" i="18" s="1"/>
  <c r="U11" i="18"/>
  <c r="T11" i="18"/>
  <c r="S11" i="18"/>
  <c r="G58" i="18" s="1"/>
  <c r="R11" i="18"/>
  <c r="F58" i="18" s="1"/>
  <c r="Q11" i="18"/>
  <c r="E58" i="18" s="1"/>
  <c r="Y11" i="18"/>
  <c r="V11" i="18"/>
  <c r="J58" i="18" s="1"/>
  <c r="X10" i="18"/>
  <c r="L57" i="18" s="1"/>
  <c r="W10" i="18"/>
  <c r="U10" i="18"/>
  <c r="T10" i="18"/>
  <c r="H57" i="18" s="1"/>
  <c r="S10" i="18"/>
  <c r="G57" i="18" s="1"/>
  <c r="R10" i="18"/>
  <c r="F57" i="18" s="1"/>
  <c r="Q10" i="18"/>
  <c r="Y10" i="18"/>
  <c r="V10" i="18"/>
  <c r="J57" i="18" s="1"/>
  <c r="X9" i="18"/>
  <c r="W9" i="18"/>
  <c r="U9" i="18"/>
  <c r="T9" i="18"/>
  <c r="S9" i="18"/>
  <c r="R9" i="18"/>
  <c r="Q9" i="18"/>
  <c r="P9" i="18"/>
  <c r="Y9" i="18"/>
  <c r="V9" i="18"/>
  <c r="X8" i="18"/>
  <c r="L55" i="18" s="1"/>
  <c r="W8" i="18"/>
  <c r="K55" i="18" s="1"/>
  <c r="U8" i="18"/>
  <c r="I55" i="18" s="1"/>
  <c r="T8" i="18"/>
  <c r="H55" i="18" s="1"/>
  <c r="S8" i="18"/>
  <c r="G55" i="18" s="1"/>
  <c r="R8" i="18"/>
  <c r="F55" i="18" s="1"/>
  <c r="Q8" i="18"/>
  <c r="E55" i="18" s="1"/>
  <c r="Y8" i="18"/>
  <c r="V8" i="18"/>
  <c r="L113" i="17"/>
  <c r="A113" i="17"/>
  <c r="A89" i="17"/>
  <c r="A78" i="17"/>
  <c r="A77" i="17"/>
  <c r="A76" i="17"/>
  <c r="A75" i="17"/>
  <c r="A74" i="17"/>
  <c r="A73" i="17"/>
  <c r="X58" i="17"/>
  <c r="W58" i="17"/>
  <c r="U58" i="17"/>
  <c r="T58" i="17"/>
  <c r="S58" i="17"/>
  <c r="R58" i="17"/>
  <c r="Q58" i="17"/>
  <c r="Y58" i="17"/>
  <c r="V58" i="17"/>
  <c r="J115" i="17" s="1"/>
  <c r="X56" i="17"/>
  <c r="W56" i="17"/>
  <c r="K113" i="17" s="1"/>
  <c r="U56" i="17"/>
  <c r="I113" i="17" s="1"/>
  <c r="T56" i="17"/>
  <c r="H113" i="17" s="1"/>
  <c r="S56" i="17"/>
  <c r="G113" i="17" s="1"/>
  <c r="R56" i="17"/>
  <c r="F113" i="17" s="1"/>
  <c r="Q56" i="17"/>
  <c r="E113" i="17" s="1"/>
  <c r="Y56" i="17"/>
  <c r="M113" i="17" s="1"/>
  <c r="V56" i="17"/>
  <c r="J113" i="17" s="1"/>
  <c r="P50" i="17"/>
  <c r="P43" i="17"/>
  <c r="P42" i="17"/>
  <c r="P34" i="17"/>
  <c r="P33" i="17"/>
  <c r="P32" i="17"/>
  <c r="P30" i="17"/>
  <c r="X32" i="17"/>
  <c r="W32" i="17"/>
  <c r="U32" i="17"/>
  <c r="T32" i="17"/>
  <c r="S32" i="17"/>
  <c r="R32" i="17"/>
  <c r="Q32" i="17"/>
  <c r="E89" i="17" s="1"/>
  <c r="Y32" i="17"/>
  <c r="M89" i="17" s="1"/>
  <c r="V32" i="17"/>
  <c r="X19" i="17"/>
  <c r="L76" i="17" s="1"/>
  <c r="W19" i="17"/>
  <c r="K76" i="17" s="1"/>
  <c r="U19" i="17"/>
  <c r="I76" i="17" s="1"/>
  <c r="T19" i="17"/>
  <c r="H76" i="17" s="1"/>
  <c r="S19" i="17"/>
  <c r="G76" i="17" s="1"/>
  <c r="R19" i="17"/>
  <c r="F76" i="17" s="1"/>
  <c r="Q19" i="17"/>
  <c r="E76" i="17" s="1"/>
  <c r="Y19" i="17"/>
  <c r="M76" i="17" s="1"/>
  <c r="V19" i="17"/>
  <c r="J76" i="17" s="1"/>
  <c r="X18" i="17"/>
  <c r="L75" i="17" s="1"/>
  <c r="W18" i="17"/>
  <c r="K75" i="17" s="1"/>
  <c r="U18" i="17"/>
  <c r="I75" i="17" s="1"/>
  <c r="T18" i="17"/>
  <c r="H75" i="17" s="1"/>
  <c r="S18" i="17"/>
  <c r="G75" i="17" s="1"/>
  <c r="R18" i="17"/>
  <c r="F75" i="17" s="1"/>
  <c r="Q18" i="17"/>
  <c r="E75" i="17" s="1"/>
  <c r="Y18" i="17"/>
  <c r="M75" i="17" s="1"/>
  <c r="V18" i="17"/>
  <c r="J75" i="17" s="1"/>
  <c r="X17" i="17"/>
  <c r="L74" i="17" s="1"/>
  <c r="W17" i="17"/>
  <c r="K74" i="17" s="1"/>
  <c r="U17" i="17"/>
  <c r="I74" i="17" s="1"/>
  <c r="T17" i="17"/>
  <c r="H74" i="17" s="1"/>
  <c r="S17" i="17"/>
  <c r="G74" i="17" s="1"/>
  <c r="R17" i="17"/>
  <c r="F74" i="17" s="1"/>
  <c r="Q17" i="17"/>
  <c r="E74" i="17" s="1"/>
  <c r="Y17" i="17"/>
  <c r="M74" i="17" s="1"/>
  <c r="V17" i="17"/>
  <c r="J74" i="17" s="1"/>
  <c r="P13" i="17"/>
  <c r="P12" i="17"/>
  <c r="P11" i="17"/>
  <c r="P10" i="17"/>
  <c r="P9" i="17"/>
  <c r="P8" i="17"/>
  <c r="A68" i="17"/>
  <c r="X11" i="17"/>
  <c r="W11" i="17"/>
  <c r="U11" i="17"/>
  <c r="T11" i="17"/>
  <c r="H68" i="17" s="1"/>
  <c r="S11" i="17"/>
  <c r="R11" i="17"/>
  <c r="Q11" i="17"/>
  <c r="Y11" i="17"/>
  <c r="V11" i="17"/>
  <c r="A117" i="17"/>
  <c r="A116" i="17"/>
  <c r="A115" i="17"/>
  <c r="A114" i="17"/>
  <c r="A112" i="17"/>
  <c r="A111" i="17"/>
  <c r="A110" i="17"/>
  <c r="A108" i="17"/>
  <c r="A107" i="17"/>
  <c r="A106" i="17"/>
  <c r="A105" i="17"/>
  <c r="A104" i="17"/>
  <c r="A103" i="17"/>
  <c r="A101" i="17"/>
  <c r="A100" i="17"/>
  <c r="A99" i="17"/>
  <c r="A98" i="17"/>
  <c r="A97" i="17"/>
  <c r="A96" i="17"/>
  <c r="A93" i="17"/>
  <c r="A92" i="17"/>
  <c r="A91" i="17"/>
  <c r="A90" i="17"/>
  <c r="A88" i="17"/>
  <c r="A87" i="17"/>
  <c r="A86" i="17"/>
  <c r="A84" i="17"/>
  <c r="A83" i="17"/>
  <c r="A82" i="17"/>
  <c r="A81" i="17"/>
  <c r="A80" i="17"/>
  <c r="A79" i="17"/>
  <c r="A71" i="17"/>
  <c r="A70" i="17"/>
  <c r="A69" i="17"/>
  <c r="A67" i="17"/>
  <c r="A66" i="17"/>
  <c r="A65" i="17"/>
  <c r="A64" i="17"/>
  <c r="X59" i="17"/>
  <c r="W59" i="17"/>
  <c r="U59" i="17"/>
  <c r="T59" i="17"/>
  <c r="S59" i="17"/>
  <c r="R59" i="17"/>
  <c r="Q59" i="17"/>
  <c r="Y59" i="17"/>
  <c r="V59" i="17"/>
  <c r="J116" i="17" s="1"/>
  <c r="X57" i="17"/>
  <c r="W57" i="17"/>
  <c r="U57" i="17"/>
  <c r="T57" i="17"/>
  <c r="S57" i="17"/>
  <c r="R57" i="17"/>
  <c r="Q57" i="17"/>
  <c r="M57" i="17"/>
  <c r="Y57" i="17" s="1"/>
  <c r="J57" i="17"/>
  <c r="V57" i="17" s="1"/>
  <c r="J114" i="17" s="1"/>
  <c r="X55" i="17"/>
  <c r="W55" i="17"/>
  <c r="U55" i="17"/>
  <c r="T55" i="17"/>
  <c r="S55" i="17"/>
  <c r="R55" i="17"/>
  <c r="Q55" i="17"/>
  <c r="Y55" i="17"/>
  <c r="V55" i="17"/>
  <c r="J112" i="17" s="1"/>
  <c r="X54" i="17"/>
  <c r="W54" i="17"/>
  <c r="U54" i="17"/>
  <c r="T54" i="17"/>
  <c r="S54" i="17"/>
  <c r="R54" i="17"/>
  <c r="Q54" i="17"/>
  <c r="Y54" i="17"/>
  <c r="V54" i="17"/>
  <c r="X50" i="17"/>
  <c r="W50" i="17"/>
  <c r="U50" i="17"/>
  <c r="T50" i="17"/>
  <c r="S50" i="17"/>
  <c r="R50" i="17"/>
  <c r="Q50" i="17"/>
  <c r="Y50" i="17"/>
  <c r="V50" i="17"/>
  <c r="X49" i="17"/>
  <c r="W49" i="17"/>
  <c r="U49" i="17"/>
  <c r="T49" i="17"/>
  <c r="S49" i="17"/>
  <c r="R49" i="17"/>
  <c r="Q49" i="17"/>
  <c r="P49" i="17"/>
  <c r="Y49" i="17"/>
  <c r="V49" i="17"/>
  <c r="X48" i="17"/>
  <c r="W48" i="17"/>
  <c r="U48" i="17"/>
  <c r="T48" i="17"/>
  <c r="S48" i="17"/>
  <c r="R48" i="17"/>
  <c r="Q48" i="17"/>
  <c r="P48" i="17"/>
  <c r="Y48" i="17"/>
  <c r="V48" i="17"/>
  <c r="X47" i="17"/>
  <c r="W47" i="17"/>
  <c r="U47" i="17"/>
  <c r="T47" i="17"/>
  <c r="S47" i="17"/>
  <c r="R47" i="17"/>
  <c r="Q47" i="17"/>
  <c r="P47" i="17"/>
  <c r="Y47" i="17"/>
  <c r="V47" i="17"/>
  <c r="X43" i="17"/>
  <c r="L100" i="17" s="1"/>
  <c r="W43" i="17"/>
  <c r="K100" i="17" s="1"/>
  <c r="U43" i="17"/>
  <c r="T43" i="17"/>
  <c r="S43" i="17"/>
  <c r="G100" i="17" s="1"/>
  <c r="R43" i="17"/>
  <c r="Q43" i="17"/>
  <c r="Y43" i="17"/>
  <c r="V43" i="17"/>
  <c r="J100" i="17" s="1"/>
  <c r="X42" i="17"/>
  <c r="W42" i="17"/>
  <c r="U42" i="17"/>
  <c r="T42" i="17"/>
  <c r="S42" i="17"/>
  <c r="R42" i="17"/>
  <c r="Q42" i="17"/>
  <c r="Y42" i="17"/>
  <c r="V42" i="17"/>
  <c r="X41" i="17"/>
  <c r="W41" i="17"/>
  <c r="U41" i="17"/>
  <c r="T41" i="17"/>
  <c r="S41" i="17"/>
  <c r="R41" i="17"/>
  <c r="Q41" i="17"/>
  <c r="Y41" i="17"/>
  <c r="V41" i="17"/>
  <c r="J98" i="17" s="1"/>
  <c r="X40" i="17"/>
  <c r="W40" i="17"/>
  <c r="U40" i="17"/>
  <c r="T40" i="17"/>
  <c r="S40" i="17"/>
  <c r="R40" i="17"/>
  <c r="Q40" i="17"/>
  <c r="Q44" i="17" s="1"/>
  <c r="Y40" i="17"/>
  <c r="V40" i="17"/>
  <c r="X35" i="17"/>
  <c r="W35" i="17"/>
  <c r="U35" i="17"/>
  <c r="T35" i="17"/>
  <c r="S35" i="17"/>
  <c r="R35" i="17"/>
  <c r="Q35" i="17"/>
  <c r="Y35" i="17"/>
  <c r="V35" i="17"/>
  <c r="J92" i="17" s="1"/>
  <c r="X34" i="17"/>
  <c r="L91" i="17" s="1"/>
  <c r="W34" i="17"/>
  <c r="U34" i="17"/>
  <c r="I91" i="17" s="1"/>
  <c r="T34" i="17"/>
  <c r="S34" i="17"/>
  <c r="G91" i="17" s="1"/>
  <c r="R34" i="17"/>
  <c r="Q34" i="17"/>
  <c r="E91" i="17" s="1"/>
  <c r="Y34" i="17"/>
  <c r="V34" i="17"/>
  <c r="J91" i="17" s="1"/>
  <c r="X33" i="17"/>
  <c r="W33" i="17"/>
  <c r="U33" i="17"/>
  <c r="T33" i="17"/>
  <c r="S33" i="17"/>
  <c r="R33" i="17"/>
  <c r="Q33" i="17"/>
  <c r="Y33" i="17"/>
  <c r="V33" i="17"/>
  <c r="X31" i="17"/>
  <c r="L88" i="17" s="1"/>
  <c r="W31" i="17"/>
  <c r="K88" i="17" s="1"/>
  <c r="U31" i="17"/>
  <c r="I88" i="17" s="1"/>
  <c r="T31" i="17"/>
  <c r="H88" i="17" s="1"/>
  <c r="S31" i="17"/>
  <c r="G88" i="17" s="1"/>
  <c r="R31" i="17"/>
  <c r="F88" i="17" s="1"/>
  <c r="Q31" i="17"/>
  <c r="E88" i="17" s="1"/>
  <c r="Y31" i="17"/>
  <c r="M88" i="17" s="1"/>
  <c r="V31" i="17"/>
  <c r="J88" i="17" s="1"/>
  <c r="X30" i="17"/>
  <c r="W30" i="17"/>
  <c r="U30" i="17"/>
  <c r="T30" i="17"/>
  <c r="S30" i="17"/>
  <c r="R30" i="17"/>
  <c r="Q30" i="17"/>
  <c r="Y30" i="17"/>
  <c r="V30" i="17"/>
  <c r="X26" i="17"/>
  <c r="W26" i="17"/>
  <c r="U26" i="17"/>
  <c r="T26" i="17"/>
  <c r="S26" i="17"/>
  <c r="R26" i="17"/>
  <c r="Q26" i="17"/>
  <c r="Y26" i="17"/>
  <c r="V26" i="17"/>
  <c r="J83" i="17" s="1"/>
  <c r="X25" i="17"/>
  <c r="W25" i="17"/>
  <c r="U25" i="17"/>
  <c r="T25" i="17"/>
  <c r="S25" i="17"/>
  <c r="R25" i="17"/>
  <c r="Q25" i="17"/>
  <c r="Y25" i="17"/>
  <c r="V25" i="17"/>
  <c r="J82" i="17" s="1"/>
  <c r="X24" i="17"/>
  <c r="W24" i="17"/>
  <c r="U24" i="17"/>
  <c r="T24" i="17"/>
  <c r="S24" i="17"/>
  <c r="R24" i="17"/>
  <c r="Q24" i="17"/>
  <c r="Y24" i="17"/>
  <c r="V24" i="17"/>
  <c r="J81" i="17" s="1"/>
  <c r="X23" i="17"/>
  <c r="W23" i="17"/>
  <c r="U23" i="17"/>
  <c r="T23" i="17"/>
  <c r="S23" i="17"/>
  <c r="R23" i="17"/>
  <c r="Q23" i="17"/>
  <c r="Y23" i="17"/>
  <c r="V23" i="17"/>
  <c r="X13" i="17"/>
  <c r="W13" i="17"/>
  <c r="U13" i="17"/>
  <c r="T13" i="17"/>
  <c r="S13" i="17"/>
  <c r="R13" i="17"/>
  <c r="Q13" i="17"/>
  <c r="Y13" i="17"/>
  <c r="V13" i="17"/>
  <c r="X12" i="17"/>
  <c r="W12" i="17"/>
  <c r="U12" i="17"/>
  <c r="T12" i="17"/>
  <c r="S12" i="17"/>
  <c r="R12" i="17"/>
  <c r="Q12" i="17"/>
  <c r="Y12" i="17"/>
  <c r="V12" i="17"/>
  <c r="X10" i="17"/>
  <c r="W10" i="17"/>
  <c r="U10" i="17"/>
  <c r="T10" i="17"/>
  <c r="S10" i="17"/>
  <c r="R10" i="17"/>
  <c r="Q10" i="17"/>
  <c r="Y10" i="17"/>
  <c r="V10" i="17"/>
  <c r="X9" i="17"/>
  <c r="W9" i="17"/>
  <c r="U9" i="17"/>
  <c r="T9" i="17"/>
  <c r="S9" i="17"/>
  <c r="R9" i="17"/>
  <c r="Q9" i="17"/>
  <c r="Y9" i="17"/>
  <c r="V9" i="17"/>
  <c r="J66" i="17" s="1"/>
  <c r="X8" i="17"/>
  <c r="W8" i="17"/>
  <c r="U8" i="17"/>
  <c r="T8" i="17"/>
  <c r="S8" i="17"/>
  <c r="R8" i="17"/>
  <c r="Q8" i="17"/>
  <c r="Y8" i="17"/>
  <c r="V8" i="17"/>
  <c r="P48" i="16"/>
  <c r="P47" i="16"/>
  <c r="P46" i="16"/>
  <c r="P45" i="16"/>
  <c r="X47" i="16"/>
  <c r="W47" i="16"/>
  <c r="U47" i="16"/>
  <c r="T47" i="16"/>
  <c r="H93" i="16" s="1"/>
  <c r="S47" i="16"/>
  <c r="R47" i="16"/>
  <c r="Q47" i="16"/>
  <c r="M47" i="16"/>
  <c r="Y47" i="16" s="1"/>
  <c r="V47" i="16"/>
  <c r="P44" i="16"/>
  <c r="P40" i="16"/>
  <c r="P39" i="16"/>
  <c r="P38" i="16"/>
  <c r="P37" i="16"/>
  <c r="X33" i="16"/>
  <c r="W33" i="16"/>
  <c r="U33" i="16"/>
  <c r="T33" i="16"/>
  <c r="S33" i="16"/>
  <c r="R33" i="16"/>
  <c r="Q33" i="16"/>
  <c r="P33" i="16"/>
  <c r="P32" i="16"/>
  <c r="P31" i="16"/>
  <c r="P30" i="16"/>
  <c r="P26" i="16"/>
  <c r="P25" i="16"/>
  <c r="P24" i="16"/>
  <c r="P23" i="16"/>
  <c r="P15" i="16"/>
  <c r="P13" i="16"/>
  <c r="P14" i="16"/>
  <c r="P12" i="16"/>
  <c r="P11" i="16"/>
  <c r="P10" i="16"/>
  <c r="P9" i="16"/>
  <c r="E55" i="16" s="1"/>
  <c r="P8" i="16"/>
  <c r="A64" i="16"/>
  <c r="A63" i="16"/>
  <c r="A62" i="16"/>
  <c r="X18" i="16"/>
  <c r="L64" i="16" s="1"/>
  <c r="W18" i="16"/>
  <c r="K64" i="16" s="1"/>
  <c r="U18" i="16"/>
  <c r="I64" i="16" s="1"/>
  <c r="T18" i="16"/>
  <c r="H64" i="16" s="1"/>
  <c r="S18" i="16"/>
  <c r="G64" i="16" s="1"/>
  <c r="R18" i="16"/>
  <c r="F64" i="16" s="1"/>
  <c r="Q18" i="16"/>
  <c r="E64" i="16" s="1"/>
  <c r="M18" i="16"/>
  <c r="Y18" i="16" s="1"/>
  <c r="M64" i="16" s="1"/>
  <c r="V18" i="16"/>
  <c r="J64" i="16" s="1"/>
  <c r="X17" i="16"/>
  <c r="L63" i="16" s="1"/>
  <c r="W17" i="16"/>
  <c r="K63" i="16" s="1"/>
  <c r="U17" i="16"/>
  <c r="I63" i="16" s="1"/>
  <c r="T17" i="16"/>
  <c r="H63" i="16" s="1"/>
  <c r="S17" i="16"/>
  <c r="G63" i="16" s="1"/>
  <c r="R17" i="16"/>
  <c r="F63" i="16" s="1"/>
  <c r="Q17" i="16"/>
  <c r="E63" i="16" s="1"/>
  <c r="M17" i="16"/>
  <c r="Y17" i="16" s="1"/>
  <c r="M63" i="16" s="1"/>
  <c r="J17" i="16"/>
  <c r="V17" i="16" s="1"/>
  <c r="J63" i="16" s="1"/>
  <c r="X16" i="16"/>
  <c r="L62" i="16" s="1"/>
  <c r="W16" i="16"/>
  <c r="K62" i="16" s="1"/>
  <c r="U16" i="16"/>
  <c r="I62" i="16" s="1"/>
  <c r="T16" i="16"/>
  <c r="H62" i="16" s="1"/>
  <c r="S16" i="16"/>
  <c r="G62" i="16" s="1"/>
  <c r="R16" i="16"/>
  <c r="F62" i="16" s="1"/>
  <c r="Q16" i="16"/>
  <c r="E62" i="16" s="1"/>
  <c r="M16" i="16"/>
  <c r="Y16" i="16" s="1"/>
  <c r="M62" i="16" s="1"/>
  <c r="J16" i="16"/>
  <c r="V16" i="16" s="1"/>
  <c r="J62" i="16" s="1"/>
  <c r="M33" i="16"/>
  <c r="Y33" i="16" s="1"/>
  <c r="M79" i="16" s="1"/>
  <c r="J33" i="16"/>
  <c r="V33" i="16" s="1"/>
  <c r="A79" i="16"/>
  <c r="A95" i="16"/>
  <c r="A94" i="16"/>
  <c r="A93" i="16"/>
  <c r="A92" i="16"/>
  <c r="A91" i="16"/>
  <c r="A90" i="16"/>
  <c r="A89" i="16"/>
  <c r="A87" i="16"/>
  <c r="A86" i="16"/>
  <c r="A85" i="16"/>
  <c r="A84" i="16"/>
  <c r="A83" i="16"/>
  <c r="A82" i="16"/>
  <c r="A80" i="16"/>
  <c r="A78" i="16"/>
  <c r="A77" i="16"/>
  <c r="A76" i="16"/>
  <c r="A75" i="16"/>
  <c r="A73" i="16"/>
  <c r="A72" i="16"/>
  <c r="A71" i="16"/>
  <c r="A70" i="16"/>
  <c r="A69" i="16"/>
  <c r="A68" i="16"/>
  <c r="A65" i="16"/>
  <c r="A61" i="16"/>
  <c r="A60" i="16"/>
  <c r="A59" i="16"/>
  <c r="A58" i="16"/>
  <c r="A57" i="16"/>
  <c r="A56" i="16"/>
  <c r="A55" i="16"/>
  <c r="A54" i="16"/>
  <c r="A53" i="16"/>
  <c r="X48" i="16"/>
  <c r="L94" i="16" s="1"/>
  <c r="W48" i="16"/>
  <c r="K94" i="16" s="1"/>
  <c r="U48" i="16"/>
  <c r="I94" i="16" s="1"/>
  <c r="T48" i="16"/>
  <c r="H94" i="16" s="1"/>
  <c r="S48" i="16"/>
  <c r="G94" i="16" s="1"/>
  <c r="R48" i="16"/>
  <c r="F94" i="16" s="1"/>
  <c r="Q48" i="16"/>
  <c r="E94" i="16" s="1"/>
  <c r="Y48" i="16"/>
  <c r="M94" i="16" s="1"/>
  <c r="V48" i="16"/>
  <c r="J94" i="16" s="1"/>
  <c r="K93" i="16"/>
  <c r="F93" i="16"/>
  <c r="X46" i="16"/>
  <c r="L92" i="16" s="1"/>
  <c r="W46" i="16"/>
  <c r="U46" i="16"/>
  <c r="T46" i="16"/>
  <c r="H92" i="16" s="1"/>
  <c r="S46" i="16"/>
  <c r="R46" i="16"/>
  <c r="Q46" i="16"/>
  <c r="M46" i="16"/>
  <c r="Y46" i="16" s="1"/>
  <c r="M92" i="16" s="1"/>
  <c r="J46" i="16"/>
  <c r="V46" i="16" s="1"/>
  <c r="J92" i="16" s="1"/>
  <c r="X45" i="16"/>
  <c r="W45" i="16"/>
  <c r="K91" i="16" s="1"/>
  <c r="U45" i="16"/>
  <c r="T45" i="16"/>
  <c r="H91" i="16" s="1"/>
  <c r="S45" i="16"/>
  <c r="R45" i="16"/>
  <c r="F91" i="16" s="1"/>
  <c r="Q45" i="16"/>
  <c r="Y45" i="16"/>
  <c r="M91" i="16" s="1"/>
  <c r="V45" i="16"/>
  <c r="X44" i="16"/>
  <c r="W44" i="16"/>
  <c r="W49" i="16" s="1"/>
  <c r="U44" i="16"/>
  <c r="T44" i="16"/>
  <c r="S44" i="16"/>
  <c r="G90" i="16" s="1"/>
  <c r="R44" i="16"/>
  <c r="Q44" i="16"/>
  <c r="Y44" i="16"/>
  <c r="V44" i="16"/>
  <c r="X40" i="16"/>
  <c r="W40" i="16"/>
  <c r="U40" i="16"/>
  <c r="T40" i="16"/>
  <c r="S40" i="16"/>
  <c r="G86" i="16" s="1"/>
  <c r="R40" i="16"/>
  <c r="F86" i="16" s="1"/>
  <c r="Q40" i="16"/>
  <c r="Y40" i="16"/>
  <c r="V40" i="16"/>
  <c r="X39" i="16"/>
  <c r="W39" i="16"/>
  <c r="U39" i="16"/>
  <c r="T39" i="16"/>
  <c r="S39" i="16"/>
  <c r="G85" i="16" s="1"/>
  <c r="R39" i="16"/>
  <c r="Q39" i="16"/>
  <c r="Y39" i="16"/>
  <c r="V39" i="16"/>
  <c r="X38" i="16"/>
  <c r="L84" i="16" s="1"/>
  <c r="W38" i="16"/>
  <c r="K84" i="16" s="1"/>
  <c r="U38" i="16"/>
  <c r="I84" i="16" s="1"/>
  <c r="T38" i="16"/>
  <c r="H84" i="16" s="1"/>
  <c r="S38" i="16"/>
  <c r="G84" i="16" s="1"/>
  <c r="R38" i="16"/>
  <c r="F84" i="16" s="1"/>
  <c r="Q38" i="16"/>
  <c r="E84" i="16" s="1"/>
  <c r="M38" i="16"/>
  <c r="Y38" i="16" s="1"/>
  <c r="M84" i="16" s="1"/>
  <c r="J38" i="16"/>
  <c r="V38" i="16" s="1"/>
  <c r="J84" i="16" s="1"/>
  <c r="X37" i="16"/>
  <c r="W37" i="16"/>
  <c r="U37" i="16"/>
  <c r="I83" i="16" s="1"/>
  <c r="T37" i="16"/>
  <c r="S37" i="16"/>
  <c r="G83" i="16" s="1"/>
  <c r="R37" i="16"/>
  <c r="Q37" i="16"/>
  <c r="Y37" i="16"/>
  <c r="V37" i="16"/>
  <c r="J83" i="16" s="1"/>
  <c r="X32" i="16"/>
  <c r="L78" i="16" s="1"/>
  <c r="W32" i="16"/>
  <c r="K78" i="16" s="1"/>
  <c r="U32" i="16"/>
  <c r="T32" i="16"/>
  <c r="S32" i="16"/>
  <c r="G78" i="16" s="1"/>
  <c r="R32" i="16"/>
  <c r="Q32" i="16"/>
  <c r="M32" i="16"/>
  <c r="Y32" i="16" s="1"/>
  <c r="J32" i="16"/>
  <c r="V32" i="16" s="1"/>
  <c r="J78" i="16" s="1"/>
  <c r="X31" i="16"/>
  <c r="L77" i="16" s="1"/>
  <c r="W31" i="16"/>
  <c r="K77" i="16" s="1"/>
  <c r="U31" i="16"/>
  <c r="I77" i="16" s="1"/>
  <c r="T31" i="16"/>
  <c r="S31" i="16"/>
  <c r="G77" i="16" s="1"/>
  <c r="R31" i="16"/>
  <c r="Q31" i="16"/>
  <c r="E77" i="16" s="1"/>
  <c r="Y31" i="16"/>
  <c r="M77" i="16" s="1"/>
  <c r="V31" i="16"/>
  <c r="J77" i="16" s="1"/>
  <c r="X30" i="16"/>
  <c r="L76" i="16" s="1"/>
  <c r="W30" i="16"/>
  <c r="U30" i="16"/>
  <c r="I76" i="16" s="1"/>
  <c r="T30" i="16"/>
  <c r="H76" i="16" s="1"/>
  <c r="S30" i="16"/>
  <c r="G76" i="16" s="1"/>
  <c r="R30" i="16"/>
  <c r="F76" i="16" s="1"/>
  <c r="Q30" i="16"/>
  <c r="E76" i="16" s="1"/>
  <c r="Y30" i="16"/>
  <c r="M76" i="16" s="1"/>
  <c r="V30" i="16"/>
  <c r="J76" i="16" s="1"/>
  <c r="X26" i="16"/>
  <c r="W26" i="16"/>
  <c r="K72" i="16" s="1"/>
  <c r="U26" i="16"/>
  <c r="T26" i="16"/>
  <c r="S26" i="16"/>
  <c r="G72" i="16" s="1"/>
  <c r="R26" i="16"/>
  <c r="F72" i="16" s="1"/>
  <c r="Q26" i="16"/>
  <c r="E72" i="16" s="1"/>
  <c r="Y26" i="16"/>
  <c r="V26" i="16"/>
  <c r="X25" i="16"/>
  <c r="W25" i="16"/>
  <c r="U25" i="16"/>
  <c r="T25" i="16"/>
  <c r="S25" i="16"/>
  <c r="G71" i="16" s="1"/>
  <c r="R25" i="16"/>
  <c r="Q25" i="16"/>
  <c r="M25" i="16"/>
  <c r="Y25" i="16" s="1"/>
  <c r="J25" i="16"/>
  <c r="V25" i="16" s="1"/>
  <c r="X24" i="16"/>
  <c r="W24" i="16"/>
  <c r="U24" i="16"/>
  <c r="T24" i="16"/>
  <c r="S24" i="16"/>
  <c r="G70" i="16" s="1"/>
  <c r="R24" i="16"/>
  <c r="Q24" i="16"/>
  <c r="M24" i="16"/>
  <c r="Y24" i="16" s="1"/>
  <c r="V24" i="16"/>
  <c r="X23" i="16"/>
  <c r="W23" i="16"/>
  <c r="U23" i="16"/>
  <c r="I69" i="16" s="1"/>
  <c r="T23" i="16"/>
  <c r="S23" i="16"/>
  <c r="G69" i="16" s="1"/>
  <c r="R23" i="16"/>
  <c r="Q23" i="16"/>
  <c r="E69" i="16" s="1"/>
  <c r="M23" i="16"/>
  <c r="Y23" i="16" s="1"/>
  <c r="V23" i="16"/>
  <c r="J69" i="16" s="1"/>
  <c r="X15" i="16"/>
  <c r="L61" i="16" s="1"/>
  <c r="W15" i="16"/>
  <c r="K61" i="16" s="1"/>
  <c r="U15" i="16"/>
  <c r="I61" i="16" s="1"/>
  <c r="T15" i="16"/>
  <c r="S15" i="16"/>
  <c r="G61" i="16" s="1"/>
  <c r="R15" i="16"/>
  <c r="F61" i="16" s="1"/>
  <c r="Q15" i="16"/>
  <c r="M15" i="16"/>
  <c r="Y15" i="16" s="1"/>
  <c r="J15" i="16"/>
  <c r="V15" i="16" s="1"/>
  <c r="J61" i="16" s="1"/>
  <c r="X14" i="16"/>
  <c r="L60" i="16" s="1"/>
  <c r="W14" i="16"/>
  <c r="K60" i="16" s="1"/>
  <c r="U14" i="16"/>
  <c r="I60" i="16" s="1"/>
  <c r="T14" i="16"/>
  <c r="H60" i="16" s="1"/>
  <c r="S14" i="16"/>
  <c r="G60" i="16" s="1"/>
  <c r="R14" i="16"/>
  <c r="F60" i="16" s="1"/>
  <c r="Q14" i="16"/>
  <c r="E60" i="16" s="1"/>
  <c r="M14" i="16"/>
  <c r="Y14" i="16" s="1"/>
  <c r="M60" i="16" s="1"/>
  <c r="V14" i="16"/>
  <c r="J60" i="16" s="1"/>
  <c r="X13" i="16"/>
  <c r="W13" i="16"/>
  <c r="U13" i="16"/>
  <c r="T13" i="16"/>
  <c r="H59" i="16" s="1"/>
  <c r="S13" i="16"/>
  <c r="R13" i="16"/>
  <c r="Q13" i="16"/>
  <c r="M13" i="16"/>
  <c r="Y13" i="16" s="1"/>
  <c r="M59" i="16" s="1"/>
  <c r="J13" i="16"/>
  <c r="V13" i="16" s="1"/>
  <c r="X12" i="16"/>
  <c r="L58" i="16" s="1"/>
  <c r="W12" i="16"/>
  <c r="U12" i="16"/>
  <c r="I58" i="16" s="1"/>
  <c r="T12" i="16"/>
  <c r="S12" i="16"/>
  <c r="G58" i="16" s="1"/>
  <c r="R12" i="16"/>
  <c r="Q12" i="16"/>
  <c r="E58" i="16" s="1"/>
  <c r="M12" i="16"/>
  <c r="Y12" i="16" s="1"/>
  <c r="J12" i="16"/>
  <c r="V12" i="16" s="1"/>
  <c r="J58" i="16" s="1"/>
  <c r="X11" i="16"/>
  <c r="W11" i="16"/>
  <c r="K57" i="16" s="1"/>
  <c r="U11" i="16"/>
  <c r="T11" i="16"/>
  <c r="S11" i="16"/>
  <c r="G57" i="16" s="1"/>
  <c r="R11" i="16"/>
  <c r="F57" i="16" s="1"/>
  <c r="Q11" i="16"/>
  <c r="E57" i="16" s="1"/>
  <c r="M11" i="16"/>
  <c r="Y11" i="16" s="1"/>
  <c r="J11" i="16"/>
  <c r="V11" i="16" s="1"/>
  <c r="X10" i="16"/>
  <c r="W10" i="16"/>
  <c r="U10" i="16"/>
  <c r="T10" i="16"/>
  <c r="S10" i="16"/>
  <c r="G56" i="16" s="1"/>
  <c r="R10" i="16"/>
  <c r="Q10" i="16"/>
  <c r="M10" i="16"/>
  <c r="Y10" i="16" s="1"/>
  <c r="J10" i="16"/>
  <c r="V10" i="16" s="1"/>
  <c r="X9" i="16"/>
  <c r="W9" i="16"/>
  <c r="U9" i="16"/>
  <c r="T9" i="16"/>
  <c r="S9" i="16"/>
  <c r="G55" i="16" s="1"/>
  <c r="R9" i="16"/>
  <c r="M9" i="16"/>
  <c r="Y9" i="16" s="1"/>
  <c r="J9" i="16"/>
  <c r="V9" i="16" s="1"/>
  <c r="X8" i="16"/>
  <c r="L54" i="16" s="1"/>
  <c r="W8" i="16"/>
  <c r="U8" i="16"/>
  <c r="I54" i="16" s="1"/>
  <c r="T8" i="16"/>
  <c r="S8" i="16"/>
  <c r="G54" i="16" s="1"/>
  <c r="R8" i="16"/>
  <c r="Q8" i="16"/>
  <c r="E54" i="16" s="1"/>
  <c r="M8" i="16"/>
  <c r="Y8" i="16" s="1"/>
  <c r="J8" i="16"/>
  <c r="V8" i="16" s="1"/>
  <c r="J54" i="16" s="1"/>
  <c r="A144" i="5"/>
  <c r="A186" i="5"/>
  <c r="A121" i="5"/>
  <c r="A133" i="5" s="1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1" i="5"/>
  <c r="A81" i="5"/>
  <c r="A49" i="5"/>
  <c r="A26" i="5"/>
  <c r="A15" i="5"/>
  <c r="A165" i="5"/>
  <c r="A38" i="5"/>
  <c r="A3" i="5"/>
  <c r="AE182" i="3"/>
  <c r="AE178" i="3"/>
  <c r="AE151" i="3"/>
  <c r="AE147" i="3"/>
  <c r="AE139" i="3"/>
  <c r="AB126" i="3"/>
  <c r="Y126" i="3"/>
  <c r="X126" i="3"/>
  <c r="W126" i="3"/>
  <c r="V126" i="3"/>
  <c r="U126" i="3"/>
  <c r="T126" i="3"/>
  <c r="AB125" i="3"/>
  <c r="Y125" i="3"/>
  <c r="X125" i="3"/>
  <c r="W125" i="3"/>
  <c r="V125" i="3"/>
  <c r="U125" i="3"/>
  <c r="T125" i="3"/>
  <c r="P53" i="11"/>
  <c r="X48" i="11"/>
  <c r="W48" i="11"/>
  <c r="U48" i="11"/>
  <c r="T48" i="11"/>
  <c r="S48" i="11"/>
  <c r="R48" i="11"/>
  <c r="Q48" i="11"/>
  <c r="P48" i="11"/>
  <c r="Y48" i="11"/>
  <c r="V48" i="11"/>
  <c r="P49" i="11"/>
  <c r="P47" i="11"/>
  <c r="P45" i="11"/>
  <c r="P44" i="11"/>
  <c r="P43" i="11"/>
  <c r="X43" i="11"/>
  <c r="W43" i="11"/>
  <c r="U43" i="11"/>
  <c r="T43" i="11"/>
  <c r="S43" i="11"/>
  <c r="R43" i="11"/>
  <c r="Q43" i="11"/>
  <c r="Y43" i="11"/>
  <c r="V43" i="11"/>
  <c r="P40" i="11"/>
  <c r="P42" i="11"/>
  <c r="A105" i="11"/>
  <c r="X42" i="11"/>
  <c r="L105" i="11" s="1"/>
  <c r="W42" i="11"/>
  <c r="K105" i="11" s="1"/>
  <c r="U42" i="11"/>
  <c r="I105" i="11" s="1"/>
  <c r="T42" i="11"/>
  <c r="H105" i="11" s="1"/>
  <c r="S42" i="11"/>
  <c r="G105" i="11" s="1"/>
  <c r="R42" i="11"/>
  <c r="F105" i="11" s="1"/>
  <c r="Q42" i="11"/>
  <c r="E105" i="11" s="1"/>
  <c r="Y42" i="11"/>
  <c r="M105" i="11" s="1"/>
  <c r="V42" i="11"/>
  <c r="J105" i="11" s="1"/>
  <c r="P41" i="11"/>
  <c r="P30" i="11"/>
  <c r="P36" i="11"/>
  <c r="P33" i="11"/>
  <c r="P29" i="11"/>
  <c r="P35" i="11"/>
  <c r="A95" i="11"/>
  <c r="P32" i="11"/>
  <c r="X32" i="11"/>
  <c r="L95" i="11" s="1"/>
  <c r="W32" i="11"/>
  <c r="V32" i="11"/>
  <c r="U32" i="11"/>
  <c r="T32" i="11"/>
  <c r="S32" i="11"/>
  <c r="R32" i="11"/>
  <c r="Q32" i="11"/>
  <c r="E95" i="11" s="1"/>
  <c r="Y32" i="11"/>
  <c r="M95" i="11" s="1"/>
  <c r="P31" i="11"/>
  <c r="P27" i="11"/>
  <c r="P34" i="11"/>
  <c r="P23" i="11"/>
  <c r="P22" i="11"/>
  <c r="P21" i="11"/>
  <c r="P20" i="11"/>
  <c r="P19" i="11"/>
  <c r="P18" i="11"/>
  <c r="P17" i="11"/>
  <c r="P16" i="11"/>
  <c r="P15" i="11"/>
  <c r="P8" i="11"/>
  <c r="P53" i="9"/>
  <c r="P46" i="9"/>
  <c r="P45" i="9"/>
  <c r="A107" i="9"/>
  <c r="X45" i="9"/>
  <c r="W45" i="9"/>
  <c r="U45" i="9"/>
  <c r="T45" i="9"/>
  <c r="S45" i="9"/>
  <c r="R45" i="9"/>
  <c r="Q45" i="9"/>
  <c r="Y45" i="9"/>
  <c r="V45" i="9"/>
  <c r="P43" i="9"/>
  <c r="P41" i="9"/>
  <c r="P42" i="9"/>
  <c r="A104" i="9"/>
  <c r="X42" i="9"/>
  <c r="L104" i="9" s="1"/>
  <c r="W42" i="9"/>
  <c r="U42" i="9"/>
  <c r="I104" i="9" s="1"/>
  <c r="T42" i="9"/>
  <c r="S42" i="9"/>
  <c r="G104" i="9" s="1"/>
  <c r="R42" i="9"/>
  <c r="Q42" i="9"/>
  <c r="E104" i="9" s="1"/>
  <c r="Y42" i="9"/>
  <c r="V42" i="9"/>
  <c r="J104" i="9" s="1"/>
  <c r="P37" i="9"/>
  <c r="P33" i="9"/>
  <c r="P31" i="9"/>
  <c r="P24" i="9"/>
  <c r="P23" i="9"/>
  <c r="P22" i="9"/>
  <c r="P21" i="9"/>
  <c r="P20" i="9"/>
  <c r="P25" i="9"/>
  <c r="P19" i="9"/>
  <c r="P18" i="9"/>
  <c r="P17" i="9"/>
  <c r="P13" i="9"/>
  <c r="P12" i="9"/>
  <c r="P11" i="9"/>
  <c r="P10" i="9"/>
  <c r="P9" i="9"/>
  <c r="P8" i="9"/>
  <c r="M126" i="11"/>
  <c r="L126" i="11"/>
  <c r="K126" i="11"/>
  <c r="J126" i="11"/>
  <c r="I126" i="11"/>
  <c r="H126" i="11"/>
  <c r="G126" i="11"/>
  <c r="F126" i="11"/>
  <c r="E126" i="11"/>
  <c r="X23" i="11"/>
  <c r="W23" i="11"/>
  <c r="U23" i="11"/>
  <c r="T23" i="11"/>
  <c r="S23" i="11"/>
  <c r="R23" i="11"/>
  <c r="Q23" i="11"/>
  <c r="X22" i="11"/>
  <c r="W22" i="11"/>
  <c r="U22" i="11"/>
  <c r="T22" i="11"/>
  <c r="S22" i="11"/>
  <c r="R22" i="11"/>
  <c r="Q22" i="11"/>
  <c r="X21" i="11"/>
  <c r="W21" i="11"/>
  <c r="U21" i="11"/>
  <c r="T21" i="11"/>
  <c r="S21" i="11"/>
  <c r="R21" i="11"/>
  <c r="Q21" i="11"/>
  <c r="X20" i="11"/>
  <c r="W20" i="11"/>
  <c r="U20" i="11"/>
  <c r="T20" i="11"/>
  <c r="S20" i="11"/>
  <c r="R20" i="11"/>
  <c r="Q20" i="11"/>
  <c r="X19" i="11"/>
  <c r="W19" i="11"/>
  <c r="U19" i="11"/>
  <c r="T19" i="11"/>
  <c r="S19" i="11"/>
  <c r="R19" i="11"/>
  <c r="Q19" i="11"/>
  <c r="X18" i="11"/>
  <c r="W18" i="11"/>
  <c r="U18" i="11"/>
  <c r="T18" i="11"/>
  <c r="S18" i="11"/>
  <c r="R18" i="11"/>
  <c r="Q18" i="11"/>
  <c r="X17" i="11"/>
  <c r="W17" i="11"/>
  <c r="U17" i="11"/>
  <c r="T17" i="11"/>
  <c r="S17" i="11"/>
  <c r="R17" i="11"/>
  <c r="Q17" i="11"/>
  <c r="X16" i="11"/>
  <c r="W16" i="11"/>
  <c r="U16" i="11"/>
  <c r="T16" i="11"/>
  <c r="S16" i="11"/>
  <c r="R16" i="11"/>
  <c r="Q16" i="11"/>
  <c r="X15" i="11"/>
  <c r="W15" i="11"/>
  <c r="U15" i="11"/>
  <c r="T15" i="11"/>
  <c r="S15" i="11"/>
  <c r="R15" i="11"/>
  <c r="Q15" i="11"/>
  <c r="X11" i="11"/>
  <c r="W11" i="11"/>
  <c r="U11" i="11"/>
  <c r="T11" i="11"/>
  <c r="S11" i="11"/>
  <c r="R11" i="11"/>
  <c r="Q11" i="11"/>
  <c r="X10" i="11"/>
  <c r="W10" i="11"/>
  <c r="U10" i="11"/>
  <c r="T10" i="11"/>
  <c r="S10" i="11"/>
  <c r="R10" i="11"/>
  <c r="Q10" i="11"/>
  <c r="X8" i="11"/>
  <c r="W8" i="11"/>
  <c r="U8" i="11"/>
  <c r="T8" i="11"/>
  <c r="S8" i="11"/>
  <c r="R8" i="11"/>
  <c r="Q8" i="11"/>
  <c r="Y11" i="11"/>
  <c r="V11" i="11"/>
  <c r="Y8" i="11"/>
  <c r="V8" i="11"/>
  <c r="X25" i="9"/>
  <c r="W25" i="9"/>
  <c r="U25" i="9"/>
  <c r="T25" i="9"/>
  <c r="S25" i="9"/>
  <c r="R25" i="9"/>
  <c r="F87" i="9" s="1"/>
  <c r="Q25" i="9"/>
  <c r="X24" i="9"/>
  <c r="W24" i="9"/>
  <c r="U24" i="9"/>
  <c r="T24" i="9"/>
  <c r="S24" i="9"/>
  <c r="R24" i="9"/>
  <c r="F86" i="9" s="1"/>
  <c r="Q24" i="9"/>
  <c r="X23" i="9"/>
  <c r="L85" i="9" s="1"/>
  <c r="W23" i="9"/>
  <c r="K85" i="9" s="1"/>
  <c r="U23" i="9"/>
  <c r="I85" i="9" s="1"/>
  <c r="T23" i="9"/>
  <c r="H85" i="9" s="1"/>
  <c r="S23" i="9"/>
  <c r="G85" i="9" s="1"/>
  <c r="R23" i="9"/>
  <c r="F85" i="9" s="1"/>
  <c r="Q23" i="9"/>
  <c r="E85" i="9" s="1"/>
  <c r="X22" i="9"/>
  <c r="L84" i="9" s="1"/>
  <c r="W22" i="9"/>
  <c r="K84" i="9" s="1"/>
  <c r="U22" i="9"/>
  <c r="I84" i="9" s="1"/>
  <c r="T22" i="9"/>
  <c r="H84" i="9" s="1"/>
  <c r="S22" i="9"/>
  <c r="G84" i="9" s="1"/>
  <c r="R22" i="9"/>
  <c r="F84" i="9" s="1"/>
  <c r="Q22" i="9"/>
  <c r="E84" i="9" s="1"/>
  <c r="X21" i="9"/>
  <c r="L83" i="9" s="1"/>
  <c r="W21" i="9"/>
  <c r="K83" i="9" s="1"/>
  <c r="U21" i="9"/>
  <c r="T21" i="9"/>
  <c r="S21" i="9"/>
  <c r="G83" i="9" s="1"/>
  <c r="R21" i="9"/>
  <c r="Q21" i="9"/>
  <c r="X20" i="9"/>
  <c r="W20" i="9"/>
  <c r="K82" i="9" s="1"/>
  <c r="U20" i="9"/>
  <c r="I82" i="9" s="1"/>
  <c r="T20" i="9"/>
  <c r="S20" i="9"/>
  <c r="R20" i="9"/>
  <c r="Q20" i="9"/>
  <c r="X19" i="9"/>
  <c r="L81" i="9" s="1"/>
  <c r="W19" i="9"/>
  <c r="K81" i="9" s="1"/>
  <c r="U19" i="9"/>
  <c r="I81" i="9" s="1"/>
  <c r="T19" i="9"/>
  <c r="H81" i="9" s="1"/>
  <c r="S19" i="9"/>
  <c r="G81" i="9" s="1"/>
  <c r="R19" i="9"/>
  <c r="F81" i="9" s="1"/>
  <c r="Q19" i="9"/>
  <c r="E81" i="9" s="1"/>
  <c r="X18" i="9"/>
  <c r="W18" i="9"/>
  <c r="U18" i="9"/>
  <c r="I80" i="9" s="1"/>
  <c r="T18" i="9"/>
  <c r="H80" i="9" s="1"/>
  <c r="S18" i="9"/>
  <c r="G80" i="9" s="1"/>
  <c r="R18" i="9"/>
  <c r="Q18" i="9"/>
  <c r="E80" i="9" s="1"/>
  <c r="X17" i="9"/>
  <c r="W17" i="9"/>
  <c r="U17" i="9"/>
  <c r="T17" i="9"/>
  <c r="S17" i="9"/>
  <c r="G79" i="9" s="1"/>
  <c r="R17" i="9"/>
  <c r="Q17" i="9"/>
  <c r="X13" i="9"/>
  <c r="L75" i="9" s="1"/>
  <c r="W13" i="9"/>
  <c r="K75" i="9" s="1"/>
  <c r="U13" i="9"/>
  <c r="I75" i="9" s="1"/>
  <c r="T13" i="9"/>
  <c r="H75" i="9" s="1"/>
  <c r="S13" i="9"/>
  <c r="G75" i="9" s="1"/>
  <c r="R13" i="9"/>
  <c r="F75" i="9" s="1"/>
  <c r="Q13" i="9"/>
  <c r="E75" i="9" s="1"/>
  <c r="X12" i="9"/>
  <c r="W12" i="9"/>
  <c r="K74" i="9" s="1"/>
  <c r="U12" i="9"/>
  <c r="I74" i="9" s="1"/>
  <c r="T12" i="9"/>
  <c r="S12" i="9"/>
  <c r="G74" i="9" s="1"/>
  <c r="R12" i="9"/>
  <c r="Q12" i="9"/>
  <c r="E74" i="9" s="1"/>
  <c r="X11" i="9"/>
  <c r="L73" i="9" s="1"/>
  <c r="W11" i="9"/>
  <c r="U11" i="9"/>
  <c r="T11" i="9"/>
  <c r="H73" i="9" s="1"/>
  <c r="S11" i="9"/>
  <c r="R11" i="9"/>
  <c r="Q11" i="9"/>
  <c r="E73" i="9" s="1"/>
  <c r="X10" i="9"/>
  <c r="L72" i="9" s="1"/>
  <c r="W10" i="9"/>
  <c r="K72" i="9" s="1"/>
  <c r="U10" i="9"/>
  <c r="T10" i="9"/>
  <c r="S10" i="9"/>
  <c r="R10" i="9"/>
  <c r="Q10" i="9"/>
  <c r="X9" i="9"/>
  <c r="W9" i="9"/>
  <c r="U9" i="9"/>
  <c r="I71" i="9" s="1"/>
  <c r="T9" i="9"/>
  <c r="S9" i="9"/>
  <c r="R9" i="9"/>
  <c r="Q9" i="9"/>
  <c r="X8" i="9"/>
  <c r="L70" i="9" s="1"/>
  <c r="W8" i="9"/>
  <c r="K70" i="9" s="1"/>
  <c r="U8" i="9"/>
  <c r="I70" i="9" s="1"/>
  <c r="T8" i="9"/>
  <c r="H70" i="9" s="1"/>
  <c r="S8" i="9"/>
  <c r="G70" i="9" s="1"/>
  <c r="R8" i="9"/>
  <c r="F70" i="9" s="1"/>
  <c r="Q8" i="9"/>
  <c r="E70" i="9" s="1"/>
  <c r="X8" i="1"/>
  <c r="W8" i="1"/>
  <c r="U8" i="1"/>
  <c r="T8" i="1"/>
  <c r="S8" i="1"/>
  <c r="R8" i="1"/>
  <c r="Q8" i="1"/>
  <c r="X9" i="1"/>
  <c r="W9" i="1"/>
  <c r="U9" i="1"/>
  <c r="T9" i="1"/>
  <c r="S9" i="1"/>
  <c r="R9" i="1"/>
  <c r="Q9" i="1"/>
  <c r="X10" i="1"/>
  <c r="W10" i="1"/>
  <c r="U10" i="1"/>
  <c r="T10" i="1"/>
  <c r="S10" i="1"/>
  <c r="R10" i="1"/>
  <c r="Q10" i="1"/>
  <c r="X11" i="1"/>
  <c r="W11" i="1"/>
  <c r="U11" i="1"/>
  <c r="T11" i="1"/>
  <c r="S11" i="1"/>
  <c r="R11" i="1"/>
  <c r="Q11" i="1"/>
  <c r="X13" i="1"/>
  <c r="W13" i="1"/>
  <c r="U13" i="1"/>
  <c r="T13" i="1"/>
  <c r="S13" i="1"/>
  <c r="R13" i="1"/>
  <c r="Q13" i="1"/>
  <c r="X16" i="1"/>
  <c r="W16" i="1"/>
  <c r="U16" i="1"/>
  <c r="T16" i="1"/>
  <c r="S16" i="1"/>
  <c r="R16" i="1"/>
  <c r="Q16" i="1"/>
  <c r="AB165" i="3"/>
  <c r="Y165" i="3"/>
  <c r="AK165" i="3" s="1"/>
  <c r="X165" i="3"/>
  <c r="W165" i="3"/>
  <c r="AI165" i="3" s="1"/>
  <c r="V165" i="3"/>
  <c r="U165" i="3"/>
  <c r="AG165" i="3" s="1"/>
  <c r="T165" i="3"/>
  <c r="AD165" i="3"/>
  <c r="AP165" i="3" s="1"/>
  <c r="AC165" i="3"/>
  <c r="AB164" i="3"/>
  <c r="Y164" i="3"/>
  <c r="X164" i="3"/>
  <c r="W164" i="3"/>
  <c r="V164" i="3"/>
  <c r="U164" i="3"/>
  <c r="T164" i="3"/>
  <c r="AD164" i="3"/>
  <c r="AP164" i="3" s="1"/>
  <c r="AC164" i="3"/>
  <c r="AB163" i="3"/>
  <c r="Y163" i="3"/>
  <c r="X163" i="3"/>
  <c r="W163" i="3"/>
  <c r="V163" i="3"/>
  <c r="U163" i="3"/>
  <c r="T163" i="3"/>
  <c r="AD163" i="3"/>
  <c r="AC163" i="3"/>
  <c r="AB190" i="3"/>
  <c r="AB191" i="3" s="1"/>
  <c r="H201" i="5" s="1"/>
  <c r="H195" i="6" s="1"/>
  <c r="Y190" i="3"/>
  <c r="Y191" i="3" s="1"/>
  <c r="X190" i="3"/>
  <c r="X191" i="3" s="1"/>
  <c r="W190" i="3"/>
  <c r="W191" i="3" s="1"/>
  <c r="E201" i="5" s="1"/>
  <c r="E195" i="6" s="1"/>
  <c r="V190" i="3"/>
  <c r="V191" i="3" s="1"/>
  <c r="B201" i="5" s="1"/>
  <c r="B195" i="6" s="1"/>
  <c r="U190" i="3"/>
  <c r="U191" i="3" s="1"/>
  <c r="D201" i="5" s="1"/>
  <c r="D195" i="6" s="1"/>
  <c r="T190" i="3"/>
  <c r="T191" i="3" s="1"/>
  <c r="C201" i="5" s="1"/>
  <c r="C195" i="6" s="1"/>
  <c r="AD190" i="3"/>
  <c r="AD191" i="3" s="1"/>
  <c r="J201" i="5" s="1"/>
  <c r="J195" i="6" s="1"/>
  <c r="AC190" i="3"/>
  <c r="AC191" i="3" s="1"/>
  <c r="I201" i="5" s="1"/>
  <c r="I195" i="6" s="1"/>
  <c r="AB186" i="3"/>
  <c r="AB187" i="3" s="1"/>
  <c r="H190" i="5" s="1"/>
  <c r="Y186" i="3"/>
  <c r="X186" i="3"/>
  <c r="X187" i="3" s="1"/>
  <c r="W186" i="3"/>
  <c r="V186" i="3"/>
  <c r="V187" i="3" s="1"/>
  <c r="B190" i="5" s="1"/>
  <c r="U186" i="3"/>
  <c r="T186" i="3"/>
  <c r="T187" i="3" s="1"/>
  <c r="C190" i="5" s="1"/>
  <c r="AD186" i="3"/>
  <c r="AC186" i="3"/>
  <c r="AC187" i="3" s="1"/>
  <c r="I190" i="5" s="1"/>
  <c r="AB182" i="3"/>
  <c r="AB183" i="3" s="1"/>
  <c r="H180" i="5" s="1"/>
  <c r="H176" i="6" s="1"/>
  <c r="Y182" i="3"/>
  <c r="Y183" i="3" s="1"/>
  <c r="X182" i="3"/>
  <c r="X183" i="3" s="1"/>
  <c r="W182" i="3"/>
  <c r="W183" i="3" s="1"/>
  <c r="E180" i="5" s="1"/>
  <c r="V182" i="3"/>
  <c r="V183" i="3" s="1"/>
  <c r="B180" i="5" s="1"/>
  <c r="B176" i="6" s="1"/>
  <c r="U182" i="3"/>
  <c r="U183" i="3" s="1"/>
  <c r="D180" i="5" s="1"/>
  <c r="T182" i="3"/>
  <c r="T183" i="3" s="1"/>
  <c r="C180" i="5" s="1"/>
  <c r="AD182" i="3"/>
  <c r="AD183" i="3" s="1"/>
  <c r="J180" i="5" s="1"/>
  <c r="AC182" i="3"/>
  <c r="AC183" i="3" s="1"/>
  <c r="I180" i="5" s="1"/>
  <c r="I176" i="6" s="1"/>
  <c r="AB178" i="3"/>
  <c r="AB179" i="3" s="1"/>
  <c r="H159" i="5" s="1"/>
  <c r="Y178" i="3"/>
  <c r="X178" i="3"/>
  <c r="X179" i="3" s="1"/>
  <c r="W178" i="3"/>
  <c r="V178" i="3"/>
  <c r="V179" i="3" s="1"/>
  <c r="B159" i="5" s="1"/>
  <c r="U178" i="3"/>
  <c r="T178" i="3"/>
  <c r="T179" i="3" s="1"/>
  <c r="C159" i="5" s="1"/>
  <c r="AD178" i="3"/>
  <c r="AD179" i="3" s="1"/>
  <c r="J159" i="5" s="1"/>
  <c r="AC178" i="3"/>
  <c r="AB169" i="3"/>
  <c r="AB170" i="3" s="1"/>
  <c r="H125" i="5" s="1"/>
  <c r="H137" i="5" s="1"/>
  <c r="Y169" i="3"/>
  <c r="Y170" i="3" s="1"/>
  <c r="X169" i="3"/>
  <c r="X170" i="3" s="1"/>
  <c r="W169" i="3"/>
  <c r="W170" i="3" s="1"/>
  <c r="E125" i="5" s="1"/>
  <c r="E137" i="5" s="1"/>
  <c r="V169" i="3"/>
  <c r="V170" i="3" s="1"/>
  <c r="B125" i="5" s="1"/>
  <c r="B137" i="5" s="1"/>
  <c r="U169" i="3"/>
  <c r="U170" i="3" s="1"/>
  <c r="D125" i="5" s="1"/>
  <c r="D137" i="5" s="1"/>
  <c r="T169" i="3"/>
  <c r="T170" i="3" s="1"/>
  <c r="C125" i="5" s="1"/>
  <c r="C137" i="5" s="1"/>
  <c r="AD169" i="3"/>
  <c r="AD170" i="3" s="1"/>
  <c r="J125" i="5" s="1"/>
  <c r="J137" i="5" s="1"/>
  <c r="AC169" i="3"/>
  <c r="AC170" i="3" s="1"/>
  <c r="I125" i="5" s="1"/>
  <c r="I137" i="5" s="1"/>
  <c r="AB159" i="3"/>
  <c r="AB160" i="3" s="1"/>
  <c r="H105" i="5" s="1"/>
  <c r="Y159" i="3"/>
  <c r="Y160" i="3" s="1"/>
  <c r="X159" i="3"/>
  <c r="X160" i="3" s="1"/>
  <c r="W159" i="3"/>
  <c r="W160" i="3" s="1"/>
  <c r="E105" i="5" s="1"/>
  <c r="V159" i="3"/>
  <c r="V160" i="3" s="1"/>
  <c r="B105" i="5" s="1"/>
  <c r="U159" i="3"/>
  <c r="U160" i="3" s="1"/>
  <c r="D105" i="5" s="1"/>
  <c r="T159" i="3"/>
  <c r="T160" i="3" s="1"/>
  <c r="C105" i="5" s="1"/>
  <c r="AD159" i="3"/>
  <c r="AD160" i="3" s="1"/>
  <c r="J105" i="5" s="1"/>
  <c r="AC159" i="3"/>
  <c r="AC160" i="3" s="1"/>
  <c r="I105" i="5" s="1"/>
  <c r="AB155" i="3"/>
  <c r="AB156" i="3" s="1"/>
  <c r="H95" i="5" s="1"/>
  <c r="Y155" i="3"/>
  <c r="X155" i="3"/>
  <c r="X156" i="3" s="1"/>
  <c r="W155" i="3"/>
  <c r="V155" i="3"/>
  <c r="V156" i="3" s="1"/>
  <c r="B95" i="5" s="1"/>
  <c r="U155" i="3"/>
  <c r="T155" i="3"/>
  <c r="T156" i="3" s="1"/>
  <c r="C95" i="5" s="1"/>
  <c r="AD155" i="3"/>
  <c r="AC155" i="3"/>
  <c r="AC156" i="3" s="1"/>
  <c r="I95" i="5" s="1"/>
  <c r="AB151" i="3"/>
  <c r="AB152" i="3" s="1"/>
  <c r="H85" i="5" s="1"/>
  <c r="Y151" i="3"/>
  <c r="X151" i="3"/>
  <c r="X152" i="3" s="1"/>
  <c r="W151" i="3"/>
  <c r="V151" i="3"/>
  <c r="V152" i="3" s="1"/>
  <c r="B85" i="5" s="1"/>
  <c r="U151" i="3"/>
  <c r="T151" i="3"/>
  <c r="T152" i="3" s="1"/>
  <c r="C85" i="5" s="1"/>
  <c r="AD151" i="3"/>
  <c r="AC151" i="3"/>
  <c r="AC152" i="3" s="1"/>
  <c r="I85" i="5" s="1"/>
  <c r="AB139" i="3"/>
  <c r="AB140" i="3" s="1"/>
  <c r="H30" i="5" s="1"/>
  <c r="H88" i="6" s="1"/>
  <c r="Y139" i="3"/>
  <c r="X139" i="3"/>
  <c r="X140" i="3" s="1"/>
  <c r="W139" i="3"/>
  <c r="V139" i="3"/>
  <c r="V140" i="3" s="1"/>
  <c r="B30" i="5" s="1"/>
  <c r="B88" i="6" s="1"/>
  <c r="U139" i="3"/>
  <c r="T139" i="3"/>
  <c r="T140" i="3" s="1"/>
  <c r="C30" i="5" s="1"/>
  <c r="C88" i="6" s="1"/>
  <c r="AD139" i="3"/>
  <c r="AC139" i="3"/>
  <c r="AC140" i="3" s="1"/>
  <c r="I30" i="5" s="1"/>
  <c r="I88" i="6" s="1"/>
  <c r="AB135" i="3"/>
  <c r="Y135" i="3"/>
  <c r="X135" i="3"/>
  <c r="W135" i="3"/>
  <c r="AI135" i="3" s="1"/>
  <c r="V135" i="3"/>
  <c r="U135" i="3"/>
  <c r="AG135" i="3" s="1"/>
  <c r="T135" i="3"/>
  <c r="AD135" i="3"/>
  <c r="AP135" i="3" s="1"/>
  <c r="AC135" i="3"/>
  <c r="AB134" i="3"/>
  <c r="Y134" i="3"/>
  <c r="X134" i="3"/>
  <c r="W134" i="3"/>
  <c r="V134" i="3"/>
  <c r="U134" i="3"/>
  <c r="T134" i="3"/>
  <c r="AD134" i="3"/>
  <c r="AC134" i="3"/>
  <c r="AE121" i="3"/>
  <c r="AB121" i="3"/>
  <c r="AB122" i="3" s="1"/>
  <c r="Y121" i="3"/>
  <c r="X121" i="3"/>
  <c r="X122" i="3" s="1"/>
  <c r="W121" i="3"/>
  <c r="V121" i="3"/>
  <c r="V122" i="3" s="1"/>
  <c r="U121" i="3"/>
  <c r="T121" i="3"/>
  <c r="T122" i="3" s="1"/>
  <c r="S121" i="3"/>
  <c r="AD121" i="3" s="1"/>
  <c r="R121" i="3"/>
  <c r="AC121" i="3" s="1"/>
  <c r="AC122" i="3" s="1"/>
  <c r="Y59" i="11"/>
  <c r="M122" i="11" s="1"/>
  <c r="X59" i="11"/>
  <c r="W59" i="11"/>
  <c r="K122" i="11" s="1"/>
  <c r="V59" i="11"/>
  <c r="U59" i="11"/>
  <c r="I122" i="11" s="1"/>
  <c r="T59" i="11"/>
  <c r="S59" i="11"/>
  <c r="G122" i="11" s="1"/>
  <c r="R59" i="11"/>
  <c r="Q59" i="11"/>
  <c r="E122" i="11" s="1"/>
  <c r="X65" i="11"/>
  <c r="L128" i="11" s="1"/>
  <c r="W65" i="11"/>
  <c r="U65" i="11"/>
  <c r="I128" i="11" s="1"/>
  <c r="T65" i="11"/>
  <c r="S65" i="11"/>
  <c r="G128" i="11" s="1"/>
  <c r="R65" i="11"/>
  <c r="Q65" i="11"/>
  <c r="E128" i="11" s="1"/>
  <c r="Y65" i="11"/>
  <c r="M128" i="11" s="1"/>
  <c r="V65" i="11"/>
  <c r="J128" i="11" s="1"/>
  <c r="X64" i="11"/>
  <c r="L127" i="11" s="1"/>
  <c r="W64" i="11"/>
  <c r="U64" i="11"/>
  <c r="T64" i="11"/>
  <c r="S64" i="11"/>
  <c r="R64" i="11"/>
  <c r="Q64" i="11"/>
  <c r="Y64" i="11"/>
  <c r="Y66" i="11" s="1"/>
  <c r="J199" i="5" s="1"/>
  <c r="J193" i="6" s="1"/>
  <c r="V64" i="11"/>
  <c r="J127" i="11" s="1"/>
  <c r="X57" i="11"/>
  <c r="W57" i="11"/>
  <c r="U57" i="11"/>
  <c r="I120" i="11" s="1"/>
  <c r="T57" i="11"/>
  <c r="S57" i="11"/>
  <c r="G120" i="11" s="1"/>
  <c r="R57" i="11"/>
  <c r="Q57" i="11"/>
  <c r="E120" i="11" s="1"/>
  <c r="Y57" i="11"/>
  <c r="M120" i="11" s="1"/>
  <c r="V57" i="11"/>
  <c r="X53" i="11"/>
  <c r="W53" i="11"/>
  <c r="W54" i="11" s="1"/>
  <c r="H178" i="5" s="1"/>
  <c r="U53" i="11"/>
  <c r="U54" i="11" s="1"/>
  <c r="F178" i="5" s="1"/>
  <c r="T53" i="11"/>
  <c r="S53" i="11"/>
  <c r="S54" i="11" s="1"/>
  <c r="D178" i="5" s="1"/>
  <c r="R53" i="11"/>
  <c r="Q53" i="11"/>
  <c r="Q54" i="11" s="1"/>
  <c r="B178" i="5" s="1"/>
  <c r="Y53" i="11"/>
  <c r="Y54" i="11" s="1"/>
  <c r="J178" i="5" s="1"/>
  <c r="V53" i="11"/>
  <c r="Y13" i="9"/>
  <c r="M75" i="9" s="1"/>
  <c r="V13" i="9"/>
  <c r="J75" i="9" s="1"/>
  <c r="Y12" i="9"/>
  <c r="M74" i="9" s="1"/>
  <c r="V12" i="9"/>
  <c r="Y11" i="9"/>
  <c r="M73" i="9" s="1"/>
  <c r="V11" i="9"/>
  <c r="J73" i="9" s="1"/>
  <c r="Y10" i="9"/>
  <c r="V10" i="9"/>
  <c r="Y9" i="9"/>
  <c r="V9" i="9"/>
  <c r="Y8" i="9"/>
  <c r="M70" i="9" s="1"/>
  <c r="V8" i="9"/>
  <c r="J70" i="9" s="1"/>
  <c r="X63" i="9"/>
  <c r="W63" i="9"/>
  <c r="U63" i="9"/>
  <c r="T63" i="9"/>
  <c r="S63" i="9"/>
  <c r="R63" i="9"/>
  <c r="Q63" i="9"/>
  <c r="Y63" i="9"/>
  <c r="V63" i="9"/>
  <c r="J125" i="9" s="1"/>
  <c r="X58" i="9"/>
  <c r="W58" i="9"/>
  <c r="U58" i="9"/>
  <c r="T58" i="9"/>
  <c r="S58" i="9"/>
  <c r="R58" i="9"/>
  <c r="Q58" i="9"/>
  <c r="Y58" i="9"/>
  <c r="V58" i="9"/>
  <c r="J120" i="9" s="1"/>
  <c r="X62" i="9"/>
  <c r="W62" i="9"/>
  <c r="U62" i="9"/>
  <c r="T62" i="9"/>
  <c r="S62" i="9"/>
  <c r="R62" i="9"/>
  <c r="Q62" i="9"/>
  <c r="Y62" i="9"/>
  <c r="V62" i="9"/>
  <c r="J124" i="9" s="1"/>
  <c r="X57" i="9"/>
  <c r="W57" i="9"/>
  <c r="U57" i="9"/>
  <c r="T57" i="9"/>
  <c r="S57" i="9"/>
  <c r="R57" i="9"/>
  <c r="Q57" i="9"/>
  <c r="Y57" i="9"/>
  <c r="V57" i="9"/>
  <c r="J119" i="9" s="1"/>
  <c r="X53" i="9"/>
  <c r="W53" i="9"/>
  <c r="U53" i="9"/>
  <c r="T53" i="9"/>
  <c r="S53" i="9"/>
  <c r="R53" i="9"/>
  <c r="Q53" i="9"/>
  <c r="Y53" i="9"/>
  <c r="V53" i="9"/>
  <c r="J115" i="9" s="1"/>
  <c r="J116" i="9" s="1"/>
  <c r="P83" i="5" s="1"/>
  <c r="Y23" i="11"/>
  <c r="V23" i="11"/>
  <c r="Y22" i="11"/>
  <c r="V22" i="11"/>
  <c r="Y21" i="11"/>
  <c r="V21" i="11"/>
  <c r="Y20" i="11"/>
  <c r="V20" i="11"/>
  <c r="Y19" i="11"/>
  <c r="V19" i="11"/>
  <c r="Y18" i="11"/>
  <c r="V18" i="11"/>
  <c r="Y17" i="11"/>
  <c r="V17" i="11"/>
  <c r="Y16" i="11"/>
  <c r="V16" i="11"/>
  <c r="Y15" i="11"/>
  <c r="V15" i="11"/>
  <c r="Y25" i="9"/>
  <c r="V25" i="9"/>
  <c r="Y24" i="9"/>
  <c r="V24" i="9"/>
  <c r="Y23" i="9"/>
  <c r="M85" i="9" s="1"/>
  <c r="V23" i="9"/>
  <c r="J85" i="9" s="1"/>
  <c r="Y22" i="9"/>
  <c r="M84" i="9" s="1"/>
  <c r="V22" i="9"/>
  <c r="J84" i="9" s="1"/>
  <c r="Y21" i="9"/>
  <c r="M83" i="9" s="1"/>
  <c r="V21" i="9"/>
  <c r="J83" i="9" s="1"/>
  <c r="Y20" i="9"/>
  <c r="M82" i="9" s="1"/>
  <c r="V20" i="9"/>
  <c r="Y19" i="9"/>
  <c r="M81" i="9" s="1"/>
  <c r="V19" i="9"/>
  <c r="J81" i="9" s="1"/>
  <c r="Y18" i="9"/>
  <c r="V18" i="9"/>
  <c r="Y17" i="9"/>
  <c r="V17" i="9"/>
  <c r="V26" i="9" s="1"/>
  <c r="G28" i="5" s="1"/>
  <c r="G86" i="6" s="1"/>
  <c r="M16" i="1"/>
  <c r="Y16" i="1" s="1"/>
  <c r="M15" i="1"/>
  <c r="M14" i="1"/>
  <c r="M13" i="1"/>
  <c r="Y13" i="1" s="1"/>
  <c r="M12" i="1"/>
  <c r="M11" i="1"/>
  <c r="Y11" i="1" s="1"/>
  <c r="M10" i="1"/>
  <c r="Y10" i="1" s="1"/>
  <c r="M9" i="1"/>
  <c r="Y9" i="1" s="1"/>
  <c r="J16" i="1"/>
  <c r="V16" i="1" s="1"/>
  <c r="J15" i="1"/>
  <c r="J14" i="1"/>
  <c r="V14" i="1" s="1"/>
  <c r="J13" i="1"/>
  <c r="V13" i="1" s="1"/>
  <c r="J12" i="1"/>
  <c r="J11" i="1"/>
  <c r="V11" i="1" s="1"/>
  <c r="J10" i="1"/>
  <c r="V10" i="1" s="1"/>
  <c r="J9" i="1"/>
  <c r="V9" i="1" s="1"/>
  <c r="M8" i="1"/>
  <c r="Y8" i="1" s="1"/>
  <c r="J8" i="1"/>
  <c r="V8" i="1" s="1"/>
  <c r="X15" i="1"/>
  <c r="W15" i="1"/>
  <c r="V15" i="1"/>
  <c r="U15" i="1"/>
  <c r="T15" i="1"/>
  <c r="S15" i="1"/>
  <c r="R15" i="1"/>
  <c r="Q15" i="1"/>
  <c r="Y15" i="1"/>
  <c r="X12" i="1"/>
  <c r="W12" i="1"/>
  <c r="V12" i="1"/>
  <c r="U12" i="1"/>
  <c r="T12" i="1"/>
  <c r="S12" i="1"/>
  <c r="R12" i="1"/>
  <c r="Q12" i="1"/>
  <c r="Y12" i="1"/>
  <c r="X14" i="1"/>
  <c r="W14" i="1"/>
  <c r="U14" i="1"/>
  <c r="T14" i="1"/>
  <c r="S14" i="1"/>
  <c r="R14" i="1"/>
  <c r="Q14" i="1"/>
  <c r="Y14" i="1"/>
  <c r="E83" i="22" l="1"/>
  <c r="G87" i="9"/>
  <c r="F107" i="9"/>
  <c r="H70" i="16"/>
  <c r="H73" i="16" s="1"/>
  <c r="M71" i="9"/>
  <c r="M76" i="9" s="1"/>
  <c r="S17" i="5" s="1"/>
  <c r="F71" i="9"/>
  <c r="G72" i="9"/>
  <c r="F82" i="9"/>
  <c r="L87" i="9"/>
  <c r="K107" i="9"/>
  <c r="I95" i="11"/>
  <c r="M55" i="16"/>
  <c r="J56" i="16"/>
  <c r="L56" i="16"/>
  <c r="M70" i="16"/>
  <c r="J71" i="16"/>
  <c r="L71" i="16"/>
  <c r="M85" i="16"/>
  <c r="J86" i="16"/>
  <c r="L86" i="16"/>
  <c r="M68" i="17"/>
  <c r="I89" i="17"/>
  <c r="G69" i="18"/>
  <c r="F70" i="18"/>
  <c r="F73" i="18" s="1"/>
  <c r="R41" i="18"/>
  <c r="AO61" i="3"/>
  <c r="J121" i="9"/>
  <c r="P93" i="5" s="1"/>
  <c r="J72" i="9"/>
  <c r="J116" i="11"/>
  <c r="J117" i="11" s="1"/>
  <c r="P178" i="5" s="1"/>
  <c r="L116" i="11"/>
  <c r="L117" i="11" s="1"/>
  <c r="R178" i="5" s="1"/>
  <c r="G71" i="9"/>
  <c r="G76" i="9" s="1"/>
  <c r="M17" i="5" s="1"/>
  <c r="H72" i="9"/>
  <c r="I73" i="9"/>
  <c r="G82" i="9"/>
  <c r="H83" i="9"/>
  <c r="L86" i="9"/>
  <c r="L107" i="9"/>
  <c r="J95" i="11"/>
  <c r="J57" i="16"/>
  <c r="L57" i="16"/>
  <c r="E70" i="16"/>
  <c r="J72" i="16"/>
  <c r="L72" i="16"/>
  <c r="H78" i="16"/>
  <c r="E85" i="16"/>
  <c r="E87" i="16" s="1"/>
  <c r="M86" i="16"/>
  <c r="J90" i="16"/>
  <c r="L90" i="16"/>
  <c r="I92" i="16"/>
  <c r="V44" i="17"/>
  <c r="X44" i="17"/>
  <c r="H100" i="17"/>
  <c r="J106" i="17"/>
  <c r="K89" i="17"/>
  <c r="M57" i="18"/>
  <c r="H69" i="18"/>
  <c r="G70" i="18"/>
  <c r="Y34" i="18"/>
  <c r="Y35" i="18" s="1"/>
  <c r="J62" i="23" s="1"/>
  <c r="J66" i="23" s="1"/>
  <c r="I92" i="18"/>
  <c r="G93" i="19"/>
  <c r="M77" i="19"/>
  <c r="F103" i="19"/>
  <c r="G61" i="20"/>
  <c r="J72" i="20"/>
  <c r="J86" i="20"/>
  <c r="M59" i="21"/>
  <c r="U41" i="21"/>
  <c r="I60" i="22"/>
  <c r="M68" i="22"/>
  <c r="I71" i="22"/>
  <c r="M79" i="22"/>
  <c r="L83" i="22"/>
  <c r="L89" i="22" s="1"/>
  <c r="F86" i="22"/>
  <c r="E87" i="22"/>
  <c r="F68" i="22"/>
  <c r="J87" i="9"/>
  <c r="K70" i="18"/>
  <c r="M79" i="9"/>
  <c r="M87" i="9"/>
  <c r="L71" i="9"/>
  <c r="I70" i="16"/>
  <c r="H86" i="16"/>
  <c r="F89" i="17"/>
  <c r="L70" i="18"/>
  <c r="E96" i="18"/>
  <c r="E92" i="19"/>
  <c r="M93" i="19"/>
  <c r="U54" i="19"/>
  <c r="I77" i="19"/>
  <c r="J103" i="19"/>
  <c r="L103" i="19"/>
  <c r="G59" i="20"/>
  <c r="M61" i="20"/>
  <c r="M57" i="21"/>
  <c r="I59" i="21"/>
  <c r="F60" i="22"/>
  <c r="J63" i="22"/>
  <c r="L63" i="22"/>
  <c r="I68" i="22"/>
  <c r="I79" i="22"/>
  <c r="H83" i="22"/>
  <c r="H89" i="22" s="1"/>
  <c r="J86" i="22"/>
  <c r="L86" i="22"/>
  <c r="K69" i="18"/>
  <c r="K73" i="18" s="1"/>
  <c r="J102" i="19"/>
  <c r="K71" i="9"/>
  <c r="H55" i="16"/>
  <c r="H85" i="16"/>
  <c r="L69" i="18"/>
  <c r="L73" i="18" s="1"/>
  <c r="N42" i="6"/>
  <c r="N42" i="55"/>
  <c r="L82" i="9"/>
  <c r="H87" i="9"/>
  <c r="F95" i="11"/>
  <c r="I55" i="16"/>
  <c r="M78" i="16"/>
  <c r="M80" i="16" s="1"/>
  <c r="I85" i="16"/>
  <c r="I87" i="16" s="1"/>
  <c r="E92" i="16"/>
  <c r="J67" i="17"/>
  <c r="M100" i="17"/>
  <c r="J70" i="18"/>
  <c r="G95" i="18"/>
  <c r="F96" i="18"/>
  <c r="J71" i="19"/>
  <c r="E93" i="19"/>
  <c r="M103" i="19"/>
  <c r="E61" i="20"/>
  <c r="J71" i="20"/>
  <c r="M92" i="20"/>
  <c r="K59" i="21"/>
  <c r="S41" i="21"/>
  <c r="G60" i="22"/>
  <c r="M63" i="22"/>
  <c r="K68" i="22"/>
  <c r="G71" i="22"/>
  <c r="E76" i="22"/>
  <c r="M77" i="22"/>
  <c r="I83" i="22"/>
  <c r="J82" i="9"/>
  <c r="J86" i="9"/>
  <c r="M72" i="9"/>
  <c r="W66" i="11"/>
  <c r="H199" i="5" s="1"/>
  <c r="H193" i="6" s="1"/>
  <c r="C176" i="6"/>
  <c r="H71" i="9"/>
  <c r="I72" i="9"/>
  <c r="K73" i="9"/>
  <c r="E79" i="9"/>
  <c r="F80" i="9"/>
  <c r="H82" i="9"/>
  <c r="I83" i="9"/>
  <c r="E87" i="9"/>
  <c r="M107" i="9"/>
  <c r="K95" i="11"/>
  <c r="F55" i="16"/>
  <c r="E56" i="16"/>
  <c r="M57" i="16"/>
  <c r="K59" i="16"/>
  <c r="H61" i="16"/>
  <c r="F70" i="16"/>
  <c r="E71" i="16"/>
  <c r="M72" i="16"/>
  <c r="I78" i="16"/>
  <c r="F85" i="16"/>
  <c r="E86" i="16"/>
  <c r="M90" i="16"/>
  <c r="M95" i="16" s="1"/>
  <c r="K92" i="16"/>
  <c r="J79" i="16"/>
  <c r="E79" i="16"/>
  <c r="I100" i="17"/>
  <c r="F68" i="17"/>
  <c r="J89" i="17"/>
  <c r="L89" i="17"/>
  <c r="E57" i="18"/>
  <c r="M58" i="18"/>
  <c r="J64" i="18"/>
  <c r="L64" i="18"/>
  <c r="I69" i="18"/>
  <c r="H70" i="18"/>
  <c r="E77" i="18"/>
  <c r="M78" i="18"/>
  <c r="K80" i="18"/>
  <c r="K81" i="18" s="1"/>
  <c r="K82" i="18" s="1"/>
  <c r="Q62" i="23" s="1"/>
  <c r="Q66" i="23" s="1"/>
  <c r="T41" i="18"/>
  <c r="K92" i="18"/>
  <c r="I93" i="18"/>
  <c r="H95" i="18"/>
  <c r="G96" i="18"/>
  <c r="L84" i="19"/>
  <c r="L88" i="19" s="1"/>
  <c r="H87" i="19"/>
  <c r="G92" i="19"/>
  <c r="J77" i="19"/>
  <c r="L77" i="19"/>
  <c r="E103" i="19"/>
  <c r="F55" i="20"/>
  <c r="K58" i="20"/>
  <c r="I59" i="20"/>
  <c r="F61" i="20"/>
  <c r="G78" i="20"/>
  <c r="G81" i="20" s="1"/>
  <c r="G82" i="20" s="1"/>
  <c r="M73" i="23" s="1"/>
  <c r="M78" i="23" s="1"/>
  <c r="X41" i="20"/>
  <c r="K95" i="20"/>
  <c r="J59" i="21"/>
  <c r="L59" i="21"/>
  <c r="F64" i="21"/>
  <c r="J70" i="21"/>
  <c r="L70" i="21"/>
  <c r="J79" i="21"/>
  <c r="J90" i="21"/>
  <c r="J94" i="21"/>
  <c r="H60" i="22"/>
  <c r="G61" i="22"/>
  <c r="E63" i="22"/>
  <c r="M64" i="22"/>
  <c r="L68" i="22"/>
  <c r="L72" i="22" s="1"/>
  <c r="E77" i="22"/>
  <c r="J79" i="22"/>
  <c r="K83" i="22"/>
  <c r="M86" i="22"/>
  <c r="M89" i="22" s="1"/>
  <c r="J87" i="22"/>
  <c r="L87" i="22"/>
  <c r="AF74" i="3"/>
  <c r="L29" i="23" s="1"/>
  <c r="AK61" i="3"/>
  <c r="J80" i="9"/>
  <c r="V24" i="11"/>
  <c r="G123" i="5" s="1"/>
  <c r="G135" i="5" s="1"/>
  <c r="E72" i="9"/>
  <c r="F73" i="9"/>
  <c r="I79" i="9"/>
  <c r="K80" i="9"/>
  <c r="E83" i="9"/>
  <c r="H86" i="9"/>
  <c r="I87" i="9"/>
  <c r="H107" i="9"/>
  <c r="G95" i="11"/>
  <c r="K55" i="16"/>
  <c r="I56" i="16"/>
  <c r="H57" i="16"/>
  <c r="F59" i="16"/>
  <c r="M61" i="16"/>
  <c r="K70" i="16"/>
  <c r="K73" i="16" s="1"/>
  <c r="I71" i="16"/>
  <c r="H72" i="16"/>
  <c r="E78" i="16"/>
  <c r="K85" i="16"/>
  <c r="I86" i="16"/>
  <c r="F92" i="16"/>
  <c r="J90" i="17"/>
  <c r="E100" i="17"/>
  <c r="K68" i="17"/>
  <c r="G89" i="17"/>
  <c r="J56" i="18"/>
  <c r="I57" i="18"/>
  <c r="H58" i="18"/>
  <c r="G64" i="18"/>
  <c r="E69" i="18"/>
  <c r="E73" i="18" s="1"/>
  <c r="M70" i="18"/>
  <c r="I77" i="18"/>
  <c r="H78" i="18"/>
  <c r="H81" i="18" s="1"/>
  <c r="H82" i="18" s="1"/>
  <c r="N62" i="23" s="1"/>
  <c r="N66" i="23" s="1"/>
  <c r="F80" i="18"/>
  <c r="J86" i="18"/>
  <c r="F92" i="18"/>
  <c r="E93" i="18"/>
  <c r="J96" i="18"/>
  <c r="L96" i="18"/>
  <c r="L97" i="18" s="1"/>
  <c r="G84" i="19"/>
  <c r="M87" i="19"/>
  <c r="X45" i="19"/>
  <c r="S54" i="19"/>
  <c r="G77" i="19"/>
  <c r="I103" i="19"/>
  <c r="K55" i="20"/>
  <c r="F58" i="20"/>
  <c r="E59" i="20"/>
  <c r="K61" i="20"/>
  <c r="J78" i="20"/>
  <c r="L78" i="20"/>
  <c r="F95" i="20"/>
  <c r="G59" i="21"/>
  <c r="G70" i="21"/>
  <c r="J77" i="21"/>
  <c r="J80" i="21" s="1"/>
  <c r="J81" i="21" s="1"/>
  <c r="K84" i="21"/>
  <c r="J85" i="21"/>
  <c r="J92" i="21"/>
  <c r="J95" i="21" s="1"/>
  <c r="E59" i="22"/>
  <c r="M60" i="22"/>
  <c r="J61" i="22"/>
  <c r="L61" i="22"/>
  <c r="I63" i="22"/>
  <c r="H64" i="22"/>
  <c r="G68" i="22"/>
  <c r="G72" i="22" s="1"/>
  <c r="I77" i="22"/>
  <c r="G79" i="22"/>
  <c r="F83" i="22"/>
  <c r="H86" i="22"/>
  <c r="G87" i="22"/>
  <c r="G89" i="22" s="1"/>
  <c r="AF13" i="3"/>
  <c r="L179" i="23" s="1"/>
  <c r="L182" i="6" s="1"/>
  <c r="M80" i="9"/>
  <c r="Y24" i="11"/>
  <c r="J123" i="5" s="1"/>
  <c r="J135" i="5" s="1"/>
  <c r="J71" i="9"/>
  <c r="E71" i="9"/>
  <c r="F72" i="9"/>
  <c r="G73" i="9"/>
  <c r="K79" i="9"/>
  <c r="L80" i="9"/>
  <c r="E82" i="9"/>
  <c r="F83" i="9"/>
  <c r="K87" i="9"/>
  <c r="H95" i="11"/>
  <c r="L55" i="16"/>
  <c r="I57" i="16"/>
  <c r="E61" i="16"/>
  <c r="J70" i="16"/>
  <c r="J73" i="16" s="1"/>
  <c r="L70" i="16"/>
  <c r="I72" i="16"/>
  <c r="F78" i="16"/>
  <c r="E83" i="16"/>
  <c r="J85" i="16"/>
  <c r="L85" i="16"/>
  <c r="K86" i="16"/>
  <c r="I90" i="16"/>
  <c r="G92" i="16"/>
  <c r="U44" i="17"/>
  <c r="F100" i="17"/>
  <c r="J105" i="17"/>
  <c r="H89" i="17"/>
  <c r="K57" i="18"/>
  <c r="I58" i="18"/>
  <c r="J62" i="18"/>
  <c r="H64" i="18"/>
  <c r="F69" i="18"/>
  <c r="E70" i="18"/>
  <c r="K77" i="18"/>
  <c r="I78" i="18"/>
  <c r="G80" i="18"/>
  <c r="G92" i="18"/>
  <c r="F93" i="18"/>
  <c r="E95" i="18"/>
  <c r="M96" i="18"/>
  <c r="J70" i="19"/>
  <c r="I80" i="19"/>
  <c r="G85" i="19"/>
  <c r="E87" i="19"/>
  <c r="E88" i="19" s="1"/>
  <c r="J93" i="19"/>
  <c r="K103" i="19"/>
  <c r="L55" i="20"/>
  <c r="G58" i="20"/>
  <c r="J61" i="20"/>
  <c r="L61" i="20"/>
  <c r="J70" i="20"/>
  <c r="J79" i="20"/>
  <c r="L79" i="20"/>
  <c r="T41" i="20"/>
  <c r="F54" i="21"/>
  <c r="M56" i="21"/>
  <c r="H59" i="21"/>
  <c r="Q41" i="21"/>
  <c r="E60" i="22"/>
  <c r="M61" i="22"/>
  <c r="I64" i="22"/>
  <c r="H68" i="22"/>
  <c r="E71" i="22"/>
  <c r="G83" i="22"/>
  <c r="I86" i="22"/>
  <c r="I89" i="22" s="1"/>
  <c r="H87" i="22"/>
  <c r="L6" i="54"/>
  <c r="L87" i="55" s="1"/>
  <c r="L40" i="23"/>
  <c r="L94" i="6" s="1"/>
  <c r="M6" i="54"/>
  <c r="M87" i="55" s="1"/>
  <c r="M40" i="23"/>
  <c r="Q6" i="54"/>
  <c r="Q87" i="55" s="1"/>
  <c r="Q40" i="23"/>
  <c r="Q94" i="6" s="1"/>
  <c r="K6" i="54"/>
  <c r="K87" i="55" s="1"/>
  <c r="K40" i="23"/>
  <c r="S6" i="54"/>
  <c r="S87" i="55" s="1"/>
  <c r="S40" i="23"/>
  <c r="N6" i="54"/>
  <c r="N87" i="55" s="1"/>
  <c r="N40" i="23"/>
  <c r="N94" i="6" s="1"/>
  <c r="R6" i="54"/>
  <c r="R87" i="55" s="1"/>
  <c r="R40" i="23"/>
  <c r="R94" i="6" s="1"/>
  <c r="H42" i="6"/>
  <c r="H42" i="55"/>
  <c r="B42" i="6"/>
  <c r="B42" i="55"/>
  <c r="M42" i="6"/>
  <c r="M42" i="55"/>
  <c r="E42" i="6"/>
  <c r="E42" i="55"/>
  <c r="D42" i="6"/>
  <c r="D42" i="55"/>
  <c r="Q42" i="6"/>
  <c r="Q42" i="55"/>
  <c r="K42" i="6"/>
  <c r="K42" i="55"/>
  <c r="C42" i="6"/>
  <c r="C42" i="55"/>
  <c r="Y44" i="17"/>
  <c r="R44" i="17"/>
  <c r="T44" i="17"/>
  <c r="W44" i="17"/>
  <c r="V34" i="18"/>
  <c r="V35" i="18" s="1"/>
  <c r="G62" i="23" s="1"/>
  <c r="W37" i="19"/>
  <c r="T45" i="19"/>
  <c r="W54" i="19"/>
  <c r="V34" i="20"/>
  <c r="V35" i="20" s="1"/>
  <c r="E81" i="20"/>
  <c r="E82" i="20" s="1"/>
  <c r="K73" i="23" s="1"/>
  <c r="K78" i="23" s="1"/>
  <c r="I81" i="20"/>
  <c r="I82" i="20" s="1"/>
  <c r="O73" i="23" s="1"/>
  <c r="L81" i="20"/>
  <c r="L82" i="20" s="1"/>
  <c r="R73" i="23" s="1"/>
  <c r="R78" i="23" s="1"/>
  <c r="C134" i="6"/>
  <c r="I7" i="5"/>
  <c r="I7" i="53"/>
  <c r="C7" i="5"/>
  <c r="C7" i="53"/>
  <c r="B7" i="5"/>
  <c r="B7" i="53"/>
  <c r="H7" i="5"/>
  <c r="H7" i="53"/>
  <c r="H88" i="55"/>
  <c r="B88" i="55"/>
  <c r="C88" i="55"/>
  <c r="I88" i="55"/>
  <c r="E88" i="55"/>
  <c r="D88" i="55"/>
  <c r="J88" i="55"/>
  <c r="L43" i="54"/>
  <c r="L139" i="55" s="1"/>
  <c r="N43" i="54"/>
  <c r="N139" i="55" s="1"/>
  <c r="N179" i="23"/>
  <c r="M43" i="54"/>
  <c r="M139" i="55" s="1"/>
  <c r="M179" i="23"/>
  <c r="M182" i="6" s="1"/>
  <c r="H43" i="54"/>
  <c r="H139" i="55" s="1"/>
  <c r="H179" i="23"/>
  <c r="H182" i="6" s="1"/>
  <c r="B43" i="54"/>
  <c r="B139" i="55" s="1"/>
  <c r="B179" i="23"/>
  <c r="C43" i="54"/>
  <c r="C139" i="55" s="1"/>
  <c r="C179" i="23"/>
  <c r="I43" i="54"/>
  <c r="I139" i="55" s="1"/>
  <c r="I179" i="23"/>
  <c r="E43" i="54"/>
  <c r="E139" i="55" s="1"/>
  <c r="E179" i="23"/>
  <c r="E182" i="6" s="1"/>
  <c r="D43" i="54"/>
  <c r="D139" i="55" s="1"/>
  <c r="D179" i="23"/>
  <c r="J43" i="54"/>
  <c r="J139" i="55" s="1"/>
  <c r="J179" i="23"/>
  <c r="J182" i="6" s="1"/>
  <c r="G56" i="22"/>
  <c r="I56" i="22"/>
  <c r="L56" i="22"/>
  <c r="B134" i="6"/>
  <c r="N14" i="6"/>
  <c r="E162" i="6"/>
  <c r="D162" i="6"/>
  <c r="J162" i="6"/>
  <c r="H121" i="6"/>
  <c r="B121" i="6"/>
  <c r="C121" i="6"/>
  <c r="I121" i="6"/>
  <c r="B182" i="6"/>
  <c r="C182" i="6"/>
  <c r="I182" i="6"/>
  <c r="H162" i="6"/>
  <c r="B162" i="6"/>
  <c r="C162" i="6"/>
  <c r="I162" i="6"/>
  <c r="E121" i="6"/>
  <c r="D121" i="6"/>
  <c r="J121" i="6"/>
  <c r="D182" i="6"/>
  <c r="E95" i="6"/>
  <c r="D95" i="6"/>
  <c r="J95" i="6"/>
  <c r="H95" i="6"/>
  <c r="B95" i="6"/>
  <c r="C95" i="6"/>
  <c r="I95" i="6"/>
  <c r="H196" i="6"/>
  <c r="N175" i="6"/>
  <c r="H175" i="6"/>
  <c r="D175" i="6"/>
  <c r="K175" i="6"/>
  <c r="E175" i="6"/>
  <c r="L141" i="6"/>
  <c r="N141" i="6"/>
  <c r="R141" i="6"/>
  <c r="Q141" i="6"/>
  <c r="K141" i="6"/>
  <c r="S141" i="6"/>
  <c r="S94" i="6"/>
  <c r="M141" i="6"/>
  <c r="M94" i="6"/>
  <c r="H134" i="6"/>
  <c r="E134" i="6"/>
  <c r="D134" i="6"/>
  <c r="L175" i="6"/>
  <c r="B175" i="6"/>
  <c r="Q175" i="6"/>
  <c r="M175" i="6"/>
  <c r="C175" i="6"/>
  <c r="Y19" i="20"/>
  <c r="Y34" i="20"/>
  <c r="Y35" i="20" s="1"/>
  <c r="G73" i="23"/>
  <c r="E90" i="16"/>
  <c r="Q49" i="16"/>
  <c r="K6" i="23"/>
  <c r="K28" i="23"/>
  <c r="K17" i="23"/>
  <c r="Q17" i="1"/>
  <c r="S17" i="1"/>
  <c r="U17" i="1"/>
  <c r="X17" i="1"/>
  <c r="V17" i="1"/>
  <c r="R17" i="1"/>
  <c r="T17" i="1"/>
  <c r="W17" i="1"/>
  <c r="AC136" i="3"/>
  <c r="I19" i="5" s="1"/>
  <c r="T136" i="3"/>
  <c r="C19" i="5" s="1"/>
  <c r="V136" i="3"/>
  <c r="B19" i="5" s="1"/>
  <c r="AB136" i="3"/>
  <c r="H19" i="5" s="1"/>
  <c r="AF41" i="3"/>
  <c r="L18" i="23" s="1"/>
  <c r="AF34" i="3"/>
  <c r="L53" i="23" s="1"/>
  <c r="N63" i="5"/>
  <c r="N74" i="5" s="1"/>
  <c r="N114" i="5"/>
  <c r="N104" i="5"/>
  <c r="N94" i="5"/>
  <c r="N84" i="5"/>
  <c r="N18" i="5"/>
  <c r="L63" i="5"/>
  <c r="L74" i="5" s="1"/>
  <c r="L114" i="5"/>
  <c r="L104" i="5"/>
  <c r="L94" i="5"/>
  <c r="L84" i="5"/>
  <c r="L18" i="5"/>
  <c r="Q63" i="5"/>
  <c r="Q74" i="5" s="1"/>
  <c r="Q114" i="5"/>
  <c r="Q104" i="5"/>
  <c r="Q94" i="5"/>
  <c r="Q84" i="5"/>
  <c r="Q18" i="5"/>
  <c r="M63" i="5"/>
  <c r="M74" i="5" s="1"/>
  <c r="M114" i="5"/>
  <c r="M104" i="5"/>
  <c r="M94" i="5"/>
  <c r="M84" i="5"/>
  <c r="M18" i="5"/>
  <c r="K63" i="5"/>
  <c r="K74" i="5" s="1"/>
  <c r="K114" i="5"/>
  <c r="K104" i="5"/>
  <c r="K94" i="5"/>
  <c r="K84" i="5"/>
  <c r="K18" i="5"/>
  <c r="Q63" i="6"/>
  <c r="M63" i="6"/>
  <c r="K63" i="6"/>
  <c r="Q56" i="6"/>
  <c r="M56" i="6"/>
  <c r="K56" i="6"/>
  <c r="Q49" i="6"/>
  <c r="M49" i="6"/>
  <c r="K49" i="6"/>
  <c r="Q20" i="6"/>
  <c r="M20" i="6"/>
  <c r="K20" i="6"/>
  <c r="S63" i="6"/>
  <c r="S56" i="6"/>
  <c r="S49" i="6"/>
  <c r="S20" i="6"/>
  <c r="N63" i="6"/>
  <c r="L63" i="6"/>
  <c r="N56" i="6"/>
  <c r="L56" i="6"/>
  <c r="N49" i="6"/>
  <c r="L49" i="6"/>
  <c r="N20" i="6"/>
  <c r="L20" i="6"/>
  <c r="R63" i="6"/>
  <c r="R56" i="6"/>
  <c r="R49" i="6"/>
  <c r="R20" i="6"/>
  <c r="H63" i="6"/>
  <c r="B63" i="6"/>
  <c r="C63" i="6"/>
  <c r="H56" i="6"/>
  <c r="B56" i="6"/>
  <c r="C56" i="6"/>
  <c r="H49" i="6"/>
  <c r="B49" i="6"/>
  <c r="C49" i="6"/>
  <c r="H20" i="6"/>
  <c r="B20" i="6"/>
  <c r="C20" i="6"/>
  <c r="J63" i="6"/>
  <c r="J56" i="6"/>
  <c r="J49" i="6"/>
  <c r="J20" i="6"/>
  <c r="E63" i="6"/>
  <c r="D63" i="6"/>
  <c r="E56" i="6"/>
  <c r="D56" i="6"/>
  <c r="E49" i="6"/>
  <c r="D49" i="6"/>
  <c r="E20" i="6"/>
  <c r="D20" i="6"/>
  <c r="I63" i="6"/>
  <c r="I56" i="6"/>
  <c r="I49" i="6"/>
  <c r="I20" i="6"/>
  <c r="E56" i="22"/>
  <c r="G79" i="16"/>
  <c r="G80" i="16" s="1"/>
  <c r="I79" i="16"/>
  <c r="I80" i="16" s="1"/>
  <c r="L79" i="16"/>
  <c r="M54" i="16"/>
  <c r="F54" i="16"/>
  <c r="H54" i="16"/>
  <c r="M56" i="16"/>
  <c r="F56" i="16"/>
  <c r="H56" i="16"/>
  <c r="K56" i="16"/>
  <c r="M58" i="16"/>
  <c r="F58" i="16"/>
  <c r="H58" i="16"/>
  <c r="K58" i="16"/>
  <c r="J59" i="16"/>
  <c r="E59" i="16"/>
  <c r="G59" i="16"/>
  <c r="G65" i="16" s="1"/>
  <c r="G66" i="16" s="1"/>
  <c r="I59" i="16"/>
  <c r="I65" i="16" s="1"/>
  <c r="I66" i="16" s="1"/>
  <c r="L59" i="16"/>
  <c r="L65" i="16" s="1"/>
  <c r="L66" i="16" s="1"/>
  <c r="H69" i="16"/>
  <c r="K69" i="16"/>
  <c r="M71" i="16"/>
  <c r="F71" i="16"/>
  <c r="H71" i="16"/>
  <c r="K71" i="16"/>
  <c r="W34" i="16"/>
  <c r="H12" i="6" s="1"/>
  <c r="G87" i="16"/>
  <c r="X41" i="16"/>
  <c r="F79" i="16"/>
  <c r="H79" i="16"/>
  <c r="K79" i="16"/>
  <c r="R45" i="19"/>
  <c r="E65" i="16"/>
  <c r="E66" i="16" s="1"/>
  <c r="H65" i="16"/>
  <c r="H66" i="16" s="1"/>
  <c r="W19" i="16"/>
  <c r="W20" i="16" s="1"/>
  <c r="Q24" i="11"/>
  <c r="B123" i="5" s="1"/>
  <c r="B135" i="5" s="1"/>
  <c r="S24" i="11"/>
  <c r="D123" i="5" s="1"/>
  <c r="D135" i="5" s="1"/>
  <c r="U24" i="11"/>
  <c r="F123" i="5" s="1"/>
  <c r="F135" i="5" s="1"/>
  <c r="Q66" i="11"/>
  <c r="B199" i="5" s="1"/>
  <c r="B193" i="6" s="1"/>
  <c r="B196" i="6" s="1"/>
  <c r="S66" i="11"/>
  <c r="D199" i="5" s="1"/>
  <c r="D193" i="6" s="1"/>
  <c r="D196" i="6" s="1"/>
  <c r="U66" i="11"/>
  <c r="F199" i="5" s="1"/>
  <c r="F193" i="6" s="1"/>
  <c r="V37" i="19"/>
  <c r="S44" i="17"/>
  <c r="F65" i="16"/>
  <c r="F66" i="16" s="1"/>
  <c r="R27" i="16"/>
  <c r="J77" i="17"/>
  <c r="E77" i="17"/>
  <c r="G77" i="17"/>
  <c r="I77" i="17"/>
  <c r="L77" i="17"/>
  <c r="M77" i="17"/>
  <c r="F77" i="17"/>
  <c r="H77" i="17"/>
  <c r="K77" i="17"/>
  <c r="R49" i="16"/>
  <c r="T49" i="16"/>
  <c r="X19" i="16"/>
  <c r="X20" i="16" s="1"/>
  <c r="Q19" i="16"/>
  <c r="Q20" i="16" s="1"/>
  <c r="S19" i="16"/>
  <c r="S20" i="16" s="1"/>
  <c r="U19" i="16"/>
  <c r="U20" i="16" s="1"/>
  <c r="Y19" i="16"/>
  <c r="Y20" i="16" s="1"/>
  <c r="R19" i="16"/>
  <c r="R20" i="16" s="1"/>
  <c r="T19" i="16"/>
  <c r="T20" i="16" s="1"/>
  <c r="V19" i="16"/>
  <c r="V20" i="16" s="1"/>
  <c r="X136" i="3"/>
  <c r="AJ74" i="3"/>
  <c r="AJ61" i="3"/>
  <c r="AJ41" i="3"/>
  <c r="AJ34" i="3"/>
  <c r="AJ13" i="3"/>
  <c r="Y17" i="1"/>
  <c r="X24" i="11"/>
  <c r="I123" i="5" s="1"/>
  <c r="I135" i="5" s="1"/>
  <c r="R34" i="20"/>
  <c r="R35" i="20" s="1"/>
  <c r="T34" i="20"/>
  <c r="T35" i="20" s="1"/>
  <c r="V19" i="20"/>
  <c r="G88" i="19"/>
  <c r="I88" i="19"/>
  <c r="Y37" i="19"/>
  <c r="R37" i="19"/>
  <c r="T37" i="19"/>
  <c r="X37" i="19"/>
  <c r="Q37" i="19"/>
  <c r="S37" i="19"/>
  <c r="U37" i="19"/>
  <c r="E81" i="18"/>
  <c r="E82" i="18" s="1"/>
  <c r="K62" i="23" s="1"/>
  <c r="K66" i="23" s="1"/>
  <c r="G81" i="18"/>
  <c r="G82" i="18" s="1"/>
  <c r="M62" i="23" s="1"/>
  <c r="M66" i="23" s="1"/>
  <c r="I81" i="18"/>
  <c r="I82" i="18" s="1"/>
  <c r="O62" i="23" s="1"/>
  <c r="L81" i="18"/>
  <c r="L82" i="18" s="1"/>
  <c r="R62" i="23" s="1"/>
  <c r="R66" i="23" s="1"/>
  <c r="F81" i="18"/>
  <c r="F82" i="18" s="1"/>
  <c r="L62" i="23" s="1"/>
  <c r="L66" i="23" s="1"/>
  <c r="R34" i="18"/>
  <c r="R35" i="18" s="1"/>
  <c r="C62" i="23" s="1"/>
  <c r="C66" i="23" s="1"/>
  <c r="C68" i="23" s="1"/>
  <c r="T34" i="18"/>
  <c r="T35" i="18" s="1"/>
  <c r="E62" i="23" s="1"/>
  <c r="E66" i="23" s="1"/>
  <c r="E68" i="23" s="1"/>
  <c r="X34" i="18"/>
  <c r="X35" i="18" s="1"/>
  <c r="I62" i="23" s="1"/>
  <c r="I66" i="23" s="1"/>
  <c r="Q34" i="18"/>
  <c r="Q35" i="18" s="1"/>
  <c r="B62" i="23" s="1"/>
  <c r="B66" i="23" s="1"/>
  <c r="B68" i="23" s="1"/>
  <c r="S34" i="18"/>
  <c r="S35" i="18" s="1"/>
  <c r="D62" i="23" s="1"/>
  <c r="D66" i="23" s="1"/>
  <c r="D68" i="23" s="1"/>
  <c r="U34" i="18"/>
  <c r="U35" i="18" s="1"/>
  <c r="F62" i="23" s="1"/>
  <c r="W34" i="18"/>
  <c r="W35" i="18" s="1"/>
  <c r="H62" i="23" s="1"/>
  <c r="H66" i="23" s="1"/>
  <c r="X51" i="17"/>
  <c r="Q19" i="18"/>
  <c r="S19" i="18"/>
  <c r="U19" i="18"/>
  <c r="W19" i="18"/>
  <c r="Y19" i="18"/>
  <c r="R19" i="18"/>
  <c r="T19" i="18"/>
  <c r="V19" i="18"/>
  <c r="X19" i="18"/>
  <c r="L93" i="16"/>
  <c r="L80" i="16"/>
  <c r="J80" i="16"/>
  <c r="E80" i="16"/>
  <c r="Q34" i="16"/>
  <c r="S34" i="16"/>
  <c r="U34" i="16"/>
  <c r="Y34" i="16"/>
  <c r="R34" i="16"/>
  <c r="T34" i="16"/>
  <c r="V34" i="16"/>
  <c r="X34" i="16"/>
  <c r="AP134" i="3"/>
  <c r="AP136" i="3" s="1"/>
  <c r="S19" i="5" s="1"/>
  <c r="AD136" i="3"/>
  <c r="J19" i="5" s="1"/>
  <c r="AG134" i="3"/>
  <c r="AG136" i="3" s="1"/>
  <c r="M19" i="5" s="1"/>
  <c r="U136" i="3"/>
  <c r="D19" i="5" s="1"/>
  <c r="AI134" i="3"/>
  <c r="AI136" i="3" s="1"/>
  <c r="N19" i="5" s="1"/>
  <c r="W136" i="3"/>
  <c r="E19" i="5" s="1"/>
  <c r="AK134" i="3"/>
  <c r="Y136" i="3"/>
  <c r="AK34" i="3"/>
  <c r="AJ118" i="3"/>
  <c r="AF118" i="3"/>
  <c r="L167" i="23" s="1"/>
  <c r="AN61" i="3"/>
  <c r="AH61" i="3"/>
  <c r="AN34" i="3"/>
  <c r="Q53" i="23" s="1"/>
  <c r="AH34" i="3"/>
  <c r="K53" i="23" s="1"/>
  <c r="AO34" i="3"/>
  <c r="R53" i="23" s="1"/>
  <c r="AK118" i="3"/>
  <c r="AI118" i="3"/>
  <c r="N167" i="23" s="1"/>
  <c r="AG118" i="3"/>
  <c r="M167" i="23" s="1"/>
  <c r="AP118" i="3"/>
  <c r="S167" i="23" s="1"/>
  <c r="AK74" i="3"/>
  <c r="AI74" i="3"/>
  <c r="N29" i="23" s="1"/>
  <c r="AG74" i="3"/>
  <c r="M29" i="23" s="1"/>
  <c r="AP74" i="3"/>
  <c r="S29" i="23" s="1"/>
  <c r="AK41" i="3"/>
  <c r="AI41" i="3"/>
  <c r="AG41" i="3"/>
  <c r="AP41" i="3"/>
  <c r="S18" i="23" s="1"/>
  <c r="AP61" i="3"/>
  <c r="AI34" i="3"/>
  <c r="N53" i="23" s="1"/>
  <c r="AG34" i="3"/>
  <c r="M53" i="23" s="1"/>
  <c r="AP34" i="3"/>
  <c r="S53" i="23" s="1"/>
  <c r="AP13" i="3"/>
  <c r="H64" i="6"/>
  <c r="B64" i="6"/>
  <c r="C64" i="6"/>
  <c r="I64" i="6"/>
  <c r="E57" i="6"/>
  <c r="D57" i="6"/>
  <c r="J57" i="6"/>
  <c r="E50" i="6"/>
  <c r="D50" i="6"/>
  <c r="J50" i="6"/>
  <c r="H21" i="6"/>
  <c r="B21" i="6"/>
  <c r="C21" i="6"/>
  <c r="I21" i="6"/>
  <c r="H14" i="6"/>
  <c r="B14" i="6"/>
  <c r="C14" i="6"/>
  <c r="I14" i="6"/>
  <c r="E64" i="6"/>
  <c r="D64" i="6"/>
  <c r="J64" i="6"/>
  <c r="H57" i="6"/>
  <c r="B57" i="6"/>
  <c r="C57" i="6"/>
  <c r="I57" i="6"/>
  <c r="H50" i="6"/>
  <c r="B50" i="6"/>
  <c r="C50" i="6"/>
  <c r="I50" i="6"/>
  <c r="E21" i="6"/>
  <c r="D21" i="6"/>
  <c r="J21" i="6"/>
  <c r="E14" i="6"/>
  <c r="D14" i="6"/>
  <c r="J14" i="6"/>
  <c r="AN118" i="3"/>
  <c r="Q167" i="23" s="1"/>
  <c r="AH118" i="3"/>
  <c r="K167" i="23" s="1"/>
  <c r="AO118" i="3"/>
  <c r="R167" i="23" s="1"/>
  <c r="AN74" i="3"/>
  <c r="Q29" i="23" s="1"/>
  <c r="AH74" i="3"/>
  <c r="K29" i="23" s="1"/>
  <c r="AO74" i="3"/>
  <c r="R29" i="23" s="1"/>
  <c r="AF61" i="3"/>
  <c r="AN41" i="3"/>
  <c r="Q18" i="23" s="1"/>
  <c r="AH41" i="3"/>
  <c r="K18" i="23" s="1"/>
  <c r="AO41" i="3"/>
  <c r="AN13" i="3"/>
  <c r="AH13" i="3"/>
  <c r="AO13" i="3"/>
  <c r="K57" i="6"/>
  <c r="K14" i="6"/>
  <c r="L14" i="6"/>
  <c r="L21" i="6"/>
  <c r="L50" i="6"/>
  <c r="L57" i="6"/>
  <c r="M64" i="6"/>
  <c r="N64" i="6"/>
  <c r="R64" i="6"/>
  <c r="AG178" i="3"/>
  <c r="AG179" i="3" s="1"/>
  <c r="M159" i="5" s="1"/>
  <c r="AI178" i="3"/>
  <c r="AI179" i="3" s="1"/>
  <c r="N159" i="5" s="1"/>
  <c r="AK178" i="3"/>
  <c r="AK179" i="3" s="1"/>
  <c r="T175" i="3"/>
  <c r="C148" i="5" s="1"/>
  <c r="V175" i="3"/>
  <c r="B148" i="5" s="1"/>
  <c r="X175" i="3"/>
  <c r="AB175" i="3"/>
  <c r="H148" i="5" s="1"/>
  <c r="AC166" i="3"/>
  <c r="T166" i="3"/>
  <c r="V166" i="3"/>
  <c r="X166" i="3"/>
  <c r="AB166" i="3"/>
  <c r="AP121" i="3"/>
  <c r="AP122" i="3" s="1"/>
  <c r="AD122" i="3"/>
  <c r="AG121" i="3"/>
  <c r="AG122" i="3" s="1"/>
  <c r="U122" i="3"/>
  <c r="AI121" i="3"/>
  <c r="AI122" i="3" s="1"/>
  <c r="W122" i="3"/>
  <c r="AK121" i="3"/>
  <c r="AK122" i="3" s="1"/>
  <c r="Y122" i="3"/>
  <c r="AP151" i="3"/>
  <c r="AD152" i="3"/>
  <c r="J85" i="5" s="1"/>
  <c r="AG151" i="3"/>
  <c r="AG152" i="3" s="1"/>
  <c r="M85" i="5" s="1"/>
  <c r="U152" i="3"/>
  <c r="D85" i="5" s="1"/>
  <c r="AI151" i="3"/>
  <c r="AI152" i="3" s="1"/>
  <c r="N85" i="5" s="1"/>
  <c r="W152" i="3"/>
  <c r="E85" i="5" s="1"/>
  <c r="AK151" i="3"/>
  <c r="AK152" i="3" s="1"/>
  <c r="Y152" i="3"/>
  <c r="AP186" i="3"/>
  <c r="AP187" i="3" s="1"/>
  <c r="S190" i="5" s="1"/>
  <c r="AD187" i="3"/>
  <c r="J190" i="5" s="1"/>
  <c r="J176" i="6" s="1"/>
  <c r="AG186" i="3"/>
  <c r="AG187" i="3" s="1"/>
  <c r="M190" i="5" s="1"/>
  <c r="U187" i="3"/>
  <c r="D190" i="5" s="1"/>
  <c r="D176" i="6" s="1"/>
  <c r="AI186" i="3"/>
  <c r="AI187" i="3" s="1"/>
  <c r="N190" i="5" s="1"/>
  <c r="W187" i="3"/>
  <c r="E190" i="5" s="1"/>
  <c r="E176" i="6" s="1"/>
  <c r="AK186" i="3"/>
  <c r="AK187" i="3" s="1"/>
  <c r="Y187" i="3"/>
  <c r="AP163" i="3"/>
  <c r="AP166" i="3" s="1"/>
  <c r="AD166" i="3"/>
  <c r="AG163" i="3"/>
  <c r="U166" i="3"/>
  <c r="AI163" i="3"/>
  <c r="W166" i="3"/>
  <c r="AK163" i="3"/>
  <c r="Y166" i="3"/>
  <c r="U175" i="3"/>
  <c r="D148" i="5" s="1"/>
  <c r="W175" i="3"/>
  <c r="E148" i="5" s="1"/>
  <c r="Y175" i="3"/>
  <c r="AP139" i="3"/>
  <c r="AP140" i="3" s="1"/>
  <c r="S30" i="5" s="1"/>
  <c r="S88" i="6" s="1"/>
  <c r="AD140" i="3"/>
  <c r="J30" i="5" s="1"/>
  <c r="J88" i="6" s="1"/>
  <c r="AG139" i="3"/>
  <c r="AG140" i="3" s="1"/>
  <c r="M30" i="5" s="1"/>
  <c r="M88" i="6" s="1"/>
  <c r="U140" i="3"/>
  <c r="D30" i="5" s="1"/>
  <c r="D88" i="6" s="1"/>
  <c r="AI139" i="3"/>
  <c r="AI140" i="3" s="1"/>
  <c r="N30" i="5" s="1"/>
  <c r="N88" i="6" s="1"/>
  <c r="W140" i="3"/>
  <c r="E30" i="5" s="1"/>
  <c r="E88" i="6" s="1"/>
  <c r="AK139" i="3"/>
  <c r="AK140" i="3" s="1"/>
  <c r="Y140" i="3"/>
  <c r="AP155" i="3"/>
  <c r="AP156" i="3" s="1"/>
  <c r="S95" i="5" s="1"/>
  <c r="AD156" i="3"/>
  <c r="J95" i="5" s="1"/>
  <c r="AG155" i="3"/>
  <c r="AG156" i="3" s="1"/>
  <c r="M95" i="5" s="1"/>
  <c r="U156" i="3"/>
  <c r="D95" i="5" s="1"/>
  <c r="AI155" i="3"/>
  <c r="AI156" i="3" s="1"/>
  <c r="N95" i="5" s="1"/>
  <c r="W156" i="3"/>
  <c r="E95" i="5" s="1"/>
  <c r="AK155" i="3"/>
  <c r="AK156" i="3" s="1"/>
  <c r="Y156" i="3"/>
  <c r="G59" i="22"/>
  <c r="I59" i="22"/>
  <c r="L59" i="22"/>
  <c r="G76" i="22"/>
  <c r="I76" i="22"/>
  <c r="L76" i="22"/>
  <c r="E89" i="22"/>
  <c r="F89" i="22"/>
  <c r="K89" i="22"/>
  <c r="J78" i="22"/>
  <c r="E78" i="22"/>
  <c r="G78" i="22"/>
  <c r="I78" i="22"/>
  <c r="L78" i="22"/>
  <c r="E69" i="22"/>
  <c r="E72" i="22" s="1"/>
  <c r="G69" i="22"/>
  <c r="I69" i="22"/>
  <c r="I72" i="22" s="1"/>
  <c r="K69" i="22"/>
  <c r="M71" i="22"/>
  <c r="E65" i="22"/>
  <c r="G65" i="22"/>
  <c r="I65" i="22"/>
  <c r="L79" i="22"/>
  <c r="F52" i="22"/>
  <c r="H52" i="22"/>
  <c r="K52" i="22"/>
  <c r="F53" i="22"/>
  <c r="H53" i="22"/>
  <c r="K53" i="22"/>
  <c r="F54" i="22"/>
  <c r="H54" i="22"/>
  <c r="K54" i="22"/>
  <c r="F55" i="22"/>
  <c r="H55" i="22"/>
  <c r="K55" i="22"/>
  <c r="F59" i="22"/>
  <c r="H59" i="22"/>
  <c r="K59" i="22"/>
  <c r="F61" i="22"/>
  <c r="H61" i="22"/>
  <c r="K61" i="22"/>
  <c r="F62" i="22"/>
  <c r="H62" i="22"/>
  <c r="K62" i="22"/>
  <c r="F63" i="22"/>
  <c r="H63" i="22"/>
  <c r="K63" i="22"/>
  <c r="F70" i="22"/>
  <c r="H70" i="22"/>
  <c r="K70" i="22"/>
  <c r="F71" i="22"/>
  <c r="H71" i="22"/>
  <c r="K71" i="22"/>
  <c r="F76" i="22"/>
  <c r="H76" i="22"/>
  <c r="K76" i="22"/>
  <c r="F77" i="22"/>
  <c r="H77" i="22"/>
  <c r="K77" i="22"/>
  <c r="F78" i="22"/>
  <c r="H78" i="22"/>
  <c r="K78" i="22"/>
  <c r="F79" i="22"/>
  <c r="H79" i="22"/>
  <c r="K79" i="22"/>
  <c r="M51" i="22"/>
  <c r="M56" i="22" s="1"/>
  <c r="Y13" i="22"/>
  <c r="M59" i="22"/>
  <c r="Y22" i="22"/>
  <c r="M76" i="22"/>
  <c r="M80" i="22" s="1"/>
  <c r="Y37" i="22"/>
  <c r="J51" i="22"/>
  <c r="J56" i="22" s="1"/>
  <c r="V13" i="22"/>
  <c r="J59" i="22"/>
  <c r="V22" i="22"/>
  <c r="J68" i="22"/>
  <c r="J72" i="22" s="1"/>
  <c r="V29" i="22"/>
  <c r="J76" i="22"/>
  <c r="J80" i="22" s="1"/>
  <c r="V37" i="22"/>
  <c r="J83" i="22"/>
  <c r="J89" i="22" s="1"/>
  <c r="V46" i="22"/>
  <c r="R13" i="22"/>
  <c r="T13" i="22"/>
  <c r="X13" i="22"/>
  <c r="R22" i="22"/>
  <c r="T22" i="22"/>
  <c r="X22" i="22"/>
  <c r="Q29" i="22"/>
  <c r="S29" i="22"/>
  <c r="U29" i="22"/>
  <c r="W29" i="22"/>
  <c r="Y29" i="22"/>
  <c r="R37" i="22"/>
  <c r="T37" i="22"/>
  <c r="X37" i="22"/>
  <c r="Q46" i="22"/>
  <c r="S46" i="22"/>
  <c r="U46" i="22"/>
  <c r="W46" i="22"/>
  <c r="Y46" i="22"/>
  <c r="Q13" i="22"/>
  <c r="S13" i="22"/>
  <c r="U13" i="22"/>
  <c r="W13" i="22"/>
  <c r="Q22" i="22"/>
  <c r="S22" i="22"/>
  <c r="U22" i="22"/>
  <c r="W22" i="22"/>
  <c r="R29" i="22"/>
  <c r="T29" i="22"/>
  <c r="X29" i="22"/>
  <c r="Q37" i="22"/>
  <c r="Q47" i="22" s="1"/>
  <c r="S37" i="22"/>
  <c r="S47" i="22" s="1"/>
  <c r="U37" i="22"/>
  <c r="U47" i="22" s="1"/>
  <c r="W37" i="22"/>
  <c r="W47" i="22" s="1"/>
  <c r="R46" i="22"/>
  <c r="T46" i="22"/>
  <c r="X46" i="22"/>
  <c r="E55" i="21"/>
  <c r="I55" i="21"/>
  <c r="J57" i="21"/>
  <c r="E57" i="21"/>
  <c r="G57" i="21"/>
  <c r="I57" i="21"/>
  <c r="L57" i="21"/>
  <c r="J60" i="21"/>
  <c r="E60" i="21"/>
  <c r="G60" i="21"/>
  <c r="I60" i="21"/>
  <c r="L60" i="21"/>
  <c r="J64" i="21"/>
  <c r="L64" i="21"/>
  <c r="J69" i="21"/>
  <c r="L69" i="21"/>
  <c r="L72" i="21" s="1"/>
  <c r="J71" i="21"/>
  <c r="E71" i="21"/>
  <c r="G71" i="21"/>
  <c r="I71" i="21"/>
  <c r="L71" i="21"/>
  <c r="M91" i="21"/>
  <c r="E91" i="21"/>
  <c r="H76" i="21"/>
  <c r="H79" i="21"/>
  <c r="H90" i="21"/>
  <c r="H91" i="21"/>
  <c r="H94" i="21"/>
  <c r="L90" i="21"/>
  <c r="G91" i="21"/>
  <c r="I91" i="21"/>
  <c r="L93" i="21"/>
  <c r="F76" i="21"/>
  <c r="M79" i="21"/>
  <c r="E79" i="21"/>
  <c r="G79" i="21"/>
  <c r="I79" i="21"/>
  <c r="L79" i="21"/>
  <c r="M85" i="21"/>
  <c r="E85" i="21"/>
  <c r="I85" i="21"/>
  <c r="F90" i="21"/>
  <c r="F91" i="21"/>
  <c r="F92" i="21"/>
  <c r="H92" i="21"/>
  <c r="F93" i="21"/>
  <c r="H93" i="21"/>
  <c r="M94" i="21"/>
  <c r="E94" i="21"/>
  <c r="G94" i="21"/>
  <c r="I94" i="21"/>
  <c r="L94" i="21"/>
  <c r="L76" i="21"/>
  <c r="F79" i="21"/>
  <c r="L91" i="21"/>
  <c r="L92" i="21"/>
  <c r="F94" i="21"/>
  <c r="F58" i="21"/>
  <c r="H58" i="21"/>
  <c r="K58" i="21"/>
  <c r="F77" i="21"/>
  <c r="H77" i="21"/>
  <c r="K77" i="21"/>
  <c r="F78" i="21"/>
  <c r="H78" i="21"/>
  <c r="K78" i="21"/>
  <c r="M78" i="21"/>
  <c r="K92" i="21"/>
  <c r="K93" i="21"/>
  <c r="M93" i="21"/>
  <c r="T49" i="21"/>
  <c r="J55" i="21"/>
  <c r="G55" i="21"/>
  <c r="L55" i="21"/>
  <c r="F57" i="21"/>
  <c r="H57" i="21"/>
  <c r="K57" i="21"/>
  <c r="M58" i="21"/>
  <c r="E58" i="21"/>
  <c r="G58" i="21"/>
  <c r="I58" i="21"/>
  <c r="L58" i="21"/>
  <c r="M60" i="21"/>
  <c r="F60" i="21"/>
  <c r="H60" i="21"/>
  <c r="K60" i="21"/>
  <c r="E64" i="21"/>
  <c r="G64" i="21"/>
  <c r="I64" i="21"/>
  <c r="K64" i="21"/>
  <c r="E69" i="21"/>
  <c r="G69" i="21"/>
  <c r="I69" i="21"/>
  <c r="M71" i="21"/>
  <c r="F71" i="21"/>
  <c r="F72" i="21" s="1"/>
  <c r="H71" i="21"/>
  <c r="K71" i="21"/>
  <c r="M77" i="21"/>
  <c r="E77" i="21"/>
  <c r="G77" i="21"/>
  <c r="I77" i="21"/>
  <c r="L77" i="21"/>
  <c r="E78" i="21"/>
  <c r="G78" i="21"/>
  <c r="I78" i="21"/>
  <c r="L78" i="21"/>
  <c r="K79" i="21"/>
  <c r="K91" i="21"/>
  <c r="M92" i="21"/>
  <c r="E92" i="21"/>
  <c r="G92" i="21"/>
  <c r="I92" i="21"/>
  <c r="E93" i="21"/>
  <c r="G93" i="21"/>
  <c r="I93" i="21"/>
  <c r="K94" i="21"/>
  <c r="R49" i="21"/>
  <c r="X49" i="21"/>
  <c r="T34" i="21"/>
  <c r="T35" i="21" s="1"/>
  <c r="R34" i="21"/>
  <c r="R35" i="21" s="1"/>
  <c r="X34" i="21"/>
  <c r="X35" i="21" s="1"/>
  <c r="T26" i="21"/>
  <c r="R26" i="21"/>
  <c r="X26" i="21"/>
  <c r="H70" i="21"/>
  <c r="J56" i="21"/>
  <c r="E56" i="21"/>
  <c r="G56" i="21"/>
  <c r="I56" i="21"/>
  <c r="L56" i="21"/>
  <c r="L65" i="21" s="1"/>
  <c r="Q19" i="21"/>
  <c r="U19" i="21"/>
  <c r="Y19" i="21"/>
  <c r="M54" i="21"/>
  <c r="M90" i="21"/>
  <c r="Y49" i="21"/>
  <c r="J84" i="21"/>
  <c r="J87" i="21" s="1"/>
  <c r="V41" i="21"/>
  <c r="K65" i="21"/>
  <c r="K68" i="21"/>
  <c r="K72" i="21" s="1"/>
  <c r="W26" i="21"/>
  <c r="M68" i="21"/>
  <c r="M72" i="21" s="1"/>
  <c r="Y26" i="21"/>
  <c r="K76" i="21"/>
  <c r="W34" i="21"/>
  <c r="W35" i="21" s="1"/>
  <c r="M76" i="21"/>
  <c r="M80" i="21" s="1"/>
  <c r="M81" i="21" s="1"/>
  <c r="Y34" i="21"/>
  <c r="Y35" i="21" s="1"/>
  <c r="F84" i="21"/>
  <c r="R41" i="21"/>
  <c r="H84" i="21"/>
  <c r="T41" i="21"/>
  <c r="L84" i="21"/>
  <c r="X41" i="21"/>
  <c r="X50" i="21" s="1"/>
  <c r="K86" i="21"/>
  <c r="I86" i="21"/>
  <c r="G86" i="21"/>
  <c r="E86" i="21"/>
  <c r="E90" i="21"/>
  <c r="E95" i="21" s="1"/>
  <c r="Q49" i="21"/>
  <c r="Q50" i="21" s="1"/>
  <c r="G90" i="21"/>
  <c r="S49" i="21"/>
  <c r="S50" i="21" s="1"/>
  <c r="I90" i="21"/>
  <c r="U49" i="21"/>
  <c r="U50" i="21" s="1"/>
  <c r="J54" i="21"/>
  <c r="V19" i="21"/>
  <c r="E68" i="21"/>
  <c r="E72" i="21" s="1"/>
  <c r="Q26" i="21"/>
  <c r="G68" i="21"/>
  <c r="S26" i="21"/>
  <c r="I68" i="21"/>
  <c r="U26" i="21"/>
  <c r="E76" i="21"/>
  <c r="Q34" i="21"/>
  <c r="Q35" i="21" s="1"/>
  <c r="G76" i="21"/>
  <c r="G80" i="21" s="1"/>
  <c r="G81" i="21" s="1"/>
  <c r="S34" i="21"/>
  <c r="S35" i="21" s="1"/>
  <c r="I76" i="21"/>
  <c r="U34" i="21"/>
  <c r="U35" i="21" s="1"/>
  <c r="K90" i="21"/>
  <c r="W49" i="21"/>
  <c r="W50" i="21" s="1"/>
  <c r="S19" i="21"/>
  <c r="W19" i="21"/>
  <c r="H62" i="55" s="1"/>
  <c r="V26" i="21"/>
  <c r="V34" i="21"/>
  <c r="V35" i="21" s="1"/>
  <c r="F86" i="21"/>
  <c r="H86" i="21"/>
  <c r="L86" i="21"/>
  <c r="Y41" i="21"/>
  <c r="Y50" i="21" s="1"/>
  <c r="V49" i="21"/>
  <c r="E54" i="21"/>
  <c r="I54" i="21"/>
  <c r="I65" i="21" s="1"/>
  <c r="E84" i="21"/>
  <c r="I84" i="21"/>
  <c r="M84" i="21"/>
  <c r="F65" i="21"/>
  <c r="H65" i="21"/>
  <c r="F85" i="21"/>
  <c r="H85" i="21"/>
  <c r="L85" i="21"/>
  <c r="M86" i="21"/>
  <c r="G84" i="21"/>
  <c r="G85" i="21"/>
  <c r="R19" i="21"/>
  <c r="C62" i="55" s="1"/>
  <c r="T19" i="21"/>
  <c r="X19" i="21"/>
  <c r="M60" i="20"/>
  <c r="E60" i="20"/>
  <c r="E69" i="20"/>
  <c r="M70" i="20"/>
  <c r="M71" i="20"/>
  <c r="M72" i="20"/>
  <c r="F77" i="20"/>
  <c r="H77" i="20"/>
  <c r="K77" i="20"/>
  <c r="M79" i="20"/>
  <c r="F79" i="20"/>
  <c r="H79" i="20"/>
  <c r="K79" i="20"/>
  <c r="E85" i="20"/>
  <c r="G85" i="20"/>
  <c r="M86" i="20"/>
  <c r="E86" i="20"/>
  <c r="M87" i="20"/>
  <c r="J92" i="20"/>
  <c r="E92" i="20"/>
  <c r="G92" i="20"/>
  <c r="J94" i="20"/>
  <c r="E94" i="20"/>
  <c r="M96" i="20"/>
  <c r="R19" i="20"/>
  <c r="T19" i="20"/>
  <c r="X19" i="20"/>
  <c r="Q34" i="20"/>
  <c r="Q35" i="20" s="1"/>
  <c r="S34" i="20"/>
  <c r="S35" i="20" s="1"/>
  <c r="U34" i="20"/>
  <c r="U35" i="20" s="1"/>
  <c r="W34" i="20"/>
  <c r="W35" i="20" s="1"/>
  <c r="Q19" i="20"/>
  <c r="S19" i="20"/>
  <c r="U19" i="20"/>
  <c r="W19" i="20"/>
  <c r="X34" i="20"/>
  <c r="X35" i="20" s="1"/>
  <c r="Q50" i="20"/>
  <c r="S50" i="20"/>
  <c r="U50" i="20"/>
  <c r="M57" i="20"/>
  <c r="F57" i="20"/>
  <c r="H57" i="20"/>
  <c r="K57" i="20"/>
  <c r="J64" i="20"/>
  <c r="E64" i="20"/>
  <c r="G64" i="20"/>
  <c r="I64" i="20"/>
  <c r="L64" i="20"/>
  <c r="M78" i="20"/>
  <c r="F78" i="20"/>
  <c r="H78" i="20"/>
  <c r="K78" i="20"/>
  <c r="W50" i="20"/>
  <c r="M93" i="20"/>
  <c r="J95" i="20"/>
  <c r="E95" i="20"/>
  <c r="G95" i="20"/>
  <c r="I95" i="20"/>
  <c r="L95" i="20"/>
  <c r="M56" i="20"/>
  <c r="M62" i="20"/>
  <c r="E70" i="20"/>
  <c r="E56" i="20"/>
  <c r="G56" i="20"/>
  <c r="I56" i="20"/>
  <c r="L56" i="20"/>
  <c r="F60" i="20"/>
  <c r="H60" i="20"/>
  <c r="K60" i="20"/>
  <c r="E62" i="20"/>
  <c r="G62" i="20"/>
  <c r="I62" i="20"/>
  <c r="L62" i="20"/>
  <c r="F69" i="20"/>
  <c r="H69" i="20"/>
  <c r="K69" i="20"/>
  <c r="F70" i="20"/>
  <c r="H70" i="20"/>
  <c r="K70" i="20"/>
  <c r="F71" i="20"/>
  <c r="H71" i="20"/>
  <c r="K71" i="20"/>
  <c r="F72" i="20"/>
  <c r="H72" i="20"/>
  <c r="K72" i="20"/>
  <c r="I85" i="20"/>
  <c r="G86" i="20"/>
  <c r="E87" i="20"/>
  <c r="F91" i="20"/>
  <c r="H91" i="20"/>
  <c r="F92" i="20"/>
  <c r="H92" i="20"/>
  <c r="K92" i="20"/>
  <c r="F93" i="20"/>
  <c r="H93" i="20"/>
  <c r="K93" i="20"/>
  <c r="F94" i="20"/>
  <c r="H94" i="20"/>
  <c r="K94" i="20"/>
  <c r="F96" i="20"/>
  <c r="H96" i="20"/>
  <c r="K96" i="20"/>
  <c r="F56" i="20"/>
  <c r="H56" i="20"/>
  <c r="K56" i="20"/>
  <c r="G60" i="20"/>
  <c r="I60" i="20"/>
  <c r="L60" i="20"/>
  <c r="F62" i="20"/>
  <c r="H62" i="20"/>
  <c r="K62" i="20"/>
  <c r="G69" i="20"/>
  <c r="I69" i="20"/>
  <c r="L69" i="20"/>
  <c r="G70" i="20"/>
  <c r="I70" i="20"/>
  <c r="L70" i="20"/>
  <c r="E71" i="20"/>
  <c r="G71" i="20"/>
  <c r="I71" i="20"/>
  <c r="L71" i="20"/>
  <c r="E72" i="20"/>
  <c r="G72" i="20"/>
  <c r="I72" i="20"/>
  <c r="L72" i="20"/>
  <c r="K85" i="20"/>
  <c r="L91" i="20"/>
  <c r="I92" i="20"/>
  <c r="L92" i="20"/>
  <c r="G93" i="20"/>
  <c r="I93" i="20"/>
  <c r="L93" i="20"/>
  <c r="G94" i="20"/>
  <c r="I94" i="20"/>
  <c r="L94" i="20"/>
  <c r="E96" i="20"/>
  <c r="G96" i="20"/>
  <c r="I96" i="20"/>
  <c r="L96" i="20"/>
  <c r="I86" i="20"/>
  <c r="L86" i="20"/>
  <c r="G87" i="20"/>
  <c r="I87" i="20"/>
  <c r="L87" i="20"/>
  <c r="F86" i="20"/>
  <c r="H86" i="20"/>
  <c r="K86" i="20"/>
  <c r="F87" i="20"/>
  <c r="H87" i="20"/>
  <c r="K87" i="20"/>
  <c r="M59" i="20"/>
  <c r="F59" i="20"/>
  <c r="H59" i="20"/>
  <c r="K59" i="20"/>
  <c r="M55" i="20"/>
  <c r="J69" i="20"/>
  <c r="V26" i="20"/>
  <c r="J77" i="20"/>
  <c r="J81" i="20" s="1"/>
  <c r="J82" i="20" s="1"/>
  <c r="P73" i="23" s="1"/>
  <c r="V41" i="20"/>
  <c r="J85" i="20"/>
  <c r="J88" i="20" s="1"/>
  <c r="J91" i="20"/>
  <c r="V50" i="20"/>
  <c r="J55" i="20"/>
  <c r="M69" i="20"/>
  <c r="Y26" i="20"/>
  <c r="M77" i="20"/>
  <c r="M85" i="20"/>
  <c r="Y41" i="20"/>
  <c r="Y50" i="20"/>
  <c r="M91" i="20"/>
  <c r="R26" i="20"/>
  <c r="T26" i="20"/>
  <c r="X26" i="20"/>
  <c r="Q41" i="20"/>
  <c r="Q51" i="20" s="1"/>
  <c r="B142" i="23" s="1"/>
  <c r="B147" i="23" s="1"/>
  <c r="B149" i="23" s="1"/>
  <c r="S41" i="20"/>
  <c r="U41" i="20"/>
  <c r="U51" i="20" s="1"/>
  <c r="F142" i="23" s="1"/>
  <c r="W41" i="20"/>
  <c r="W51" i="20" s="1"/>
  <c r="H142" i="23" s="1"/>
  <c r="H147" i="23" s="1"/>
  <c r="R50" i="20"/>
  <c r="R51" i="20" s="1"/>
  <c r="C142" i="23" s="1"/>
  <c r="C147" i="23" s="1"/>
  <c r="C149" i="23" s="1"/>
  <c r="T50" i="20"/>
  <c r="X50" i="20"/>
  <c r="X51" i="20" s="1"/>
  <c r="I142" i="23" s="1"/>
  <c r="I147" i="23" s="1"/>
  <c r="F85" i="20"/>
  <c r="H85" i="20"/>
  <c r="L85" i="20"/>
  <c r="E91" i="20"/>
  <c r="G91" i="20"/>
  <c r="I91" i="20"/>
  <c r="K91" i="20"/>
  <c r="Q26" i="20"/>
  <c r="S26" i="20"/>
  <c r="U26" i="20"/>
  <c r="W26" i="20"/>
  <c r="L93" i="19"/>
  <c r="I94" i="19"/>
  <c r="E95" i="19"/>
  <c r="G95" i="19"/>
  <c r="M100" i="19"/>
  <c r="L59" i="19"/>
  <c r="G60" i="19"/>
  <c r="I60" i="19"/>
  <c r="L60" i="19"/>
  <c r="E61" i="19"/>
  <c r="G61" i="19"/>
  <c r="I61" i="19"/>
  <c r="L61" i="19"/>
  <c r="M62" i="19"/>
  <c r="E62" i="19"/>
  <c r="G62" i="19"/>
  <c r="I62" i="19"/>
  <c r="L62" i="19"/>
  <c r="M63" i="19"/>
  <c r="E63" i="19"/>
  <c r="G63" i="19"/>
  <c r="I63" i="19"/>
  <c r="L63" i="19"/>
  <c r="M64" i="19"/>
  <c r="E64" i="19"/>
  <c r="G64" i="19"/>
  <c r="I64" i="19"/>
  <c r="L64" i="19"/>
  <c r="E100" i="19"/>
  <c r="G100" i="19"/>
  <c r="I100" i="19"/>
  <c r="M101" i="19"/>
  <c r="E101" i="19"/>
  <c r="G101" i="19"/>
  <c r="M102" i="19"/>
  <c r="E102" i="19"/>
  <c r="M104" i="19"/>
  <c r="F59" i="19"/>
  <c r="H59" i="19"/>
  <c r="K59" i="19"/>
  <c r="F60" i="19"/>
  <c r="H60" i="19"/>
  <c r="K60" i="19"/>
  <c r="F61" i="19"/>
  <c r="H61" i="19"/>
  <c r="K61" i="19"/>
  <c r="F62" i="19"/>
  <c r="H62" i="19"/>
  <c r="K62" i="19"/>
  <c r="F63" i="19"/>
  <c r="H63" i="19"/>
  <c r="K63" i="19"/>
  <c r="F64" i="19"/>
  <c r="H64" i="19"/>
  <c r="K64" i="19"/>
  <c r="E68" i="19"/>
  <c r="G68" i="19"/>
  <c r="I68" i="19"/>
  <c r="L68" i="19"/>
  <c r="M69" i="19"/>
  <c r="E69" i="19"/>
  <c r="G69" i="19"/>
  <c r="I69" i="19"/>
  <c r="L69" i="19"/>
  <c r="M70" i="19"/>
  <c r="E70" i="19"/>
  <c r="G70" i="19"/>
  <c r="I70" i="19"/>
  <c r="L70" i="19"/>
  <c r="M71" i="19"/>
  <c r="E71" i="19"/>
  <c r="G71" i="19"/>
  <c r="I71" i="19"/>
  <c r="L71" i="19"/>
  <c r="E76" i="19"/>
  <c r="G76" i="19"/>
  <c r="I76" i="19"/>
  <c r="L76" i="19"/>
  <c r="M78" i="19"/>
  <c r="E78" i="19"/>
  <c r="G78" i="19"/>
  <c r="I78" i="19"/>
  <c r="L78" i="19"/>
  <c r="F80" i="19"/>
  <c r="H80" i="19"/>
  <c r="K80" i="19"/>
  <c r="F84" i="19"/>
  <c r="H84" i="19"/>
  <c r="K84" i="19"/>
  <c r="F85" i="19"/>
  <c r="H85" i="19"/>
  <c r="K85" i="19"/>
  <c r="F86" i="19"/>
  <c r="H86" i="19"/>
  <c r="K86" i="19"/>
  <c r="K92" i="19"/>
  <c r="F93" i="19"/>
  <c r="H93" i="19"/>
  <c r="K93" i="19"/>
  <c r="F94" i="19"/>
  <c r="H94" i="19"/>
  <c r="K94" i="19"/>
  <c r="F95" i="19"/>
  <c r="H95" i="19"/>
  <c r="K95" i="19"/>
  <c r="F99" i="19"/>
  <c r="H99" i="19"/>
  <c r="F100" i="19"/>
  <c r="H100" i="19"/>
  <c r="K100" i="19"/>
  <c r="F101" i="19"/>
  <c r="H101" i="19"/>
  <c r="K101" i="19"/>
  <c r="F102" i="19"/>
  <c r="H102" i="19"/>
  <c r="K102" i="19"/>
  <c r="F104" i="19"/>
  <c r="H104" i="19"/>
  <c r="K104" i="19"/>
  <c r="F68" i="19"/>
  <c r="H68" i="19"/>
  <c r="K68" i="19"/>
  <c r="F69" i="19"/>
  <c r="H69" i="19"/>
  <c r="K69" i="19"/>
  <c r="F70" i="19"/>
  <c r="H70" i="19"/>
  <c r="K70" i="19"/>
  <c r="F71" i="19"/>
  <c r="H71" i="19"/>
  <c r="K71" i="19"/>
  <c r="F76" i="19"/>
  <c r="H76" i="19"/>
  <c r="K76" i="19"/>
  <c r="F78" i="19"/>
  <c r="H78" i="19"/>
  <c r="K78" i="19"/>
  <c r="L94" i="19"/>
  <c r="I95" i="19"/>
  <c r="L95" i="19"/>
  <c r="L99" i="19"/>
  <c r="L100" i="19"/>
  <c r="I101" i="19"/>
  <c r="L101" i="19"/>
  <c r="G102" i="19"/>
  <c r="I102" i="19"/>
  <c r="L102" i="19"/>
  <c r="E104" i="19"/>
  <c r="G104" i="19"/>
  <c r="I104" i="19"/>
  <c r="L104" i="19"/>
  <c r="J59" i="19"/>
  <c r="J65" i="19" s="1"/>
  <c r="V14" i="19"/>
  <c r="M68" i="19"/>
  <c r="Y21" i="19"/>
  <c r="M76" i="19"/>
  <c r="Y30" i="19"/>
  <c r="J84" i="19"/>
  <c r="J88" i="19" s="1"/>
  <c r="V45" i="19"/>
  <c r="J92" i="19"/>
  <c r="J99" i="19"/>
  <c r="J105" i="19" s="1"/>
  <c r="V54" i="19"/>
  <c r="M59" i="19"/>
  <c r="Y14" i="19"/>
  <c r="J68" i="19"/>
  <c r="V21" i="19"/>
  <c r="J76" i="19"/>
  <c r="J81" i="19" s="1"/>
  <c r="V30" i="19"/>
  <c r="M84" i="19"/>
  <c r="M88" i="19" s="1"/>
  <c r="M92" i="19"/>
  <c r="M96" i="19" s="1"/>
  <c r="Y45" i="19"/>
  <c r="Y54" i="19"/>
  <c r="M99" i="19"/>
  <c r="M105" i="19" s="1"/>
  <c r="Q14" i="19"/>
  <c r="S14" i="19"/>
  <c r="U14" i="19"/>
  <c r="W14" i="19"/>
  <c r="R21" i="19"/>
  <c r="T21" i="19"/>
  <c r="X21" i="19"/>
  <c r="Q30" i="19"/>
  <c r="S30" i="19"/>
  <c r="U30" i="19"/>
  <c r="W30" i="19"/>
  <c r="Q45" i="19"/>
  <c r="Q55" i="19" s="1"/>
  <c r="S45" i="19"/>
  <c r="S55" i="19" s="1"/>
  <c r="U45" i="19"/>
  <c r="W45" i="19"/>
  <c r="R54" i="19"/>
  <c r="T54" i="19"/>
  <c r="T55" i="19" s="1"/>
  <c r="X54" i="19"/>
  <c r="X55" i="19" s="1"/>
  <c r="F92" i="19"/>
  <c r="H92" i="19"/>
  <c r="L92" i="19"/>
  <c r="E99" i="19"/>
  <c r="G99" i="19"/>
  <c r="I99" i="19"/>
  <c r="K99" i="19"/>
  <c r="R14" i="19"/>
  <c r="T14" i="19"/>
  <c r="X14" i="19"/>
  <c r="Q21" i="19"/>
  <c r="S21" i="19"/>
  <c r="U21" i="19"/>
  <c r="W21" i="19"/>
  <c r="R30" i="19"/>
  <c r="T30" i="19"/>
  <c r="X30" i="19"/>
  <c r="H73" i="18"/>
  <c r="E85" i="18"/>
  <c r="W50" i="18"/>
  <c r="M60" i="18"/>
  <c r="E60" i="18"/>
  <c r="G60" i="18"/>
  <c r="M61" i="18"/>
  <c r="E61" i="18"/>
  <c r="M62" i="18"/>
  <c r="E62" i="18"/>
  <c r="G73" i="18"/>
  <c r="I73" i="18"/>
  <c r="Q50" i="18"/>
  <c r="S50" i="18"/>
  <c r="U50" i="18"/>
  <c r="M56" i="18"/>
  <c r="E56" i="18"/>
  <c r="G56" i="18"/>
  <c r="I56" i="18"/>
  <c r="L56" i="18"/>
  <c r="F60" i="18"/>
  <c r="H60" i="18"/>
  <c r="K60" i="18"/>
  <c r="F61" i="18"/>
  <c r="H61" i="18"/>
  <c r="K61" i="18"/>
  <c r="F62" i="18"/>
  <c r="H62" i="18"/>
  <c r="K62" i="18"/>
  <c r="G85" i="18"/>
  <c r="I85" i="18"/>
  <c r="F56" i="18"/>
  <c r="H56" i="18"/>
  <c r="K56" i="18"/>
  <c r="I60" i="18"/>
  <c r="L60" i="18"/>
  <c r="G61" i="18"/>
  <c r="I61" i="18"/>
  <c r="L61" i="18"/>
  <c r="G62" i="18"/>
  <c r="I62" i="18"/>
  <c r="L62" i="18"/>
  <c r="K85" i="18"/>
  <c r="M95" i="18"/>
  <c r="F97" i="18"/>
  <c r="H97" i="18"/>
  <c r="F86" i="18"/>
  <c r="H86" i="18"/>
  <c r="K86" i="18"/>
  <c r="F87" i="18"/>
  <c r="H87" i="18"/>
  <c r="K87" i="18"/>
  <c r="M86" i="18"/>
  <c r="E86" i="18"/>
  <c r="G86" i="18"/>
  <c r="I86" i="18"/>
  <c r="L86" i="18"/>
  <c r="M87" i="18"/>
  <c r="E87" i="18"/>
  <c r="G87" i="18"/>
  <c r="I87" i="18"/>
  <c r="L87" i="18"/>
  <c r="M55" i="18"/>
  <c r="J69" i="18"/>
  <c r="J73" i="18" s="1"/>
  <c r="V26" i="18"/>
  <c r="J77" i="18"/>
  <c r="J81" i="18" s="1"/>
  <c r="J82" i="18" s="1"/>
  <c r="P62" i="23" s="1"/>
  <c r="V41" i="18"/>
  <c r="J85" i="18"/>
  <c r="J88" i="18" s="1"/>
  <c r="J91" i="18"/>
  <c r="J97" i="18" s="1"/>
  <c r="V50" i="18"/>
  <c r="J55" i="18"/>
  <c r="M69" i="18"/>
  <c r="Y26" i="18"/>
  <c r="M77" i="18"/>
  <c r="M81" i="18" s="1"/>
  <c r="M82" i="18" s="1"/>
  <c r="S62" i="23" s="1"/>
  <c r="S66" i="23" s="1"/>
  <c r="M85" i="18"/>
  <c r="Y41" i="18"/>
  <c r="Y50" i="18"/>
  <c r="M91" i="18"/>
  <c r="R26" i="18"/>
  <c r="T26" i="18"/>
  <c r="X26" i="18"/>
  <c r="Q41" i="18"/>
  <c r="Q51" i="18" s="1"/>
  <c r="B120" i="23" s="1"/>
  <c r="S41" i="18"/>
  <c r="U41" i="18"/>
  <c r="U51" i="18" s="1"/>
  <c r="F120" i="23" s="1"/>
  <c r="W41" i="18"/>
  <c r="W51" i="18" s="1"/>
  <c r="H120" i="23" s="1"/>
  <c r="R50" i="18"/>
  <c r="R51" i="18" s="1"/>
  <c r="C120" i="23" s="1"/>
  <c r="T50" i="18"/>
  <c r="T51" i="18" s="1"/>
  <c r="E120" i="23" s="1"/>
  <c r="X50" i="18"/>
  <c r="X51" i="18" s="1"/>
  <c r="I120" i="23" s="1"/>
  <c r="F85" i="18"/>
  <c r="H85" i="18"/>
  <c r="L85" i="18"/>
  <c r="E91" i="18"/>
  <c r="G91" i="18"/>
  <c r="G97" i="18" s="1"/>
  <c r="I91" i="18"/>
  <c r="K91" i="18"/>
  <c r="Q26" i="18"/>
  <c r="S26" i="18"/>
  <c r="U26" i="18"/>
  <c r="W26" i="18"/>
  <c r="J70" i="17"/>
  <c r="J99" i="17"/>
  <c r="J107" i="17"/>
  <c r="W60" i="17"/>
  <c r="J68" i="17"/>
  <c r="E68" i="17"/>
  <c r="G68" i="17"/>
  <c r="I68" i="17"/>
  <c r="L68" i="17"/>
  <c r="M91" i="17"/>
  <c r="F91" i="17"/>
  <c r="H91" i="17"/>
  <c r="K91" i="17"/>
  <c r="T20" i="17"/>
  <c r="W20" i="17"/>
  <c r="X20" i="17"/>
  <c r="J69" i="17"/>
  <c r="Q20" i="17"/>
  <c r="S20" i="17"/>
  <c r="U20" i="17"/>
  <c r="R20" i="17"/>
  <c r="V20" i="17"/>
  <c r="Y20" i="17"/>
  <c r="E80" i="17"/>
  <c r="G80" i="17"/>
  <c r="I80" i="17"/>
  <c r="L80" i="17"/>
  <c r="M81" i="17"/>
  <c r="E81" i="17"/>
  <c r="G81" i="17"/>
  <c r="I81" i="17"/>
  <c r="L81" i="17"/>
  <c r="M82" i="17"/>
  <c r="E82" i="17"/>
  <c r="G82" i="17"/>
  <c r="I82" i="17"/>
  <c r="L82" i="17"/>
  <c r="M83" i="17"/>
  <c r="E83" i="17"/>
  <c r="G83" i="17"/>
  <c r="I83" i="17"/>
  <c r="L83" i="17"/>
  <c r="E87" i="17"/>
  <c r="G87" i="17"/>
  <c r="I87" i="17"/>
  <c r="L87" i="17"/>
  <c r="M90" i="17"/>
  <c r="E90" i="17"/>
  <c r="G90" i="17"/>
  <c r="I90" i="17"/>
  <c r="L90" i="17"/>
  <c r="E65" i="17"/>
  <c r="G65" i="17"/>
  <c r="I65" i="17"/>
  <c r="L65" i="17"/>
  <c r="M66" i="17"/>
  <c r="E66" i="17"/>
  <c r="G66" i="17"/>
  <c r="I66" i="17"/>
  <c r="L66" i="17"/>
  <c r="M67" i="17"/>
  <c r="E67" i="17"/>
  <c r="G67" i="17"/>
  <c r="I67" i="17"/>
  <c r="L67" i="17"/>
  <c r="M69" i="17"/>
  <c r="E69" i="17"/>
  <c r="G69" i="17"/>
  <c r="I69" i="17"/>
  <c r="L69" i="17"/>
  <c r="M70" i="17"/>
  <c r="E70" i="17"/>
  <c r="G70" i="17"/>
  <c r="I70" i="17"/>
  <c r="L70" i="17"/>
  <c r="M92" i="17"/>
  <c r="E92" i="17"/>
  <c r="G92" i="17"/>
  <c r="I92" i="17"/>
  <c r="L92" i="17"/>
  <c r="E97" i="17"/>
  <c r="M98" i="17"/>
  <c r="E98" i="17"/>
  <c r="M99" i="17"/>
  <c r="E111" i="17"/>
  <c r="M112" i="17"/>
  <c r="E112" i="17"/>
  <c r="G112" i="17"/>
  <c r="M114" i="17"/>
  <c r="E114" i="17"/>
  <c r="M115" i="17"/>
  <c r="E115" i="17"/>
  <c r="M116" i="17"/>
  <c r="E116" i="17"/>
  <c r="G116" i="17"/>
  <c r="F65" i="17"/>
  <c r="H65" i="17"/>
  <c r="K65" i="17"/>
  <c r="F66" i="17"/>
  <c r="H66" i="17"/>
  <c r="K66" i="17"/>
  <c r="F67" i="17"/>
  <c r="H67" i="17"/>
  <c r="K67" i="17"/>
  <c r="F69" i="17"/>
  <c r="H69" i="17"/>
  <c r="K69" i="17"/>
  <c r="F70" i="17"/>
  <c r="H70" i="17"/>
  <c r="K70" i="17"/>
  <c r="F80" i="17"/>
  <c r="H80" i="17"/>
  <c r="K80" i="17"/>
  <c r="F81" i="17"/>
  <c r="H81" i="17"/>
  <c r="K81" i="17"/>
  <c r="F82" i="17"/>
  <c r="H82" i="17"/>
  <c r="K82" i="17"/>
  <c r="F83" i="17"/>
  <c r="H83" i="17"/>
  <c r="K83" i="17"/>
  <c r="Q27" i="17"/>
  <c r="U27" i="17"/>
  <c r="F87" i="17"/>
  <c r="H87" i="17"/>
  <c r="K87" i="17"/>
  <c r="F90" i="17"/>
  <c r="H90" i="17"/>
  <c r="K90" i="17"/>
  <c r="F92" i="17"/>
  <c r="H92" i="17"/>
  <c r="K92" i="17"/>
  <c r="F97" i="17"/>
  <c r="H97" i="17"/>
  <c r="K97" i="17"/>
  <c r="F98" i="17"/>
  <c r="H98" i="17"/>
  <c r="K98" i="17"/>
  <c r="F99" i="17"/>
  <c r="H99" i="17"/>
  <c r="K99" i="17"/>
  <c r="F104" i="17"/>
  <c r="H104" i="17"/>
  <c r="K104" i="17"/>
  <c r="F105" i="17"/>
  <c r="H105" i="17"/>
  <c r="K105" i="17"/>
  <c r="F106" i="17"/>
  <c r="H106" i="17"/>
  <c r="K106" i="17"/>
  <c r="F107" i="17"/>
  <c r="H107" i="17"/>
  <c r="K107" i="17"/>
  <c r="R51" i="17"/>
  <c r="G111" i="17"/>
  <c r="I111" i="17"/>
  <c r="L111" i="17"/>
  <c r="I112" i="17"/>
  <c r="L112" i="17"/>
  <c r="G114" i="17"/>
  <c r="I114" i="17"/>
  <c r="L114" i="17"/>
  <c r="G115" i="17"/>
  <c r="I115" i="17"/>
  <c r="L115" i="17"/>
  <c r="I116" i="17"/>
  <c r="L116" i="17"/>
  <c r="S60" i="17"/>
  <c r="S27" i="17"/>
  <c r="W27" i="17"/>
  <c r="G97" i="17"/>
  <c r="I97" i="17"/>
  <c r="L97" i="17"/>
  <c r="G98" i="17"/>
  <c r="I98" i="17"/>
  <c r="L98" i="17"/>
  <c r="E99" i="17"/>
  <c r="G99" i="17"/>
  <c r="I99" i="17"/>
  <c r="L99" i="17"/>
  <c r="E104" i="17"/>
  <c r="G104" i="17"/>
  <c r="I104" i="17"/>
  <c r="L104" i="17"/>
  <c r="M105" i="17"/>
  <c r="E105" i="17"/>
  <c r="G105" i="17"/>
  <c r="I105" i="17"/>
  <c r="L105" i="17"/>
  <c r="M106" i="17"/>
  <c r="E106" i="17"/>
  <c r="G106" i="17"/>
  <c r="I106" i="17"/>
  <c r="L106" i="17"/>
  <c r="M107" i="17"/>
  <c r="E107" i="17"/>
  <c r="G107" i="17"/>
  <c r="I107" i="17"/>
  <c r="L107" i="17"/>
  <c r="T51" i="17"/>
  <c r="F111" i="17"/>
  <c r="H111" i="17"/>
  <c r="K111" i="17"/>
  <c r="F112" i="17"/>
  <c r="H112" i="17"/>
  <c r="K112" i="17"/>
  <c r="F114" i="17"/>
  <c r="H114" i="17"/>
  <c r="K114" i="17"/>
  <c r="F115" i="17"/>
  <c r="H115" i="17"/>
  <c r="K115" i="17"/>
  <c r="F116" i="17"/>
  <c r="H116" i="17"/>
  <c r="K116" i="17"/>
  <c r="Q60" i="17"/>
  <c r="U60" i="17"/>
  <c r="M65" i="17"/>
  <c r="Y14" i="17"/>
  <c r="M80" i="17"/>
  <c r="Y27" i="17"/>
  <c r="M87" i="17"/>
  <c r="Y36" i="17"/>
  <c r="M97" i="17"/>
  <c r="M104" i="17"/>
  <c r="Y51" i="17"/>
  <c r="J111" i="17"/>
  <c r="J117" i="17" s="1"/>
  <c r="V60" i="17"/>
  <c r="J65" i="17"/>
  <c r="V14" i="17"/>
  <c r="J80" i="17"/>
  <c r="J84" i="17" s="1"/>
  <c r="V27" i="17"/>
  <c r="J87" i="17"/>
  <c r="J93" i="17" s="1"/>
  <c r="V36" i="17"/>
  <c r="J97" i="17"/>
  <c r="V51" i="17"/>
  <c r="V61" i="17" s="1"/>
  <c r="G51" i="23" s="1"/>
  <c r="J104" i="17"/>
  <c r="Y60" i="17"/>
  <c r="M111" i="17"/>
  <c r="Q14" i="17"/>
  <c r="S14" i="17"/>
  <c r="U14" i="17"/>
  <c r="W14" i="17"/>
  <c r="R27" i="17"/>
  <c r="T27" i="17"/>
  <c r="X27" i="17"/>
  <c r="Q36" i="17"/>
  <c r="S36" i="17"/>
  <c r="U36" i="17"/>
  <c r="W36" i="17"/>
  <c r="Q51" i="17"/>
  <c r="S51" i="17"/>
  <c r="U51" i="17"/>
  <c r="W51" i="17"/>
  <c r="W61" i="17" s="1"/>
  <c r="H51" i="23" s="1"/>
  <c r="H55" i="23" s="1"/>
  <c r="R60" i="17"/>
  <c r="T60" i="17"/>
  <c r="X60" i="17"/>
  <c r="R14" i="17"/>
  <c r="T14" i="17"/>
  <c r="X14" i="17"/>
  <c r="R36" i="17"/>
  <c r="T36" i="17"/>
  <c r="X36" i="17"/>
  <c r="J91" i="16"/>
  <c r="E91" i="16"/>
  <c r="G91" i="16"/>
  <c r="I91" i="16"/>
  <c r="L91" i="16"/>
  <c r="E93" i="16"/>
  <c r="G93" i="16"/>
  <c r="I93" i="16"/>
  <c r="J93" i="16"/>
  <c r="M93" i="16"/>
  <c r="M83" i="16"/>
  <c r="M87" i="16" s="1"/>
  <c r="F83" i="16"/>
  <c r="H83" i="16"/>
  <c r="K83" i="16"/>
  <c r="K87" i="16" s="1"/>
  <c r="E73" i="16"/>
  <c r="G73" i="16"/>
  <c r="I73" i="16"/>
  <c r="Y27" i="16"/>
  <c r="X27" i="16"/>
  <c r="Q27" i="16"/>
  <c r="S27" i="16"/>
  <c r="W27" i="16"/>
  <c r="R41" i="16"/>
  <c r="T41" i="16"/>
  <c r="W41" i="16"/>
  <c r="S49" i="16"/>
  <c r="U49" i="16"/>
  <c r="X49" i="16"/>
  <c r="F69" i="16"/>
  <c r="F73" i="16" s="1"/>
  <c r="L69" i="16"/>
  <c r="L73" i="16" s="1"/>
  <c r="K76" i="16"/>
  <c r="K80" i="16" s="1"/>
  <c r="F77" i="16"/>
  <c r="H77" i="16"/>
  <c r="L83" i="16"/>
  <c r="L87" i="16" s="1"/>
  <c r="F90" i="16"/>
  <c r="H90" i="16"/>
  <c r="H95" i="16" s="1"/>
  <c r="K90" i="16"/>
  <c r="K95" i="16" s="1"/>
  <c r="U27" i="16"/>
  <c r="C12" i="6"/>
  <c r="Q41" i="16"/>
  <c r="S41" i="16"/>
  <c r="U41" i="16"/>
  <c r="K54" i="16"/>
  <c r="J87" i="16"/>
  <c r="T27" i="16"/>
  <c r="V27" i="16"/>
  <c r="V41" i="16"/>
  <c r="Y49" i="16"/>
  <c r="J55" i="16"/>
  <c r="M69" i="16"/>
  <c r="Y41" i="16"/>
  <c r="V49" i="16"/>
  <c r="AP152" i="3"/>
  <c r="S85" i="5" s="1"/>
  <c r="AO151" i="3"/>
  <c r="AF151" i="3"/>
  <c r="AH151" i="3"/>
  <c r="AJ151" i="3"/>
  <c r="AJ152" i="3" s="1"/>
  <c r="AN151" i="3"/>
  <c r="AO155" i="3"/>
  <c r="AO156" i="3" s="1"/>
  <c r="R95" i="5" s="1"/>
  <c r="AF155" i="3"/>
  <c r="AF156" i="3" s="1"/>
  <c r="L95" i="5" s="1"/>
  <c r="AH155" i="3"/>
  <c r="AH156" i="3" s="1"/>
  <c r="K95" i="5" s="1"/>
  <c r="AJ155" i="3"/>
  <c r="AJ156" i="3" s="1"/>
  <c r="AO159" i="3"/>
  <c r="AO160" i="3" s="1"/>
  <c r="R105" i="5" s="1"/>
  <c r="AF159" i="3"/>
  <c r="AF160" i="3" s="1"/>
  <c r="L105" i="5" s="1"/>
  <c r="AH159" i="3"/>
  <c r="AH160" i="3" s="1"/>
  <c r="K105" i="5" s="1"/>
  <c r="AO169" i="3"/>
  <c r="AO170" i="3" s="1"/>
  <c r="R125" i="5" s="1"/>
  <c r="R137" i="5" s="1"/>
  <c r="AF169" i="3"/>
  <c r="AF170" i="3" s="1"/>
  <c r="L125" i="5" s="1"/>
  <c r="L137" i="5" s="1"/>
  <c r="AH169" i="3"/>
  <c r="AH170" i="3" s="1"/>
  <c r="K125" i="5" s="1"/>
  <c r="K137" i="5" s="1"/>
  <c r="AJ169" i="3"/>
  <c r="AJ170" i="3" s="1"/>
  <c r="AN169" i="3"/>
  <c r="AN170" i="3" s="1"/>
  <c r="Q125" i="5" s="1"/>
  <c r="Q137" i="5" s="1"/>
  <c r="AO182" i="3"/>
  <c r="AO183" i="3" s="1"/>
  <c r="R180" i="5" s="1"/>
  <c r="AF182" i="3"/>
  <c r="AF183" i="3" s="1"/>
  <c r="L180" i="5" s="1"/>
  <c r="AH182" i="3"/>
  <c r="AH183" i="3" s="1"/>
  <c r="K180" i="5" s="1"/>
  <c r="AJ182" i="3"/>
  <c r="AJ183" i="3" s="1"/>
  <c r="AN182" i="3"/>
  <c r="AN183" i="3" s="1"/>
  <c r="Q180" i="5" s="1"/>
  <c r="AN186" i="3"/>
  <c r="AN187" i="3" s="1"/>
  <c r="Q190" i="5" s="1"/>
  <c r="AO190" i="3"/>
  <c r="AO191" i="3" s="1"/>
  <c r="R201" i="5" s="1"/>
  <c r="R195" i="6" s="1"/>
  <c r="AF190" i="3"/>
  <c r="AF191" i="3" s="1"/>
  <c r="L201" i="5" s="1"/>
  <c r="L195" i="6" s="1"/>
  <c r="AH190" i="3"/>
  <c r="AH191" i="3" s="1"/>
  <c r="K201" i="5" s="1"/>
  <c r="K195" i="6" s="1"/>
  <c r="AJ190" i="3"/>
  <c r="AJ191" i="3" s="1"/>
  <c r="AN190" i="3"/>
  <c r="AN191" i="3" s="1"/>
  <c r="Q201" i="5" s="1"/>
  <c r="Q195" i="6" s="1"/>
  <c r="AO163" i="3"/>
  <c r="AF163" i="3"/>
  <c r="AH163" i="3"/>
  <c r="AJ163" i="3"/>
  <c r="AN163" i="3"/>
  <c r="AO164" i="3"/>
  <c r="AF164" i="3"/>
  <c r="AH164" i="3"/>
  <c r="AJ164" i="3"/>
  <c r="AN164" i="3"/>
  <c r="AO165" i="3"/>
  <c r="AF165" i="3"/>
  <c r="AH165" i="3"/>
  <c r="AJ165" i="3"/>
  <c r="AN165" i="3"/>
  <c r="R26" i="9"/>
  <c r="C28" i="5" s="1"/>
  <c r="C86" i="6" s="1"/>
  <c r="C90" i="6" s="1"/>
  <c r="T26" i="9"/>
  <c r="E28" i="5" s="1"/>
  <c r="E86" i="6" s="1"/>
  <c r="F116" i="11"/>
  <c r="F117" i="11" s="1"/>
  <c r="L178" i="5" s="1"/>
  <c r="H116" i="11"/>
  <c r="H117" i="11" s="1"/>
  <c r="N178" i="5" s="1"/>
  <c r="K120" i="11"/>
  <c r="F127" i="11"/>
  <c r="H127" i="11"/>
  <c r="F128" i="11"/>
  <c r="H128" i="11"/>
  <c r="H129" i="11" s="1"/>
  <c r="N199" i="5" s="1"/>
  <c r="N193" i="6" s="1"/>
  <c r="K128" i="11"/>
  <c r="F122" i="11"/>
  <c r="H122" i="11"/>
  <c r="J122" i="11"/>
  <c r="L122" i="11"/>
  <c r="R24" i="11"/>
  <c r="C123" i="5" s="1"/>
  <c r="C135" i="5" s="1"/>
  <c r="T24" i="11"/>
  <c r="E123" i="5" s="1"/>
  <c r="E135" i="5" s="1"/>
  <c r="W24" i="11"/>
  <c r="H123" i="5" s="1"/>
  <c r="H135" i="5" s="1"/>
  <c r="F129" i="11"/>
  <c r="L199" i="5" s="1"/>
  <c r="L193" i="6" s="1"/>
  <c r="J129" i="11"/>
  <c r="P199" i="5" s="1"/>
  <c r="P193" i="6" s="1"/>
  <c r="L129" i="11"/>
  <c r="R199" i="5" s="1"/>
  <c r="R193" i="6" s="1"/>
  <c r="X66" i="11"/>
  <c r="I199" i="5" s="1"/>
  <c r="I193" i="6" s="1"/>
  <c r="V66" i="11"/>
  <c r="G199" i="5" s="1"/>
  <c r="G193" i="6" s="1"/>
  <c r="T66" i="11"/>
  <c r="E199" i="5" s="1"/>
  <c r="E193" i="6" s="1"/>
  <c r="E196" i="6" s="1"/>
  <c r="R66" i="11"/>
  <c r="C199" i="5" s="1"/>
  <c r="C193" i="6" s="1"/>
  <c r="C196" i="6" s="1"/>
  <c r="X54" i="11"/>
  <c r="I178" i="5" s="1"/>
  <c r="V54" i="11"/>
  <c r="G178" i="5" s="1"/>
  <c r="T54" i="11"/>
  <c r="E178" i="5" s="1"/>
  <c r="R54" i="11"/>
  <c r="C178" i="5" s="1"/>
  <c r="E116" i="11"/>
  <c r="E117" i="11" s="1"/>
  <c r="K178" i="5" s="1"/>
  <c r="G116" i="11"/>
  <c r="G117" i="11" s="1"/>
  <c r="M178" i="5" s="1"/>
  <c r="I116" i="11"/>
  <c r="I117" i="11" s="1"/>
  <c r="O178" i="5" s="1"/>
  <c r="K116" i="11"/>
  <c r="K117" i="11" s="1"/>
  <c r="Q178" i="5" s="1"/>
  <c r="M116" i="11"/>
  <c r="M117" i="11" s="1"/>
  <c r="S178" i="5" s="1"/>
  <c r="F120" i="11"/>
  <c r="H120" i="11"/>
  <c r="J120" i="11"/>
  <c r="L120" i="11"/>
  <c r="E127" i="11"/>
  <c r="E129" i="11" s="1"/>
  <c r="K199" i="5" s="1"/>
  <c r="K193" i="6" s="1"/>
  <c r="G127" i="11"/>
  <c r="G129" i="11" s="1"/>
  <c r="M199" i="5" s="1"/>
  <c r="M193" i="6" s="1"/>
  <c r="I127" i="11"/>
  <c r="I129" i="11" s="1"/>
  <c r="O199" i="5" s="1"/>
  <c r="O193" i="6" s="1"/>
  <c r="K127" i="11"/>
  <c r="K129" i="11" s="1"/>
  <c r="Q199" i="5" s="1"/>
  <c r="Q193" i="6" s="1"/>
  <c r="M127" i="11"/>
  <c r="M129" i="11" s="1"/>
  <c r="S199" i="5" s="1"/>
  <c r="S193" i="6" s="1"/>
  <c r="M115" i="9"/>
  <c r="M116" i="9" s="1"/>
  <c r="S83" i="5" s="1"/>
  <c r="E115" i="9"/>
  <c r="E116" i="9" s="1"/>
  <c r="K83" i="5" s="1"/>
  <c r="G115" i="9"/>
  <c r="G116" i="9" s="1"/>
  <c r="M83" i="5" s="1"/>
  <c r="I115" i="9"/>
  <c r="I116" i="9" s="1"/>
  <c r="O83" i="5" s="1"/>
  <c r="M119" i="9"/>
  <c r="E119" i="9"/>
  <c r="G119" i="9"/>
  <c r="M120" i="9"/>
  <c r="E120" i="9"/>
  <c r="G120" i="9"/>
  <c r="M125" i="9"/>
  <c r="E125" i="9"/>
  <c r="X26" i="9"/>
  <c r="I28" i="5" s="1"/>
  <c r="I86" i="6" s="1"/>
  <c r="M104" i="9"/>
  <c r="F104" i="9"/>
  <c r="H104" i="9"/>
  <c r="K104" i="9"/>
  <c r="J107" i="9"/>
  <c r="E107" i="9"/>
  <c r="G107" i="9"/>
  <c r="I107" i="9"/>
  <c r="L115" i="9"/>
  <c r="L116" i="9" s="1"/>
  <c r="R83" i="5" s="1"/>
  <c r="I119" i="9"/>
  <c r="L119" i="9"/>
  <c r="L124" i="9"/>
  <c r="I120" i="9"/>
  <c r="L120" i="9"/>
  <c r="G125" i="9"/>
  <c r="I125" i="9"/>
  <c r="L125" i="9"/>
  <c r="F115" i="9"/>
  <c r="F116" i="9" s="1"/>
  <c r="L83" i="5" s="1"/>
  <c r="H115" i="9"/>
  <c r="H116" i="9" s="1"/>
  <c r="N83" i="5" s="1"/>
  <c r="K115" i="9"/>
  <c r="K116" i="9" s="1"/>
  <c r="Q83" i="5" s="1"/>
  <c r="F119" i="9"/>
  <c r="H119" i="9"/>
  <c r="K119" i="9"/>
  <c r="F124" i="9"/>
  <c r="H124" i="9"/>
  <c r="F120" i="9"/>
  <c r="H120" i="9"/>
  <c r="K120" i="9"/>
  <c r="F125" i="9"/>
  <c r="H125" i="9"/>
  <c r="K125" i="9"/>
  <c r="X54" i="9"/>
  <c r="I83" i="5" s="1"/>
  <c r="V54" i="9"/>
  <c r="G83" i="5" s="1"/>
  <c r="T54" i="9"/>
  <c r="E83" i="5" s="1"/>
  <c r="R54" i="9"/>
  <c r="C83" i="5" s="1"/>
  <c r="Y59" i="9"/>
  <c r="J93" i="5" s="1"/>
  <c r="W59" i="9"/>
  <c r="H93" i="5" s="1"/>
  <c r="H96" i="5" s="1"/>
  <c r="U59" i="9"/>
  <c r="F93" i="5" s="1"/>
  <c r="S59" i="9"/>
  <c r="D93" i="5" s="1"/>
  <c r="Q59" i="9"/>
  <c r="B93" i="5" s="1"/>
  <c r="B96" i="5" s="1"/>
  <c r="B98" i="5" s="1"/>
  <c r="E124" i="9"/>
  <c r="G124" i="9"/>
  <c r="I124" i="9"/>
  <c r="K124" i="9"/>
  <c r="M124" i="9"/>
  <c r="Y54" i="9"/>
  <c r="J83" i="5" s="1"/>
  <c r="W54" i="9"/>
  <c r="H83" i="5" s="1"/>
  <c r="U54" i="9"/>
  <c r="F83" i="5" s="1"/>
  <c r="S54" i="9"/>
  <c r="D83" i="5" s="1"/>
  <c r="Q54" i="9"/>
  <c r="B83" i="5" s="1"/>
  <c r="X59" i="9"/>
  <c r="I93" i="5" s="1"/>
  <c r="V59" i="9"/>
  <c r="G93" i="5" s="1"/>
  <c r="T59" i="9"/>
  <c r="E93" i="5" s="1"/>
  <c r="R59" i="9"/>
  <c r="C93" i="5" s="1"/>
  <c r="C96" i="5" s="1"/>
  <c r="C98" i="5" s="1"/>
  <c r="M86" i="9"/>
  <c r="E86" i="9"/>
  <c r="E88" i="9" s="1"/>
  <c r="K28" i="5" s="1"/>
  <c r="K86" i="6" s="1"/>
  <c r="G86" i="9"/>
  <c r="G88" i="9" s="1"/>
  <c r="M28" i="5" s="1"/>
  <c r="M86" i="6" s="1"/>
  <c r="I86" i="9"/>
  <c r="I88" i="9" s="1"/>
  <c r="O28" i="5" s="1"/>
  <c r="O86" i="6" s="1"/>
  <c r="K86" i="9"/>
  <c r="Y26" i="9"/>
  <c r="J28" i="5" s="1"/>
  <c r="J86" i="6" s="1"/>
  <c r="W26" i="9"/>
  <c r="H28" i="5" s="1"/>
  <c r="H86" i="6" s="1"/>
  <c r="H90" i="6" s="1"/>
  <c r="U26" i="9"/>
  <c r="F28" i="5" s="1"/>
  <c r="F86" i="6" s="1"/>
  <c r="S26" i="9"/>
  <c r="D28" i="5" s="1"/>
  <c r="D86" i="6" s="1"/>
  <c r="Q26" i="9"/>
  <c r="B28" i="5" s="1"/>
  <c r="B86" i="6" s="1"/>
  <c r="B90" i="6" s="1"/>
  <c r="F79" i="9"/>
  <c r="F88" i="9" s="1"/>
  <c r="L28" i="5" s="1"/>
  <c r="L86" i="6" s="1"/>
  <c r="H79" i="9"/>
  <c r="H88" i="9" s="1"/>
  <c r="N28" i="5" s="1"/>
  <c r="N86" i="6" s="1"/>
  <c r="J79" i="9"/>
  <c r="L79" i="9"/>
  <c r="L74" i="9"/>
  <c r="L76" i="9" s="1"/>
  <c r="R17" i="5" s="1"/>
  <c r="F74" i="9"/>
  <c r="H74" i="9"/>
  <c r="J74" i="9"/>
  <c r="E76" i="9"/>
  <c r="K17" i="5" s="1"/>
  <c r="I76" i="9"/>
  <c r="O17" i="5" s="1"/>
  <c r="K76" i="9"/>
  <c r="Q17" i="5" s="1"/>
  <c r="Y14" i="9"/>
  <c r="J17" i="5" s="1"/>
  <c r="W14" i="9"/>
  <c r="H17" i="5" s="1"/>
  <c r="U14" i="9"/>
  <c r="F17" i="5" s="1"/>
  <c r="S14" i="9"/>
  <c r="D17" i="5" s="1"/>
  <c r="Q14" i="9"/>
  <c r="B17" i="5" s="1"/>
  <c r="X14" i="9"/>
  <c r="I17" i="5" s="1"/>
  <c r="V14" i="9"/>
  <c r="G17" i="5" s="1"/>
  <c r="T14" i="9"/>
  <c r="E17" i="5" s="1"/>
  <c r="R14" i="9"/>
  <c r="C17" i="5" s="1"/>
  <c r="AN155" i="3"/>
  <c r="AN156" i="3" s="1"/>
  <c r="Q95" i="5" s="1"/>
  <c r="AJ159" i="3"/>
  <c r="AJ160" i="3" s="1"/>
  <c r="U179" i="3"/>
  <c r="D159" i="5" s="1"/>
  <c r="Y179" i="3"/>
  <c r="AP190" i="3"/>
  <c r="AP191" i="3" s="1"/>
  <c r="S201" i="5" s="1"/>
  <c r="S195" i="6" s="1"/>
  <c r="AG190" i="3"/>
  <c r="AG191" i="3" s="1"/>
  <c r="M201" i="5" s="1"/>
  <c r="M195" i="6" s="1"/>
  <c r="AI190" i="3"/>
  <c r="AI191" i="3" s="1"/>
  <c r="N201" i="5" s="1"/>
  <c r="N195" i="6" s="1"/>
  <c r="AK190" i="3"/>
  <c r="AK191" i="3" s="1"/>
  <c r="AG164" i="3"/>
  <c r="AG166" i="3" s="1"/>
  <c r="AI164" i="3"/>
  <c r="AK164" i="3"/>
  <c r="AK166" i="3" s="1"/>
  <c r="AP159" i="3"/>
  <c r="AP160" i="3" s="1"/>
  <c r="S105" i="5" s="1"/>
  <c r="AG159" i="3"/>
  <c r="AG160" i="3" s="1"/>
  <c r="M105" i="5" s="1"/>
  <c r="AI159" i="3"/>
  <c r="AI160" i="3" s="1"/>
  <c r="N105" i="5" s="1"/>
  <c r="AK159" i="3"/>
  <c r="AK160" i="3" s="1"/>
  <c r="AN159" i="3"/>
  <c r="AN160" i="3" s="1"/>
  <c r="Q105" i="5" s="1"/>
  <c r="AP169" i="3"/>
  <c r="AP170" i="3" s="1"/>
  <c r="S125" i="5" s="1"/>
  <c r="S137" i="5" s="1"/>
  <c r="AG169" i="3"/>
  <c r="AG170" i="3" s="1"/>
  <c r="M125" i="5" s="1"/>
  <c r="M137" i="5" s="1"/>
  <c r="AI169" i="3"/>
  <c r="AI170" i="3" s="1"/>
  <c r="N125" i="5" s="1"/>
  <c r="N137" i="5" s="1"/>
  <c r="AK169" i="3"/>
  <c r="AK170" i="3" s="1"/>
  <c r="W179" i="3"/>
  <c r="E159" i="5" s="1"/>
  <c r="AP182" i="3"/>
  <c r="AP183" i="3" s="1"/>
  <c r="S180" i="5" s="1"/>
  <c r="S176" i="6" s="1"/>
  <c r="AG182" i="3"/>
  <c r="AG183" i="3" s="1"/>
  <c r="M180" i="5" s="1"/>
  <c r="AI182" i="3"/>
  <c r="AI183" i="3" s="1"/>
  <c r="N180" i="5" s="1"/>
  <c r="AK182" i="3"/>
  <c r="AK183" i="3" s="1"/>
  <c r="AO186" i="3"/>
  <c r="AO187" i="3" s="1"/>
  <c r="R190" i="5" s="1"/>
  <c r="AF186" i="3"/>
  <c r="AF187" i="3" s="1"/>
  <c r="L190" i="5" s="1"/>
  <c r="AH186" i="3"/>
  <c r="AH187" i="3" s="1"/>
  <c r="K190" i="5" s="1"/>
  <c r="AJ186" i="3"/>
  <c r="AJ187" i="3" s="1"/>
  <c r="AO178" i="3"/>
  <c r="AO179" i="3" s="1"/>
  <c r="R159" i="5" s="1"/>
  <c r="AC179" i="3"/>
  <c r="I159" i="5" s="1"/>
  <c r="AC175" i="3"/>
  <c r="I148" i="5" s="1"/>
  <c r="AO175" i="3"/>
  <c r="R148" i="5" s="1"/>
  <c r="AD175" i="3"/>
  <c r="J148" i="5" s="1"/>
  <c r="AF175" i="3"/>
  <c r="L148" i="5" s="1"/>
  <c r="AJ175" i="3"/>
  <c r="AP175" i="3"/>
  <c r="S148" i="5" s="1"/>
  <c r="AF178" i="3"/>
  <c r="AF179" i="3" s="1"/>
  <c r="L159" i="5" s="1"/>
  <c r="AH178" i="3"/>
  <c r="AH179" i="3" s="1"/>
  <c r="K159" i="5" s="1"/>
  <c r="AJ178" i="3"/>
  <c r="AJ179" i="3" s="1"/>
  <c r="AN178" i="3"/>
  <c r="AN179" i="3" s="1"/>
  <c r="Q159" i="5" s="1"/>
  <c r="AP178" i="3"/>
  <c r="AP179" i="3" s="1"/>
  <c r="S159" i="5" s="1"/>
  <c r="AG175" i="3"/>
  <c r="M148" i="5" s="1"/>
  <c r="AI175" i="3"/>
  <c r="N148" i="5" s="1"/>
  <c r="AK175" i="3"/>
  <c r="AO121" i="3"/>
  <c r="AO122" i="3" s="1"/>
  <c r="AF121" i="3"/>
  <c r="AF122" i="3" s="1"/>
  <c r="AH121" i="3"/>
  <c r="AH122" i="3" s="1"/>
  <c r="AJ121" i="3"/>
  <c r="AJ122" i="3" s="1"/>
  <c r="AN121" i="3"/>
  <c r="AN122" i="3" s="1"/>
  <c r="AO134" i="3"/>
  <c r="AF134" i="3"/>
  <c r="AH134" i="3"/>
  <c r="AJ134" i="3"/>
  <c r="AN134" i="3"/>
  <c r="AO135" i="3"/>
  <c r="AF135" i="3"/>
  <c r="AH135" i="3"/>
  <c r="AJ135" i="3"/>
  <c r="AN135" i="3"/>
  <c r="AO139" i="3"/>
  <c r="AO140" i="3" s="1"/>
  <c r="R30" i="5" s="1"/>
  <c r="R88" i="6" s="1"/>
  <c r="AF139" i="3"/>
  <c r="AF140" i="3" s="1"/>
  <c r="L30" i="5" s="1"/>
  <c r="L88" i="6" s="1"/>
  <c r="L90" i="6" s="1"/>
  <c r="AH139" i="3"/>
  <c r="AH140" i="3" s="1"/>
  <c r="K30" i="5" s="1"/>
  <c r="K88" i="6" s="1"/>
  <c r="AJ139" i="3"/>
  <c r="AJ140" i="3" s="1"/>
  <c r="AN139" i="3"/>
  <c r="AN140" i="3" s="1"/>
  <c r="Q30" i="5" s="1"/>
  <c r="Q88" i="6" s="1"/>
  <c r="AK135" i="3"/>
  <c r="J97" i="20" l="1"/>
  <c r="F5" i="5"/>
  <c r="F5" i="53"/>
  <c r="L88" i="9"/>
  <c r="R28" i="5" s="1"/>
  <c r="R86" i="6" s="1"/>
  <c r="T50" i="16"/>
  <c r="H80" i="16"/>
  <c r="H96" i="16" s="1"/>
  <c r="E97" i="18"/>
  <c r="I62" i="55"/>
  <c r="R50" i="21"/>
  <c r="D5" i="5"/>
  <c r="D5" i="53"/>
  <c r="J88" i="9"/>
  <c r="P28" i="5" s="1"/>
  <c r="P86" i="6" s="1"/>
  <c r="K88" i="9"/>
  <c r="Q28" i="5" s="1"/>
  <c r="Q86" i="6" s="1"/>
  <c r="Q90" i="6" s="1"/>
  <c r="F80" i="16"/>
  <c r="S51" i="18"/>
  <c r="D120" i="23" s="1"/>
  <c r="J96" i="19"/>
  <c r="S51" i="20"/>
  <c r="D142" i="23" s="1"/>
  <c r="D147" i="23" s="1"/>
  <c r="D149" i="23" s="1"/>
  <c r="M88" i="20"/>
  <c r="E62" i="55"/>
  <c r="D62" i="55"/>
  <c r="E80" i="21"/>
  <c r="E81" i="21" s="1"/>
  <c r="K17" i="54" s="1"/>
  <c r="J65" i="21"/>
  <c r="L65" i="22"/>
  <c r="B5" i="5"/>
  <c r="B5" i="53"/>
  <c r="M73" i="16"/>
  <c r="M96" i="16" s="1"/>
  <c r="U61" i="17"/>
  <c r="F51" i="23" s="1"/>
  <c r="K105" i="19"/>
  <c r="M90" i="22"/>
  <c r="S131" i="23" s="1"/>
  <c r="S135" i="23" s="1"/>
  <c r="H5" i="5"/>
  <c r="H5" i="53"/>
  <c r="I72" i="21"/>
  <c r="J5" i="5"/>
  <c r="J5" i="53"/>
  <c r="J76" i="9"/>
  <c r="P17" i="5" s="1"/>
  <c r="C5" i="5"/>
  <c r="C5" i="53"/>
  <c r="N176" i="6"/>
  <c r="H76" i="9"/>
  <c r="N17" i="5" s="1"/>
  <c r="M88" i="9"/>
  <c r="S28" i="5" s="1"/>
  <c r="S86" i="6" s="1"/>
  <c r="K65" i="16"/>
  <c r="K66" i="16" s="1"/>
  <c r="F87" i="16"/>
  <c r="F96" i="16" s="1"/>
  <c r="Q61" i="17"/>
  <c r="B51" i="23" s="1"/>
  <c r="B55" i="23" s="1"/>
  <c r="B57" i="23" s="1"/>
  <c r="J101" i="17"/>
  <c r="K97" i="18"/>
  <c r="J66" i="18"/>
  <c r="W55" i="19"/>
  <c r="Y38" i="19"/>
  <c r="J97" i="23" s="1"/>
  <c r="G96" i="19"/>
  <c r="T51" i="20"/>
  <c r="E142" i="23" s="1"/>
  <c r="E147" i="23" s="1"/>
  <c r="E149" i="23" s="1"/>
  <c r="J66" i="20"/>
  <c r="P55" i="6" s="1"/>
  <c r="M66" i="20"/>
  <c r="I87" i="21"/>
  <c r="I96" i="21" s="1"/>
  <c r="O29" i="54" s="1"/>
  <c r="O124" i="55" s="1"/>
  <c r="I80" i="21"/>
  <c r="I81" i="21" s="1"/>
  <c r="G72" i="21"/>
  <c r="K80" i="21"/>
  <c r="K81" i="21" s="1"/>
  <c r="M72" i="22"/>
  <c r="E80" i="22"/>
  <c r="E90" i="22" s="1"/>
  <c r="K131" i="23" s="1"/>
  <c r="K135" i="23" s="1"/>
  <c r="G5" i="5"/>
  <c r="G5" i="53"/>
  <c r="K95" i="21"/>
  <c r="I95" i="21"/>
  <c r="I80" i="22"/>
  <c r="I90" i="22" s="1"/>
  <c r="E5" i="5"/>
  <c r="E5" i="53"/>
  <c r="J65" i="16"/>
  <c r="J66" i="16" s="1"/>
  <c r="P41" i="54" s="1"/>
  <c r="P137" i="55" s="1"/>
  <c r="H87" i="16"/>
  <c r="N12" i="6" s="1"/>
  <c r="M73" i="18"/>
  <c r="J72" i="19"/>
  <c r="J73" i="20"/>
  <c r="K81" i="20"/>
  <c r="K82" i="20" s="1"/>
  <c r="Q73" i="23" s="1"/>
  <c r="Q78" i="23" s="1"/>
  <c r="M65" i="22"/>
  <c r="G80" i="22"/>
  <c r="G90" i="22" s="1"/>
  <c r="B9" i="53"/>
  <c r="K90" i="6"/>
  <c r="M176" i="6"/>
  <c r="N196" i="6"/>
  <c r="F76" i="9"/>
  <c r="L17" i="5" s="1"/>
  <c r="F95" i="16"/>
  <c r="I97" i="18"/>
  <c r="M97" i="18"/>
  <c r="U55" i="19"/>
  <c r="M65" i="19"/>
  <c r="E96" i="19"/>
  <c r="E87" i="21"/>
  <c r="E96" i="21" s="1"/>
  <c r="T50" i="21"/>
  <c r="J65" i="22"/>
  <c r="I5" i="5"/>
  <c r="I5" i="53"/>
  <c r="Q62" i="55"/>
  <c r="M196" i="6"/>
  <c r="I19" i="6"/>
  <c r="I19" i="55"/>
  <c r="C19" i="6"/>
  <c r="C19" i="55"/>
  <c r="F19" i="6"/>
  <c r="F19" i="55"/>
  <c r="B19" i="6"/>
  <c r="B19" i="55"/>
  <c r="P19" i="6"/>
  <c r="P19" i="55"/>
  <c r="J19" i="6"/>
  <c r="J19" i="55"/>
  <c r="J74" i="18"/>
  <c r="P16" i="23" s="1"/>
  <c r="P48" i="55"/>
  <c r="J74" i="20"/>
  <c r="P27" i="23" s="1"/>
  <c r="P55" i="55"/>
  <c r="F73" i="21"/>
  <c r="L62" i="55"/>
  <c r="I73" i="21"/>
  <c r="O62" i="55"/>
  <c r="L73" i="21"/>
  <c r="R62" i="55"/>
  <c r="L12" i="55"/>
  <c r="H55" i="55"/>
  <c r="D55" i="55"/>
  <c r="I55" i="55"/>
  <c r="C55" i="55"/>
  <c r="F62" i="55"/>
  <c r="I12" i="55"/>
  <c r="E12" i="55"/>
  <c r="J12" i="55"/>
  <c r="D12" i="55"/>
  <c r="S12" i="55"/>
  <c r="G48" i="55"/>
  <c r="C48" i="55"/>
  <c r="H48" i="55"/>
  <c r="D48" i="55"/>
  <c r="G55" i="55"/>
  <c r="H12" i="55"/>
  <c r="J55" i="55"/>
  <c r="E19" i="6"/>
  <c r="E19" i="55"/>
  <c r="H19" i="6"/>
  <c r="H19" i="55"/>
  <c r="D19" i="6"/>
  <c r="D19" i="55"/>
  <c r="G19" i="6"/>
  <c r="G19" i="55"/>
  <c r="Q12" i="55"/>
  <c r="F55" i="55"/>
  <c r="B55" i="55"/>
  <c r="E55" i="55"/>
  <c r="G62" i="55"/>
  <c r="J62" i="55"/>
  <c r="B62" i="55"/>
  <c r="G12" i="55"/>
  <c r="C12" i="55"/>
  <c r="F12" i="55"/>
  <c r="B12" i="55"/>
  <c r="I48" i="55"/>
  <c r="E48" i="55"/>
  <c r="J48" i="55"/>
  <c r="F48" i="55"/>
  <c r="B48" i="55"/>
  <c r="Q7" i="5"/>
  <c r="Q7" i="53"/>
  <c r="K7" i="5"/>
  <c r="K7" i="53"/>
  <c r="R7" i="5"/>
  <c r="R7" i="53"/>
  <c r="E7" i="5"/>
  <c r="E7" i="53"/>
  <c r="D7" i="5"/>
  <c r="D7" i="53"/>
  <c r="J7" i="5"/>
  <c r="J7" i="53"/>
  <c r="R18" i="23"/>
  <c r="S88" i="55"/>
  <c r="M18" i="23"/>
  <c r="M95" i="6" s="1"/>
  <c r="R88" i="55"/>
  <c r="Q88" i="55"/>
  <c r="N88" i="55"/>
  <c r="M88" i="55"/>
  <c r="L7" i="5"/>
  <c r="L7" i="53"/>
  <c r="N7" i="5"/>
  <c r="N7" i="53"/>
  <c r="M7" i="5"/>
  <c r="M7" i="53"/>
  <c r="S7" i="5"/>
  <c r="S7" i="53"/>
  <c r="N18" i="23"/>
  <c r="N95" i="6" s="1"/>
  <c r="K88" i="55"/>
  <c r="L88" i="55"/>
  <c r="R43" i="54"/>
  <c r="R139" i="55" s="1"/>
  <c r="R179" i="23"/>
  <c r="Q43" i="54"/>
  <c r="Q139" i="55" s="1"/>
  <c r="Q179" i="23"/>
  <c r="S43" i="54"/>
  <c r="S139" i="55" s="1"/>
  <c r="S179" i="23"/>
  <c r="S182" i="6" s="1"/>
  <c r="K43" i="54"/>
  <c r="K139" i="55" s="1"/>
  <c r="K179" i="23"/>
  <c r="Y61" i="17"/>
  <c r="J51" i="23" s="1"/>
  <c r="J55" i="23" s="1"/>
  <c r="T61" i="17"/>
  <c r="E51" i="23" s="1"/>
  <c r="E55" i="23" s="1"/>
  <c r="E57" i="23" s="1"/>
  <c r="R61" i="17"/>
  <c r="C51" i="23" s="1"/>
  <c r="C55" i="23" s="1"/>
  <c r="C57" i="23" s="1"/>
  <c r="X61" i="17"/>
  <c r="I51" i="23" s="1"/>
  <c r="I55" i="23" s="1"/>
  <c r="M106" i="19"/>
  <c r="J106" i="19"/>
  <c r="H139" i="5"/>
  <c r="C139" i="5"/>
  <c r="S53" i="54"/>
  <c r="S189" i="23"/>
  <c r="Q41" i="54"/>
  <c r="Q177" i="23"/>
  <c r="Q180" i="6" s="1"/>
  <c r="E124" i="23"/>
  <c r="E126" i="23" s="1"/>
  <c r="H124" i="23"/>
  <c r="D124" i="23"/>
  <c r="D126" i="23" s="1"/>
  <c r="J101" i="23"/>
  <c r="L5" i="54"/>
  <c r="L39" i="23"/>
  <c r="L43" i="23" s="1"/>
  <c r="O5" i="54"/>
  <c r="O86" i="55" s="1"/>
  <c r="O39" i="23"/>
  <c r="O17" i="54"/>
  <c r="O105" i="55" s="1"/>
  <c r="O85" i="23"/>
  <c r="M17" i="54"/>
  <c r="M85" i="23"/>
  <c r="M89" i="23" s="1"/>
  <c r="S17" i="54"/>
  <c r="S85" i="23"/>
  <c r="S89" i="23" s="1"/>
  <c r="Q17" i="54"/>
  <c r="Q85" i="23"/>
  <c r="Q89" i="23" s="1"/>
  <c r="R5" i="54"/>
  <c r="R39" i="23"/>
  <c r="R43" i="23" s="1"/>
  <c r="I17" i="54"/>
  <c r="I85" i="23"/>
  <c r="I89" i="23" s="1"/>
  <c r="P17" i="54"/>
  <c r="P105" i="55" s="1"/>
  <c r="P85" i="23"/>
  <c r="F165" i="23"/>
  <c r="F131" i="23"/>
  <c r="F160" i="6" s="1"/>
  <c r="B165" i="23"/>
  <c r="B169" i="23" s="1"/>
  <c r="B171" i="23" s="1"/>
  <c r="B131" i="23"/>
  <c r="B135" i="23" s="1"/>
  <c r="B137" i="23" s="1"/>
  <c r="O131" i="23"/>
  <c r="O165" i="23"/>
  <c r="G41" i="54"/>
  <c r="G137" i="55" s="1"/>
  <c r="G177" i="23"/>
  <c r="G180" i="6" s="1"/>
  <c r="C41" i="54"/>
  <c r="C177" i="23"/>
  <c r="F41" i="54"/>
  <c r="F137" i="55" s="1"/>
  <c r="F177" i="23"/>
  <c r="F180" i="6" s="1"/>
  <c r="B41" i="54"/>
  <c r="B177" i="23"/>
  <c r="D139" i="5"/>
  <c r="N41" i="54"/>
  <c r="N177" i="23"/>
  <c r="N180" i="6" s="1"/>
  <c r="R41" i="54"/>
  <c r="R177" i="23"/>
  <c r="R180" i="6" s="1"/>
  <c r="M41" i="54"/>
  <c r="M177" i="23"/>
  <c r="Q196" i="6"/>
  <c r="K196" i="6"/>
  <c r="J89" i="19"/>
  <c r="P97" i="23" s="1"/>
  <c r="N90" i="6"/>
  <c r="M90" i="6"/>
  <c r="K96" i="16"/>
  <c r="I73" i="22"/>
  <c r="O108" i="23" s="1"/>
  <c r="E139" i="5"/>
  <c r="P177" i="23"/>
  <c r="P180" i="6" s="1"/>
  <c r="E53" i="54"/>
  <c r="E189" i="23"/>
  <c r="I124" i="23"/>
  <c r="C124" i="23"/>
  <c r="C126" i="23" s="1"/>
  <c r="B124" i="23"/>
  <c r="B126" i="23" s="1"/>
  <c r="K29" i="54"/>
  <c r="K154" i="23"/>
  <c r="K158" i="23" s="1"/>
  <c r="J29" i="54"/>
  <c r="J154" i="23"/>
  <c r="J158" i="23" s="1"/>
  <c r="G17" i="54"/>
  <c r="G105" i="55" s="1"/>
  <c r="G85" i="23"/>
  <c r="H29" i="54"/>
  <c r="H154" i="23"/>
  <c r="H158" i="23" s="1"/>
  <c r="F17" i="54"/>
  <c r="F105" i="55" s="1"/>
  <c r="F85" i="23"/>
  <c r="D17" i="54"/>
  <c r="D85" i="23"/>
  <c r="D89" i="23" s="1"/>
  <c r="D91" i="23" s="1"/>
  <c r="B17" i="54"/>
  <c r="B85" i="23"/>
  <c r="B89" i="23" s="1"/>
  <c r="B91" i="23" s="1"/>
  <c r="F29" i="54"/>
  <c r="F124" i="55" s="1"/>
  <c r="F154" i="23"/>
  <c r="D29" i="54"/>
  <c r="D154" i="23"/>
  <c r="D158" i="23" s="1"/>
  <c r="D160" i="23" s="1"/>
  <c r="B29" i="54"/>
  <c r="B154" i="23"/>
  <c r="B158" i="23" s="1"/>
  <c r="B160" i="23" s="1"/>
  <c r="I29" i="54"/>
  <c r="I154" i="23"/>
  <c r="I158" i="23" s="1"/>
  <c r="E29" i="54"/>
  <c r="E154" i="23"/>
  <c r="E158" i="23" s="1"/>
  <c r="E160" i="23" s="1"/>
  <c r="C29" i="54"/>
  <c r="C154" i="23"/>
  <c r="C158" i="23" s="1"/>
  <c r="C160" i="23" s="1"/>
  <c r="J17" i="54"/>
  <c r="J85" i="23"/>
  <c r="J89" i="23" s="1"/>
  <c r="H17" i="54"/>
  <c r="H85" i="23"/>
  <c r="H89" i="23" s="1"/>
  <c r="C17" i="54"/>
  <c r="C85" i="23"/>
  <c r="C89" i="23" s="1"/>
  <c r="C91" i="23" s="1"/>
  <c r="E17" i="54"/>
  <c r="E85" i="23"/>
  <c r="E89" i="23" s="1"/>
  <c r="E91" i="23" s="1"/>
  <c r="H165" i="23"/>
  <c r="H169" i="23" s="1"/>
  <c r="H131" i="23"/>
  <c r="H135" i="23" s="1"/>
  <c r="D165" i="23"/>
  <c r="D169" i="23" s="1"/>
  <c r="D171" i="23" s="1"/>
  <c r="D131" i="23"/>
  <c r="D135" i="23" s="1"/>
  <c r="D137" i="23" s="1"/>
  <c r="M131" i="23"/>
  <c r="M135" i="23" s="1"/>
  <c r="M165" i="23"/>
  <c r="M169" i="23" s="1"/>
  <c r="E41" i="54"/>
  <c r="E177" i="23"/>
  <c r="J41" i="54"/>
  <c r="J177" i="23"/>
  <c r="D41" i="54"/>
  <c r="D177" i="23"/>
  <c r="I41" i="54"/>
  <c r="I177" i="23"/>
  <c r="L41" i="54"/>
  <c r="L177" i="23"/>
  <c r="B139" i="5"/>
  <c r="H41" i="54"/>
  <c r="H177" i="23"/>
  <c r="K41" i="54"/>
  <c r="K177" i="23"/>
  <c r="K180" i="6" s="1"/>
  <c r="O41" i="54"/>
  <c r="O137" i="55" s="1"/>
  <c r="O177" i="23"/>
  <c r="O180" i="6" s="1"/>
  <c r="L196" i="6"/>
  <c r="G119" i="6"/>
  <c r="Y51" i="18"/>
  <c r="J120" i="23" s="1"/>
  <c r="J98" i="18"/>
  <c r="P120" i="23" s="1"/>
  <c r="X38" i="19"/>
  <c r="I97" i="23" s="1"/>
  <c r="R38" i="19"/>
  <c r="C97" i="23" s="1"/>
  <c r="Y55" i="19"/>
  <c r="V55" i="19"/>
  <c r="J98" i="20"/>
  <c r="P142" i="23" s="1"/>
  <c r="J96" i="21"/>
  <c r="J90" i="22"/>
  <c r="J73" i="22"/>
  <c r="P108" i="23" s="1"/>
  <c r="M73" i="22"/>
  <c r="S108" i="23" s="1"/>
  <c r="S112" i="23" s="1"/>
  <c r="E90" i="6"/>
  <c r="D90" i="6"/>
  <c r="E73" i="22"/>
  <c r="K108" i="23" s="1"/>
  <c r="K112" i="23" s="1"/>
  <c r="L73" i="22"/>
  <c r="R108" i="23" s="1"/>
  <c r="R112" i="23" s="1"/>
  <c r="G73" i="22"/>
  <c r="M108" i="23" s="1"/>
  <c r="M112" i="23" s="1"/>
  <c r="K162" i="6"/>
  <c r="S121" i="6"/>
  <c r="N121" i="6"/>
  <c r="M162" i="6"/>
  <c r="K21" i="6"/>
  <c r="Q64" i="6"/>
  <c r="L121" i="6"/>
  <c r="R14" i="6"/>
  <c r="Q14" i="6"/>
  <c r="R162" i="6"/>
  <c r="Q162" i="6"/>
  <c r="M121" i="6"/>
  <c r="S162" i="6"/>
  <c r="N162" i="6"/>
  <c r="R21" i="6"/>
  <c r="Q121" i="6"/>
  <c r="K64" i="6"/>
  <c r="K95" i="6"/>
  <c r="L162" i="6"/>
  <c r="L64" i="6"/>
  <c r="N182" i="6"/>
  <c r="S95" i="6"/>
  <c r="L176" i="6"/>
  <c r="Q176" i="6"/>
  <c r="K176" i="6"/>
  <c r="R176" i="6"/>
  <c r="K94" i="6"/>
  <c r="K134" i="6"/>
  <c r="M134" i="6"/>
  <c r="Q134" i="6"/>
  <c r="L134" i="6"/>
  <c r="N134" i="6"/>
  <c r="U30" i="22"/>
  <c r="F108" i="23" s="1"/>
  <c r="Q30" i="22"/>
  <c r="B108" i="23" s="1"/>
  <c r="B112" i="23" s="1"/>
  <c r="B114" i="23" s="1"/>
  <c r="X47" i="22"/>
  <c r="R47" i="22"/>
  <c r="T30" i="22"/>
  <c r="E108" i="23" s="1"/>
  <c r="E112" i="23" s="1"/>
  <c r="E114" i="23" s="1"/>
  <c r="W30" i="22"/>
  <c r="H108" i="23" s="1"/>
  <c r="H112" i="23" s="1"/>
  <c r="S30" i="22"/>
  <c r="D108" i="23" s="1"/>
  <c r="D112" i="23" s="1"/>
  <c r="D114" i="23" s="1"/>
  <c r="T47" i="22"/>
  <c r="X30" i="22"/>
  <c r="I108" i="23" s="1"/>
  <c r="I112" i="23" s="1"/>
  <c r="R30" i="22"/>
  <c r="C108" i="23" s="1"/>
  <c r="C112" i="23" s="1"/>
  <c r="C114" i="23" s="1"/>
  <c r="V47" i="22"/>
  <c r="V30" i="22"/>
  <c r="G108" i="23" s="1"/>
  <c r="Y47" i="22"/>
  <c r="Y30" i="22"/>
  <c r="J108" i="23" s="1"/>
  <c r="J112" i="23" s="1"/>
  <c r="H73" i="23"/>
  <c r="H78" i="23" s="1"/>
  <c r="D73" i="23"/>
  <c r="D78" i="23" s="1"/>
  <c r="D80" i="23" s="1"/>
  <c r="E73" i="23"/>
  <c r="E78" i="23" s="1"/>
  <c r="E80" i="23" s="1"/>
  <c r="V51" i="20"/>
  <c r="G142" i="23" s="1"/>
  <c r="I73" i="23"/>
  <c r="I78" i="23" s="1"/>
  <c r="F73" i="23"/>
  <c r="B73" i="23"/>
  <c r="B78" i="23" s="1"/>
  <c r="B80" i="23" s="1"/>
  <c r="C73" i="23"/>
  <c r="C78" i="23" s="1"/>
  <c r="C80" i="23" s="1"/>
  <c r="J73" i="23"/>
  <c r="J78" i="23" s="1"/>
  <c r="Y51" i="20"/>
  <c r="J142" i="23" s="1"/>
  <c r="J147" i="23" s="1"/>
  <c r="W38" i="19"/>
  <c r="H97" i="23" s="1"/>
  <c r="S38" i="19"/>
  <c r="D97" i="23" s="1"/>
  <c r="V38" i="19"/>
  <c r="G97" i="23" s="1"/>
  <c r="T38" i="19"/>
  <c r="E97" i="23" s="1"/>
  <c r="U38" i="19"/>
  <c r="F97" i="23" s="1"/>
  <c r="Q38" i="19"/>
  <c r="B97" i="23" s="1"/>
  <c r="R55" i="19"/>
  <c r="S50" i="16"/>
  <c r="X50" i="16"/>
  <c r="V50" i="16"/>
  <c r="U50" i="16"/>
  <c r="W50" i="16"/>
  <c r="Q50" i="16"/>
  <c r="Y50" i="16"/>
  <c r="R50" i="16"/>
  <c r="K73" i="21"/>
  <c r="V50" i="21"/>
  <c r="V51" i="18"/>
  <c r="G120" i="23" s="1"/>
  <c r="X37" i="17"/>
  <c r="I5" i="23" s="1"/>
  <c r="R37" i="17"/>
  <c r="C5" i="23" s="1"/>
  <c r="U37" i="17"/>
  <c r="F5" i="23" s="1"/>
  <c r="Q37" i="17"/>
  <c r="B5" i="23" s="1"/>
  <c r="V37" i="17"/>
  <c r="G5" i="23" s="1"/>
  <c r="T37" i="17"/>
  <c r="E5" i="23" s="1"/>
  <c r="W37" i="17"/>
  <c r="H5" i="23" s="1"/>
  <c r="S37" i="17"/>
  <c r="D5" i="23" s="1"/>
  <c r="Y37" i="17"/>
  <c r="J5" i="23" s="1"/>
  <c r="S61" i="17"/>
  <c r="D51" i="23" s="1"/>
  <c r="X27" i="21"/>
  <c r="R27" i="21"/>
  <c r="W27" i="21"/>
  <c r="V27" i="21"/>
  <c r="Y27" i="21"/>
  <c r="Q27" i="21"/>
  <c r="T27" i="21"/>
  <c r="S27" i="21"/>
  <c r="U27" i="21"/>
  <c r="W27" i="20"/>
  <c r="H27" i="23" s="1"/>
  <c r="H32" i="23" s="1"/>
  <c r="S27" i="20"/>
  <c r="D27" i="23" s="1"/>
  <c r="D32" i="23" s="1"/>
  <c r="D34" i="23" s="1"/>
  <c r="X27" i="20"/>
  <c r="I27" i="23" s="1"/>
  <c r="I32" i="23" s="1"/>
  <c r="R27" i="20"/>
  <c r="C27" i="23" s="1"/>
  <c r="C32" i="23" s="1"/>
  <c r="C34" i="23" s="1"/>
  <c r="Y27" i="20"/>
  <c r="J27" i="23" s="1"/>
  <c r="J32" i="23" s="1"/>
  <c r="U27" i="20"/>
  <c r="F27" i="23" s="1"/>
  <c r="Q27" i="20"/>
  <c r="B27" i="23" s="1"/>
  <c r="B32" i="23" s="1"/>
  <c r="B34" i="23" s="1"/>
  <c r="T27" i="20"/>
  <c r="E27" i="23" s="1"/>
  <c r="E32" i="23" s="1"/>
  <c r="E34" i="23" s="1"/>
  <c r="V27" i="20"/>
  <c r="G27" i="23" s="1"/>
  <c r="V27" i="18"/>
  <c r="G16" i="23" s="1"/>
  <c r="R27" i="18"/>
  <c r="C16" i="23" s="1"/>
  <c r="C20" i="23" s="1"/>
  <c r="C22" i="23" s="1"/>
  <c r="W27" i="18"/>
  <c r="H16" i="23" s="1"/>
  <c r="H20" i="23" s="1"/>
  <c r="S27" i="18"/>
  <c r="D16" i="23" s="1"/>
  <c r="D20" i="23" s="1"/>
  <c r="D22" i="23" s="1"/>
  <c r="X27" i="18"/>
  <c r="I16" i="23" s="1"/>
  <c r="I20" i="23" s="1"/>
  <c r="T27" i="18"/>
  <c r="E16" i="23" s="1"/>
  <c r="E20" i="23" s="1"/>
  <c r="E22" i="23" s="1"/>
  <c r="Y27" i="18"/>
  <c r="J16" i="23" s="1"/>
  <c r="J20" i="23" s="1"/>
  <c r="U27" i="18"/>
  <c r="F16" i="23" s="1"/>
  <c r="Q27" i="18"/>
  <c r="B16" i="23" s="1"/>
  <c r="B20" i="23" s="1"/>
  <c r="B22" i="23" s="1"/>
  <c r="M101" i="17"/>
  <c r="I93" i="17"/>
  <c r="E93" i="17"/>
  <c r="Q21" i="6"/>
  <c r="AN136" i="3"/>
  <c r="Q19" i="5" s="1"/>
  <c r="AH136" i="3"/>
  <c r="K19" i="5" s="1"/>
  <c r="AO136" i="3"/>
  <c r="R19" i="5" s="1"/>
  <c r="R50" i="6"/>
  <c r="M65" i="16"/>
  <c r="M66" i="16" s="1"/>
  <c r="E12" i="6"/>
  <c r="L95" i="16"/>
  <c r="L96" i="16" s="1"/>
  <c r="G65" i="21"/>
  <c r="M62" i="6" s="1"/>
  <c r="J72" i="21"/>
  <c r="P62" i="6" s="1"/>
  <c r="L81" i="19"/>
  <c r="J95" i="16"/>
  <c r="J96" i="16" s="1"/>
  <c r="E81" i="19"/>
  <c r="P12" i="6"/>
  <c r="J108" i="17"/>
  <c r="J118" i="17" s="1"/>
  <c r="P51" i="23" s="1"/>
  <c r="P119" i="6" s="1"/>
  <c r="F88" i="18"/>
  <c r="F98" i="18" s="1"/>
  <c r="L120" i="23" s="1"/>
  <c r="M66" i="18"/>
  <c r="G105" i="19"/>
  <c r="G106" i="19" s="1"/>
  <c r="E97" i="20"/>
  <c r="M81" i="20"/>
  <c r="M82" i="20" s="1"/>
  <c r="S73" i="23" s="1"/>
  <c r="S78" i="23" s="1"/>
  <c r="G88" i="20"/>
  <c r="E88" i="20"/>
  <c r="F81" i="20"/>
  <c r="F82" i="20" s="1"/>
  <c r="L73" i="23" s="1"/>
  <c r="L78" i="23" s="1"/>
  <c r="E65" i="21"/>
  <c r="K62" i="55" s="1"/>
  <c r="M65" i="21"/>
  <c r="S62" i="55" s="1"/>
  <c r="I101" i="17"/>
  <c r="G95" i="21"/>
  <c r="M95" i="21"/>
  <c r="H66" i="18"/>
  <c r="N48" i="55" s="1"/>
  <c r="E66" i="18"/>
  <c r="K48" i="6" s="1"/>
  <c r="S12" i="6"/>
  <c r="H16" i="6"/>
  <c r="J16" i="6"/>
  <c r="K50" i="6"/>
  <c r="Q50" i="6"/>
  <c r="E96" i="5"/>
  <c r="E98" i="5" s="1"/>
  <c r="D96" i="5"/>
  <c r="D98" i="5" s="1"/>
  <c r="E121" i="9"/>
  <c r="K93" i="5" s="1"/>
  <c r="K96" i="5" s="1"/>
  <c r="L80" i="22"/>
  <c r="L90" i="22" s="1"/>
  <c r="K65" i="22"/>
  <c r="M73" i="20"/>
  <c r="H80" i="21"/>
  <c r="H81" i="21" s="1"/>
  <c r="F80" i="21"/>
  <c r="F81" i="21" s="1"/>
  <c r="J55" i="6"/>
  <c r="G55" i="6"/>
  <c r="H96" i="19"/>
  <c r="K88" i="19"/>
  <c r="H88" i="19"/>
  <c r="F88" i="19"/>
  <c r="M81" i="19"/>
  <c r="G81" i="19"/>
  <c r="I81" i="19"/>
  <c r="M72" i="19"/>
  <c r="E88" i="18"/>
  <c r="E98" i="18" s="1"/>
  <c r="K120" i="23" s="1"/>
  <c r="K66" i="18"/>
  <c r="Q48" i="55" s="1"/>
  <c r="F66" i="18"/>
  <c r="G66" i="18"/>
  <c r="M48" i="55" s="1"/>
  <c r="L66" i="18"/>
  <c r="R48" i="55" s="1"/>
  <c r="I66" i="18"/>
  <c r="O48" i="55" s="1"/>
  <c r="P48" i="6"/>
  <c r="H101" i="17"/>
  <c r="L101" i="17"/>
  <c r="K101" i="17"/>
  <c r="E101" i="17"/>
  <c r="G101" i="17"/>
  <c r="F101" i="17"/>
  <c r="I48" i="6"/>
  <c r="E48" i="6"/>
  <c r="J48" i="6"/>
  <c r="F48" i="6"/>
  <c r="B48" i="6"/>
  <c r="G48" i="6"/>
  <c r="C48" i="6"/>
  <c r="H48" i="6"/>
  <c r="D48" i="6"/>
  <c r="I62" i="6"/>
  <c r="C62" i="6"/>
  <c r="H62" i="6"/>
  <c r="G62" i="6"/>
  <c r="B62" i="6"/>
  <c r="E62" i="6"/>
  <c r="L62" i="6"/>
  <c r="O62" i="6"/>
  <c r="D62" i="6"/>
  <c r="Q62" i="6"/>
  <c r="J62" i="6"/>
  <c r="F62" i="6"/>
  <c r="R62" i="6"/>
  <c r="F55" i="6"/>
  <c r="B55" i="6"/>
  <c r="E55" i="6"/>
  <c r="H55" i="6"/>
  <c r="D55" i="6"/>
  <c r="I55" i="6"/>
  <c r="C55" i="6"/>
  <c r="I95" i="16"/>
  <c r="O12" i="6" s="1"/>
  <c r="E95" i="16"/>
  <c r="K12" i="6" s="1"/>
  <c r="K16" i="6"/>
  <c r="G95" i="16"/>
  <c r="M16" i="6" s="1"/>
  <c r="N16" i="6"/>
  <c r="J12" i="6"/>
  <c r="F12" i="6"/>
  <c r="B12" i="6"/>
  <c r="G12" i="6"/>
  <c r="L16" i="6"/>
  <c r="I12" i="6"/>
  <c r="D12" i="6"/>
  <c r="L12" i="6"/>
  <c r="Q12" i="6"/>
  <c r="I16" i="6"/>
  <c r="Q57" i="6"/>
  <c r="R57" i="6"/>
  <c r="S14" i="6"/>
  <c r="M21" i="6"/>
  <c r="S50" i="6"/>
  <c r="N50" i="6"/>
  <c r="S57" i="6"/>
  <c r="N57" i="6"/>
  <c r="S21" i="6"/>
  <c r="N21" i="6"/>
  <c r="S64" i="6"/>
  <c r="M50" i="6"/>
  <c r="M57" i="6"/>
  <c r="AJ136" i="3"/>
  <c r="AF136" i="3"/>
  <c r="L19" i="5" s="1"/>
  <c r="AK136" i="3"/>
  <c r="R16" i="6"/>
  <c r="AN175" i="3"/>
  <c r="Q148" i="5" s="1"/>
  <c r="AH175" i="3"/>
  <c r="K148" i="5" s="1"/>
  <c r="AI166" i="3"/>
  <c r="K72" i="22"/>
  <c r="F65" i="22"/>
  <c r="H72" i="22"/>
  <c r="F72" i="22"/>
  <c r="H65" i="22"/>
  <c r="H56" i="22"/>
  <c r="K56" i="22"/>
  <c r="F56" i="22"/>
  <c r="K80" i="22"/>
  <c r="K90" i="22" s="1"/>
  <c r="F80" i="22"/>
  <c r="F90" i="22" s="1"/>
  <c r="H80" i="22"/>
  <c r="H90" i="22" s="1"/>
  <c r="L95" i="21"/>
  <c r="H95" i="21"/>
  <c r="L80" i="21"/>
  <c r="L81" i="21" s="1"/>
  <c r="F95" i="21"/>
  <c r="H72" i="21"/>
  <c r="H73" i="21" s="1"/>
  <c r="M87" i="21"/>
  <c r="M96" i="21" s="1"/>
  <c r="K87" i="21"/>
  <c r="K96" i="21" s="1"/>
  <c r="G87" i="21"/>
  <c r="L87" i="21"/>
  <c r="L96" i="21" s="1"/>
  <c r="H87" i="21"/>
  <c r="H96" i="21" s="1"/>
  <c r="F87" i="21"/>
  <c r="K66" i="20"/>
  <c r="F66" i="20"/>
  <c r="I66" i="20"/>
  <c r="E66" i="20"/>
  <c r="H81" i="20"/>
  <c r="H82" i="20" s="1"/>
  <c r="N73" i="23" s="1"/>
  <c r="N78" i="23" s="1"/>
  <c r="H66" i="20"/>
  <c r="L66" i="20"/>
  <c r="G66" i="20"/>
  <c r="K88" i="20"/>
  <c r="E73" i="20"/>
  <c r="M97" i="20"/>
  <c r="M98" i="20" s="1"/>
  <c r="S142" i="23" s="1"/>
  <c r="S147" i="23" s="1"/>
  <c r="I88" i="20"/>
  <c r="I73" i="20"/>
  <c r="H88" i="20"/>
  <c r="I97" i="20"/>
  <c r="L97" i="20"/>
  <c r="H97" i="20"/>
  <c r="H73" i="20"/>
  <c r="K97" i="20"/>
  <c r="G97" i="20"/>
  <c r="L73" i="20"/>
  <c r="G73" i="20"/>
  <c r="F97" i="20"/>
  <c r="K73" i="20"/>
  <c r="F73" i="20"/>
  <c r="L88" i="20"/>
  <c r="L98" i="20" s="1"/>
  <c r="R142" i="23" s="1"/>
  <c r="R147" i="23" s="1"/>
  <c r="F88" i="20"/>
  <c r="F98" i="20" s="1"/>
  <c r="L142" i="23" s="1"/>
  <c r="L147" i="23" s="1"/>
  <c r="E105" i="19"/>
  <c r="E106" i="19" s="1"/>
  <c r="I105" i="19"/>
  <c r="F96" i="19"/>
  <c r="I96" i="19"/>
  <c r="I106" i="19" s="1"/>
  <c r="L96" i="19"/>
  <c r="I65" i="19"/>
  <c r="E65" i="19"/>
  <c r="G65" i="19"/>
  <c r="L65" i="19"/>
  <c r="H81" i="19"/>
  <c r="L105" i="19"/>
  <c r="K81" i="19"/>
  <c r="F81" i="19"/>
  <c r="K72" i="19"/>
  <c r="F72" i="19"/>
  <c r="F105" i="19"/>
  <c r="K96" i="19"/>
  <c r="K106" i="19" s="1"/>
  <c r="I72" i="19"/>
  <c r="E72" i="19"/>
  <c r="K65" i="19"/>
  <c r="F65" i="19"/>
  <c r="H72" i="19"/>
  <c r="H105" i="19"/>
  <c r="L72" i="19"/>
  <c r="G72" i="19"/>
  <c r="H65" i="19"/>
  <c r="I88" i="18"/>
  <c r="I98" i="18" s="1"/>
  <c r="O120" i="23" s="1"/>
  <c r="G88" i="18"/>
  <c r="G98" i="18" s="1"/>
  <c r="M120" i="23" s="1"/>
  <c r="K88" i="18"/>
  <c r="H88" i="18"/>
  <c r="H98" i="18" s="1"/>
  <c r="N120" i="23" s="1"/>
  <c r="M88" i="18"/>
  <c r="M98" i="18" s="1"/>
  <c r="S120" i="23" s="1"/>
  <c r="L88" i="18"/>
  <c r="L98" i="18" s="1"/>
  <c r="R120" i="23" s="1"/>
  <c r="J71" i="17"/>
  <c r="J94" i="17" s="1"/>
  <c r="P5" i="23" s="1"/>
  <c r="M93" i="17"/>
  <c r="M84" i="17"/>
  <c r="M71" i="17"/>
  <c r="I84" i="17"/>
  <c r="E84" i="17"/>
  <c r="L84" i="17"/>
  <c r="G84" i="17"/>
  <c r="L93" i="17"/>
  <c r="G93" i="17"/>
  <c r="M117" i="17"/>
  <c r="I71" i="17"/>
  <c r="E71" i="17"/>
  <c r="L71" i="17"/>
  <c r="G71" i="17"/>
  <c r="M108" i="17"/>
  <c r="E117" i="17"/>
  <c r="K117" i="17"/>
  <c r="F117" i="17"/>
  <c r="I108" i="17"/>
  <c r="E108" i="17"/>
  <c r="I117" i="17"/>
  <c r="K108" i="17"/>
  <c r="F108" i="17"/>
  <c r="H93" i="17"/>
  <c r="H84" i="17"/>
  <c r="K71" i="17"/>
  <c r="F71" i="17"/>
  <c r="H117" i="17"/>
  <c r="L108" i="17"/>
  <c r="G108" i="17"/>
  <c r="L117" i="17"/>
  <c r="G117" i="17"/>
  <c r="H108" i="17"/>
  <c r="K93" i="17"/>
  <c r="F93" i="17"/>
  <c r="K84" i="17"/>
  <c r="F84" i="17"/>
  <c r="H71" i="17"/>
  <c r="AJ166" i="3"/>
  <c r="AF166" i="3"/>
  <c r="AN166" i="3"/>
  <c r="AH166" i="3"/>
  <c r="AO166" i="3"/>
  <c r="AF152" i="3"/>
  <c r="L85" i="5" s="1"/>
  <c r="AN152" i="3"/>
  <c r="Q85" i="5" s="1"/>
  <c r="AH152" i="3"/>
  <c r="K85" i="5" s="1"/>
  <c r="AO152" i="3"/>
  <c r="R85" i="5" s="1"/>
  <c r="H121" i="9"/>
  <c r="N93" i="5" s="1"/>
  <c r="N96" i="5" s="1"/>
  <c r="I121" i="9"/>
  <c r="O93" i="5" s="1"/>
  <c r="G121" i="9"/>
  <c r="M93" i="5" s="1"/>
  <c r="M96" i="5" s="1"/>
  <c r="M121" i="9"/>
  <c r="S93" i="5" s="1"/>
  <c r="K121" i="9"/>
  <c r="Q93" i="5" s="1"/>
  <c r="Q96" i="5" s="1"/>
  <c r="F121" i="9"/>
  <c r="L93" i="5" s="1"/>
  <c r="L96" i="5" s="1"/>
  <c r="L121" i="9"/>
  <c r="R93" i="5" s="1"/>
  <c r="N53" i="54" l="1"/>
  <c r="N189" i="23"/>
  <c r="N12" i="55"/>
  <c r="K85" i="23"/>
  <c r="K89" i="23" s="1"/>
  <c r="O154" i="23"/>
  <c r="R12" i="6"/>
  <c r="H89" i="19"/>
  <c r="N97" i="23" s="1"/>
  <c r="M74" i="20"/>
  <c r="S27" i="23" s="1"/>
  <c r="S32" i="23" s="1"/>
  <c r="S48" i="6"/>
  <c r="K181" i="23"/>
  <c r="S165" i="23"/>
  <c r="S169" i="23" s="1"/>
  <c r="K98" i="18"/>
  <c r="Q120" i="23" s="1"/>
  <c r="Q124" i="23" s="1"/>
  <c r="F89" i="19"/>
  <c r="L97" i="23" s="1"/>
  <c r="K182" i="6"/>
  <c r="K165" i="23"/>
  <c r="K169" i="23" s="1"/>
  <c r="F73" i="22"/>
  <c r="L108" i="23" s="1"/>
  <c r="L112" i="23" s="1"/>
  <c r="K73" i="22"/>
  <c r="Q108" i="23" s="1"/>
  <c r="Q112" i="23" s="1"/>
  <c r="F140" i="6"/>
  <c r="N184" i="6"/>
  <c r="L94" i="17"/>
  <c r="R5" i="23" s="1"/>
  <c r="R9" i="23" s="1"/>
  <c r="I94" i="17"/>
  <c r="O5" i="23" s="1"/>
  <c r="K89" i="19"/>
  <c r="Q97" i="23" s="1"/>
  <c r="Q101" i="23" s="1"/>
  <c r="G96" i="21"/>
  <c r="M29" i="54" s="1"/>
  <c r="S55" i="6"/>
  <c r="F119" i="6"/>
  <c r="N181" i="23"/>
  <c r="L19" i="6"/>
  <c r="L19" i="55"/>
  <c r="M19" i="6"/>
  <c r="M19" i="55"/>
  <c r="S19" i="6"/>
  <c r="S19" i="55"/>
  <c r="F74" i="18"/>
  <c r="L16" i="23" s="1"/>
  <c r="L20" i="23" s="1"/>
  <c r="L48" i="55"/>
  <c r="E74" i="18"/>
  <c r="K16" i="23" s="1"/>
  <c r="K20" i="23" s="1"/>
  <c r="K48" i="55"/>
  <c r="K19" i="6"/>
  <c r="K19" i="55"/>
  <c r="L45" i="54"/>
  <c r="L137" i="55"/>
  <c r="L141" i="55" s="1"/>
  <c r="L142" i="55" s="1"/>
  <c r="I45" i="54"/>
  <c r="I137" i="55"/>
  <c r="I141" i="55" s="1"/>
  <c r="I142" i="55" s="1"/>
  <c r="D45" i="54"/>
  <c r="D47" i="54" s="1"/>
  <c r="D137" i="55"/>
  <c r="D141" i="55" s="1"/>
  <c r="D142" i="55" s="1"/>
  <c r="J45" i="54"/>
  <c r="J137" i="55"/>
  <c r="J141" i="55" s="1"/>
  <c r="J142" i="55" s="1"/>
  <c r="E45" i="54"/>
  <c r="E47" i="54" s="1"/>
  <c r="E137" i="55"/>
  <c r="E141" i="55" s="1"/>
  <c r="E142" i="55" s="1"/>
  <c r="E21" i="54"/>
  <c r="E23" i="54" s="1"/>
  <c r="E105" i="55"/>
  <c r="E109" i="55" s="1"/>
  <c r="C21" i="54"/>
  <c r="C23" i="54" s="1"/>
  <c r="C105" i="55"/>
  <c r="C109" i="55" s="1"/>
  <c r="H21" i="54"/>
  <c r="H105" i="55"/>
  <c r="H109" i="55" s="1"/>
  <c r="J21" i="54"/>
  <c r="J105" i="55"/>
  <c r="J109" i="55" s="1"/>
  <c r="C33" i="54"/>
  <c r="C35" i="54" s="1"/>
  <c r="C124" i="55"/>
  <c r="C128" i="55" s="1"/>
  <c r="E33" i="54"/>
  <c r="E35" i="54" s="1"/>
  <c r="E124" i="55"/>
  <c r="E128" i="55" s="1"/>
  <c r="I33" i="54"/>
  <c r="I124" i="55"/>
  <c r="I128" i="55" s="1"/>
  <c r="B33" i="54"/>
  <c r="B35" i="54" s="1"/>
  <c r="B124" i="55"/>
  <c r="B128" i="55" s="1"/>
  <c r="D33" i="54"/>
  <c r="D35" i="54" s="1"/>
  <c r="D124" i="55"/>
  <c r="D128" i="55" s="1"/>
  <c r="B21" i="54"/>
  <c r="B23" i="54" s="1"/>
  <c r="B105" i="55"/>
  <c r="B109" i="55" s="1"/>
  <c r="D21" i="54"/>
  <c r="D23" i="54" s="1"/>
  <c r="D105" i="55"/>
  <c r="D109" i="55" s="1"/>
  <c r="H33" i="54"/>
  <c r="H124" i="55"/>
  <c r="H128" i="55" s="1"/>
  <c r="J33" i="54"/>
  <c r="J124" i="55"/>
  <c r="J128" i="55" s="1"/>
  <c r="K33" i="54"/>
  <c r="K124" i="55"/>
  <c r="K128" i="55" s="1"/>
  <c r="B45" i="54"/>
  <c r="B47" i="54" s="1"/>
  <c r="B137" i="55"/>
  <c r="B141" i="55" s="1"/>
  <c r="B142" i="55" s="1"/>
  <c r="C45" i="54"/>
  <c r="C47" i="54" s="1"/>
  <c r="C137" i="55"/>
  <c r="C141" i="55" s="1"/>
  <c r="C142" i="55" s="1"/>
  <c r="I21" i="54"/>
  <c r="I105" i="55"/>
  <c r="I109" i="55" s="1"/>
  <c r="R9" i="54"/>
  <c r="R86" i="55"/>
  <c r="R90" i="55" s="1"/>
  <c r="R91" i="55" s="1"/>
  <c r="Q21" i="54"/>
  <c r="Q105" i="55"/>
  <c r="Q109" i="55" s="1"/>
  <c r="S21" i="54"/>
  <c r="S105" i="55"/>
  <c r="S109" i="55" s="1"/>
  <c r="K21" i="54"/>
  <c r="K105" i="55"/>
  <c r="K109" i="55" s="1"/>
  <c r="M21" i="54"/>
  <c r="M105" i="55"/>
  <c r="M109" i="55" s="1"/>
  <c r="L9" i="54"/>
  <c r="L86" i="55"/>
  <c r="L90" i="55" s="1"/>
  <c r="L91" i="55" s="1"/>
  <c r="Q45" i="54"/>
  <c r="Q137" i="55"/>
  <c r="Q141" i="55" s="1"/>
  <c r="Q142" i="55" s="1"/>
  <c r="S58" i="54"/>
  <c r="S150" i="55"/>
  <c r="S155" i="55" s="1"/>
  <c r="S156" i="55" s="1"/>
  <c r="R55" i="55"/>
  <c r="O55" i="55"/>
  <c r="Q55" i="55"/>
  <c r="P12" i="55"/>
  <c r="O12" i="55"/>
  <c r="P62" i="55"/>
  <c r="Q19" i="6"/>
  <c r="Q19" i="55"/>
  <c r="N19" i="6"/>
  <c r="N19" i="55"/>
  <c r="R19" i="6"/>
  <c r="R19" i="55"/>
  <c r="M74" i="18"/>
  <c r="S16" i="23" s="1"/>
  <c r="S20" i="23" s="1"/>
  <c r="S48" i="55"/>
  <c r="G73" i="21"/>
  <c r="M39" i="23" s="1"/>
  <c r="M43" i="23" s="1"/>
  <c r="M62" i="55"/>
  <c r="O19" i="6"/>
  <c r="O19" i="55"/>
  <c r="K45" i="54"/>
  <c r="K137" i="55"/>
  <c r="K141" i="55" s="1"/>
  <c r="K142" i="55" s="1"/>
  <c r="H45" i="54"/>
  <c r="H137" i="55"/>
  <c r="H141" i="55" s="1"/>
  <c r="H142" i="55" s="1"/>
  <c r="N58" i="54"/>
  <c r="N150" i="55"/>
  <c r="N155" i="55" s="1"/>
  <c r="N156" i="55" s="1"/>
  <c r="E58" i="54"/>
  <c r="E60" i="54" s="1"/>
  <c r="E150" i="55"/>
  <c r="E155" i="55" s="1"/>
  <c r="E156" i="55" s="1"/>
  <c r="M45" i="54"/>
  <c r="M137" i="55"/>
  <c r="M141" i="55" s="1"/>
  <c r="M142" i="55" s="1"/>
  <c r="R45" i="54"/>
  <c r="R137" i="55"/>
  <c r="R141" i="55" s="1"/>
  <c r="R142" i="55" s="1"/>
  <c r="N45" i="54"/>
  <c r="N137" i="55"/>
  <c r="N141" i="55" s="1"/>
  <c r="N142" i="55" s="1"/>
  <c r="M55" i="55"/>
  <c r="N55" i="55"/>
  <c r="K55" i="55"/>
  <c r="L55" i="55"/>
  <c r="R12" i="55"/>
  <c r="M12" i="55"/>
  <c r="N62" i="55"/>
  <c r="K12" i="55"/>
  <c r="S55" i="55"/>
  <c r="R95" i="6"/>
  <c r="H94" i="17"/>
  <c r="N5" i="23" s="1"/>
  <c r="N9" i="23" s="1"/>
  <c r="G94" i="17"/>
  <c r="M5" i="23" s="1"/>
  <c r="M9" i="23" s="1"/>
  <c r="E94" i="17"/>
  <c r="K5" i="23" s="1"/>
  <c r="K9" i="23" s="1"/>
  <c r="F96" i="21"/>
  <c r="M89" i="19"/>
  <c r="S97" i="23" s="1"/>
  <c r="S140" i="6" s="1"/>
  <c r="S144" i="6" s="1"/>
  <c r="G140" i="6"/>
  <c r="K184" i="6"/>
  <c r="P53" i="54"/>
  <c r="P150" i="55" s="1"/>
  <c r="P189" i="23"/>
  <c r="P199" i="6" s="1"/>
  <c r="R53" i="54"/>
  <c r="R189" i="23"/>
  <c r="N5" i="54"/>
  <c r="N39" i="23"/>
  <c r="N43" i="23" s="1"/>
  <c r="S101" i="23"/>
  <c r="R124" i="23"/>
  <c r="N124" i="23"/>
  <c r="M124" i="23"/>
  <c r="N101" i="23"/>
  <c r="Q140" i="6"/>
  <c r="Q144" i="6" s="1"/>
  <c r="N29" i="54"/>
  <c r="N154" i="23"/>
  <c r="N158" i="23" s="1"/>
  <c r="M154" i="23"/>
  <c r="M158" i="23" s="1"/>
  <c r="S29" i="54"/>
  <c r="S154" i="23"/>
  <c r="S158" i="23" s="1"/>
  <c r="N165" i="23"/>
  <c r="N169" i="23" s="1"/>
  <c r="N131" i="23"/>
  <c r="N135" i="23" s="1"/>
  <c r="Q131" i="23"/>
  <c r="Q135" i="23" s="1"/>
  <c r="Q165" i="23"/>
  <c r="Q169" i="23" s="1"/>
  <c r="K124" i="23"/>
  <c r="N17" i="54"/>
  <c r="N85" i="23"/>
  <c r="N89" i="23" s="1"/>
  <c r="L124" i="23"/>
  <c r="S41" i="54"/>
  <c r="S177" i="23"/>
  <c r="D5" i="54"/>
  <c r="D39" i="23"/>
  <c r="D43" i="23" s="1"/>
  <c r="D45" i="23" s="1"/>
  <c r="B5" i="54"/>
  <c r="B39" i="23"/>
  <c r="B43" i="23" s="1"/>
  <c r="B45" i="23" s="1"/>
  <c r="G5" i="54"/>
  <c r="G86" i="55" s="1"/>
  <c r="G39" i="23"/>
  <c r="C5" i="54"/>
  <c r="C39" i="23"/>
  <c r="C43" i="23" s="1"/>
  <c r="C45" i="23" s="1"/>
  <c r="D119" i="6"/>
  <c r="D124" i="6" s="1"/>
  <c r="D55" i="23"/>
  <c r="D57" i="23" s="1"/>
  <c r="D9" i="23"/>
  <c r="D11" i="23" s="1"/>
  <c r="D93" i="6"/>
  <c r="D98" i="6" s="1"/>
  <c r="D105" i="6" s="1"/>
  <c r="E9" i="23"/>
  <c r="E11" i="23" s="1"/>
  <c r="B9" i="23"/>
  <c r="B11" i="23" s="1"/>
  <c r="C9" i="23"/>
  <c r="C11" i="23" s="1"/>
  <c r="Q5" i="54"/>
  <c r="Q39" i="23"/>
  <c r="Q43" i="23" s="1"/>
  <c r="C53" i="54"/>
  <c r="C189" i="23"/>
  <c r="B53" i="54"/>
  <c r="B189" i="23"/>
  <c r="F53" i="54"/>
  <c r="F150" i="55" s="1"/>
  <c r="F189" i="23"/>
  <c r="F199" i="6" s="1"/>
  <c r="I53" i="54"/>
  <c r="I189" i="23"/>
  <c r="H140" i="6"/>
  <c r="H144" i="6" s="1"/>
  <c r="H101" i="23"/>
  <c r="E131" i="23"/>
  <c r="E165" i="23"/>
  <c r="E169" i="23" s="1"/>
  <c r="E171" i="23" s="1"/>
  <c r="C131" i="23"/>
  <c r="C165" i="23"/>
  <c r="C169" i="23" s="1"/>
  <c r="C171" i="23" s="1"/>
  <c r="P29" i="54"/>
  <c r="P124" i="55" s="1"/>
  <c r="P154" i="23"/>
  <c r="C140" i="6"/>
  <c r="C144" i="6" s="1"/>
  <c r="C101" i="23"/>
  <c r="C103" i="23" s="1"/>
  <c r="L53" i="54"/>
  <c r="L189" i="23"/>
  <c r="Q53" i="54"/>
  <c r="Q189" i="23"/>
  <c r="M180" i="6"/>
  <c r="M184" i="6" s="1"/>
  <c r="M181" i="23"/>
  <c r="B180" i="6"/>
  <c r="B184" i="6" s="1"/>
  <c r="B181" i="23"/>
  <c r="B183" i="23" s="1"/>
  <c r="C180" i="6"/>
  <c r="C184" i="6" s="1"/>
  <c r="C181" i="23"/>
  <c r="C183" i="23" s="1"/>
  <c r="S199" i="6"/>
  <c r="S204" i="6" s="1"/>
  <c r="S194" i="23"/>
  <c r="F94" i="17"/>
  <c r="L5" i="23" s="1"/>
  <c r="M94" i="17"/>
  <c r="S5" i="23" s="1"/>
  <c r="G89" i="19"/>
  <c r="M97" i="23" s="1"/>
  <c r="I89" i="19"/>
  <c r="O97" i="23" s="1"/>
  <c r="O140" i="6" s="1"/>
  <c r="K98" i="20"/>
  <c r="Q142" i="23" s="1"/>
  <c r="Q147" i="23" s="1"/>
  <c r="F118" i="17"/>
  <c r="L51" i="23" s="1"/>
  <c r="E118" i="17"/>
  <c r="K51" i="23" s="1"/>
  <c r="K119" i="6" s="1"/>
  <c r="L118" i="17"/>
  <c r="R51" i="23" s="1"/>
  <c r="H106" i="19"/>
  <c r="I118" i="17"/>
  <c r="O51" i="23" s="1"/>
  <c r="O119" i="6" s="1"/>
  <c r="E98" i="20"/>
  <c r="K142" i="23" s="1"/>
  <c r="K147" i="23" s="1"/>
  <c r="M118" i="17"/>
  <c r="S51" i="23" s="1"/>
  <c r="I119" i="6"/>
  <c r="I124" i="6" s="1"/>
  <c r="E119" i="6"/>
  <c r="E124" i="6" s="1"/>
  <c r="E96" i="16"/>
  <c r="B160" i="6"/>
  <c r="B165" i="6" s="1"/>
  <c r="S160" i="6"/>
  <c r="S124" i="23"/>
  <c r="L101" i="23"/>
  <c r="L29" i="54"/>
  <c r="L154" i="23"/>
  <c r="L158" i="23" s="1"/>
  <c r="R29" i="54"/>
  <c r="R154" i="23"/>
  <c r="R158" i="23" s="1"/>
  <c r="Q29" i="54"/>
  <c r="Q154" i="23"/>
  <c r="Q158" i="23" s="1"/>
  <c r="R17" i="54"/>
  <c r="R85" i="23"/>
  <c r="R89" i="23" s="1"/>
  <c r="L165" i="23"/>
  <c r="L169" i="23" s="1"/>
  <c r="L131" i="23"/>
  <c r="L135" i="23" s="1"/>
  <c r="L17" i="54"/>
  <c r="L85" i="23"/>
  <c r="L89" i="23" s="1"/>
  <c r="R165" i="23"/>
  <c r="R169" i="23" s="1"/>
  <c r="R131" i="23"/>
  <c r="R135" i="23" s="1"/>
  <c r="M5" i="54"/>
  <c r="F5" i="54"/>
  <c r="F86" i="55" s="1"/>
  <c r="F39" i="23"/>
  <c r="F93" i="6" s="1"/>
  <c r="E5" i="54"/>
  <c r="E39" i="23"/>
  <c r="E43" i="23" s="1"/>
  <c r="E45" i="23" s="1"/>
  <c r="J5" i="54"/>
  <c r="J39" i="23"/>
  <c r="J43" i="23" s="1"/>
  <c r="H5" i="54"/>
  <c r="H39" i="23"/>
  <c r="H43" i="23" s="1"/>
  <c r="I5" i="54"/>
  <c r="I39" i="23"/>
  <c r="I43" i="23" s="1"/>
  <c r="J9" i="23"/>
  <c r="H9" i="23"/>
  <c r="H93" i="6"/>
  <c r="H98" i="6" s="1"/>
  <c r="H105" i="6" s="1"/>
  <c r="I9" i="23"/>
  <c r="G29" i="54"/>
  <c r="G124" i="55" s="1"/>
  <c r="G154" i="23"/>
  <c r="J53" i="54"/>
  <c r="J189" i="23"/>
  <c r="H53" i="54"/>
  <c r="H189" i="23"/>
  <c r="G53" i="54"/>
  <c r="G150" i="55" s="1"/>
  <c r="G189" i="23"/>
  <c r="G199" i="6" s="1"/>
  <c r="D53" i="54"/>
  <c r="D189" i="23"/>
  <c r="B140" i="6"/>
  <c r="B144" i="6" s="1"/>
  <c r="B101" i="23"/>
  <c r="B103" i="23" s="1"/>
  <c r="E140" i="6"/>
  <c r="E144" i="6" s="1"/>
  <c r="E101" i="23"/>
  <c r="E103" i="23" s="1"/>
  <c r="D140" i="6"/>
  <c r="D144" i="6" s="1"/>
  <c r="D101" i="23"/>
  <c r="D103" i="23" s="1"/>
  <c r="J165" i="23"/>
  <c r="J169" i="23" s="1"/>
  <c r="J131" i="23"/>
  <c r="J135" i="23" s="1"/>
  <c r="G131" i="23"/>
  <c r="G165" i="23"/>
  <c r="I131" i="23"/>
  <c r="I165" i="23"/>
  <c r="I169" i="23" s="1"/>
  <c r="P165" i="23"/>
  <c r="P131" i="23"/>
  <c r="I140" i="6"/>
  <c r="I144" i="6" s="1"/>
  <c r="I101" i="23"/>
  <c r="J124" i="23"/>
  <c r="H180" i="6"/>
  <c r="H184" i="6" s="1"/>
  <c r="H181" i="23"/>
  <c r="L180" i="6"/>
  <c r="L184" i="6" s="1"/>
  <c r="L181" i="23"/>
  <c r="I180" i="6"/>
  <c r="I184" i="6" s="1"/>
  <c r="I181" i="23"/>
  <c r="D180" i="6"/>
  <c r="D184" i="6" s="1"/>
  <c r="D181" i="23"/>
  <c r="D183" i="23" s="1"/>
  <c r="J180" i="6"/>
  <c r="J184" i="6" s="1"/>
  <c r="J181" i="23"/>
  <c r="E180" i="6"/>
  <c r="E184" i="6" s="1"/>
  <c r="E181" i="23"/>
  <c r="E183" i="23" s="1"/>
  <c r="N199" i="6"/>
  <c r="N204" i="6" s="1"/>
  <c r="N205" i="6" s="1"/>
  <c r="N194" i="23"/>
  <c r="E199" i="6"/>
  <c r="E204" i="6" s="1"/>
  <c r="E205" i="6" s="1"/>
  <c r="E194" i="23"/>
  <c r="E196" i="23" s="1"/>
  <c r="K94" i="17"/>
  <c r="Q5" i="23" s="1"/>
  <c r="L89" i="19"/>
  <c r="R97" i="23" s="1"/>
  <c r="E89" i="19"/>
  <c r="K97" i="23" s="1"/>
  <c r="L106" i="19"/>
  <c r="F106" i="19"/>
  <c r="H98" i="20"/>
  <c r="N142" i="23" s="1"/>
  <c r="N147" i="23" s="1"/>
  <c r="I98" i="20"/>
  <c r="O142" i="23" s="1"/>
  <c r="O160" i="6" s="1"/>
  <c r="H73" i="22"/>
  <c r="N108" i="23" s="1"/>
  <c r="N112" i="23" s="1"/>
  <c r="G118" i="17"/>
  <c r="M51" i="23" s="1"/>
  <c r="K118" i="17"/>
  <c r="Q51" i="23" s="1"/>
  <c r="H118" i="17"/>
  <c r="N51" i="23" s="1"/>
  <c r="G98" i="20"/>
  <c r="M142" i="23" s="1"/>
  <c r="M147" i="23" s="1"/>
  <c r="G93" i="6"/>
  <c r="S165" i="6"/>
  <c r="C119" i="6"/>
  <c r="C124" i="6" s="1"/>
  <c r="J119" i="6"/>
  <c r="J124" i="6" s="1"/>
  <c r="H119" i="6"/>
  <c r="H124" i="6" s="1"/>
  <c r="I96" i="16"/>
  <c r="P140" i="6"/>
  <c r="B119" i="6"/>
  <c r="B124" i="6" s="1"/>
  <c r="G96" i="16"/>
  <c r="J140" i="6"/>
  <c r="J144" i="6" s="1"/>
  <c r="D160" i="6"/>
  <c r="D165" i="6" s="1"/>
  <c r="H160" i="6"/>
  <c r="H165" i="6" s="1"/>
  <c r="Q95" i="6"/>
  <c r="L95" i="6"/>
  <c r="R121" i="6"/>
  <c r="R55" i="23"/>
  <c r="Q182" i="6"/>
  <c r="Q184" i="6" s="1"/>
  <c r="Q181" i="23"/>
  <c r="R182" i="6"/>
  <c r="R184" i="6" s="1"/>
  <c r="R181" i="23"/>
  <c r="K121" i="6"/>
  <c r="G74" i="20"/>
  <c r="M27" i="23" s="1"/>
  <c r="M32" i="23" s="1"/>
  <c r="H74" i="20"/>
  <c r="N27" i="23" s="1"/>
  <c r="N32" i="23" s="1"/>
  <c r="E74" i="20"/>
  <c r="K27" i="23" s="1"/>
  <c r="K32" i="23" s="1"/>
  <c r="F74" i="20"/>
  <c r="L27" i="23" s="1"/>
  <c r="L32" i="23" s="1"/>
  <c r="L74" i="20"/>
  <c r="R27" i="23" s="1"/>
  <c r="R32" i="23" s="1"/>
  <c r="I74" i="20"/>
  <c r="O27" i="23" s="1"/>
  <c r="K74" i="20"/>
  <c r="Q27" i="23" s="1"/>
  <c r="Q32" i="23" s="1"/>
  <c r="E73" i="21"/>
  <c r="S62" i="6"/>
  <c r="M73" i="21"/>
  <c r="J73" i="21"/>
  <c r="K62" i="6"/>
  <c r="R48" i="6"/>
  <c r="L74" i="18"/>
  <c r="R16" i="23" s="1"/>
  <c r="R20" i="23" s="1"/>
  <c r="O48" i="6"/>
  <c r="I74" i="18"/>
  <c r="O16" i="23" s="1"/>
  <c r="M48" i="6"/>
  <c r="G74" i="18"/>
  <c r="M16" i="23" s="1"/>
  <c r="M20" i="23" s="1"/>
  <c r="Q48" i="6"/>
  <c r="K74" i="18"/>
  <c r="Q16" i="23" s="1"/>
  <c r="Q20" i="23" s="1"/>
  <c r="N48" i="6"/>
  <c r="H74" i="18"/>
  <c r="N16" i="23" s="1"/>
  <c r="N20" i="23" s="1"/>
  <c r="M66" i="6"/>
  <c r="M52" i="6"/>
  <c r="S66" i="6"/>
  <c r="L52" i="6"/>
  <c r="B16" i="6"/>
  <c r="D16" i="6"/>
  <c r="E16" i="6"/>
  <c r="C16" i="6"/>
  <c r="M12" i="6"/>
  <c r="K23" i="6"/>
  <c r="R52" i="6"/>
  <c r="N52" i="6"/>
  <c r="I23" i="6"/>
  <c r="I59" i="6"/>
  <c r="H59" i="6"/>
  <c r="J66" i="6"/>
  <c r="H66" i="6"/>
  <c r="K66" i="6"/>
  <c r="I66" i="6"/>
  <c r="H52" i="6"/>
  <c r="J52" i="6"/>
  <c r="I52" i="6"/>
  <c r="K52" i="6"/>
  <c r="S52" i="6"/>
  <c r="L66" i="6"/>
  <c r="H23" i="6"/>
  <c r="J23" i="6"/>
  <c r="J59" i="6"/>
  <c r="E66" i="6"/>
  <c r="N62" i="6"/>
  <c r="Q52" i="6"/>
  <c r="L48" i="6"/>
  <c r="B52" i="6"/>
  <c r="D66" i="6"/>
  <c r="Q66" i="6"/>
  <c r="C59" i="6"/>
  <c r="R55" i="6"/>
  <c r="Q55" i="6"/>
  <c r="M55" i="6"/>
  <c r="N55" i="6"/>
  <c r="K55" i="6"/>
  <c r="L55" i="6"/>
  <c r="O55" i="6"/>
  <c r="Q16" i="6"/>
  <c r="S16" i="6"/>
  <c r="A123" i="11"/>
  <c r="A122" i="11"/>
  <c r="X60" i="11"/>
  <c r="W60" i="11"/>
  <c r="U60" i="11"/>
  <c r="T60" i="11"/>
  <c r="S60" i="11"/>
  <c r="R60" i="11"/>
  <c r="Q60" i="11"/>
  <c r="P60" i="11"/>
  <c r="Y60" i="11"/>
  <c r="V60" i="11"/>
  <c r="J123" i="11" s="1"/>
  <c r="X58" i="11"/>
  <c r="W58" i="11"/>
  <c r="U58" i="11"/>
  <c r="T58" i="11"/>
  <c r="S58" i="11"/>
  <c r="R58" i="11"/>
  <c r="Q58" i="11"/>
  <c r="Y58" i="11"/>
  <c r="V58" i="11"/>
  <c r="A107" i="11"/>
  <c r="A108" i="11"/>
  <c r="X44" i="11"/>
  <c r="W44" i="11"/>
  <c r="U44" i="11"/>
  <c r="T44" i="11"/>
  <c r="S44" i="11"/>
  <c r="R44" i="11"/>
  <c r="Q44" i="11"/>
  <c r="Y44" i="11"/>
  <c r="V44" i="11"/>
  <c r="J107" i="11" s="1"/>
  <c r="X9" i="11"/>
  <c r="X12" i="11" s="1"/>
  <c r="I113" i="5" s="1"/>
  <c r="W9" i="11"/>
  <c r="W12" i="11" s="1"/>
  <c r="H113" i="5" s="1"/>
  <c r="U9" i="11"/>
  <c r="U12" i="11" s="1"/>
  <c r="F113" i="5" s="1"/>
  <c r="T9" i="11"/>
  <c r="T12" i="11" s="1"/>
  <c r="E113" i="5" s="1"/>
  <c r="S9" i="11"/>
  <c r="S12" i="11" s="1"/>
  <c r="D113" i="5" s="1"/>
  <c r="R9" i="11"/>
  <c r="R12" i="11" s="1"/>
  <c r="C113" i="5" s="1"/>
  <c r="Q9" i="11"/>
  <c r="Q12" i="11" s="1"/>
  <c r="B113" i="5" s="1"/>
  <c r="Y9" i="11"/>
  <c r="V9" i="11"/>
  <c r="Y10" i="11"/>
  <c r="M86" i="11"/>
  <c r="L86" i="11"/>
  <c r="K86" i="11"/>
  <c r="J86" i="11"/>
  <c r="I86" i="11"/>
  <c r="H86" i="11"/>
  <c r="G86" i="11"/>
  <c r="F86" i="11"/>
  <c r="E86" i="11"/>
  <c r="M85" i="11"/>
  <c r="L85" i="11"/>
  <c r="K85" i="11"/>
  <c r="J85" i="11"/>
  <c r="I85" i="11"/>
  <c r="H85" i="11"/>
  <c r="G85" i="11"/>
  <c r="F85" i="11"/>
  <c r="E85" i="11"/>
  <c r="M84" i="11"/>
  <c r="L84" i="11"/>
  <c r="K84" i="11"/>
  <c r="J84" i="11"/>
  <c r="I84" i="11"/>
  <c r="H84" i="11"/>
  <c r="G84" i="11"/>
  <c r="F84" i="11"/>
  <c r="E84" i="11"/>
  <c r="M83" i="11"/>
  <c r="L83" i="11"/>
  <c r="K83" i="11"/>
  <c r="J83" i="11"/>
  <c r="I83" i="11"/>
  <c r="H83" i="11"/>
  <c r="G83" i="11"/>
  <c r="F83" i="11"/>
  <c r="E83" i="11"/>
  <c r="M82" i="11"/>
  <c r="L82" i="11"/>
  <c r="K82" i="11"/>
  <c r="J82" i="11"/>
  <c r="I82" i="11"/>
  <c r="H82" i="11"/>
  <c r="G82" i="11"/>
  <c r="F82" i="11"/>
  <c r="E82" i="11"/>
  <c r="M81" i="11"/>
  <c r="L81" i="11"/>
  <c r="K81" i="11"/>
  <c r="J81" i="11"/>
  <c r="I81" i="11"/>
  <c r="H81" i="11"/>
  <c r="G81" i="11"/>
  <c r="F81" i="11"/>
  <c r="E81" i="11"/>
  <c r="M80" i="11"/>
  <c r="L80" i="11"/>
  <c r="K80" i="11"/>
  <c r="J80" i="11"/>
  <c r="I80" i="11"/>
  <c r="H80" i="11"/>
  <c r="G80" i="11"/>
  <c r="F80" i="11"/>
  <c r="E80" i="11"/>
  <c r="M79" i="11"/>
  <c r="L79" i="11"/>
  <c r="K79" i="11"/>
  <c r="J79" i="11"/>
  <c r="I79" i="11"/>
  <c r="H79" i="11"/>
  <c r="G79" i="11"/>
  <c r="F79" i="11"/>
  <c r="E79" i="11"/>
  <c r="M78" i="11"/>
  <c r="L78" i="11"/>
  <c r="K78" i="11"/>
  <c r="J78" i="11"/>
  <c r="I78" i="11"/>
  <c r="H78" i="11"/>
  <c r="G78" i="11"/>
  <c r="F78" i="11"/>
  <c r="E78" i="11"/>
  <c r="M74" i="11"/>
  <c r="L74" i="11"/>
  <c r="K74" i="11"/>
  <c r="J74" i="11"/>
  <c r="I74" i="11"/>
  <c r="H74" i="11"/>
  <c r="G74" i="11"/>
  <c r="F74" i="11"/>
  <c r="E74" i="11"/>
  <c r="L73" i="11"/>
  <c r="K73" i="11"/>
  <c r="I73" i="11"/>
  <c r="H73" i="11"/>
  <c r="G73" i="11"/>
  <c r="F73" i="11"/>
  <c r="E73" i="11"/>
  <c r="K72" i="11"/>
  <c r="F72" i="11"/>
  <c r="M71" i="11"/>
  <c r="L71" i="11"/>
  <c r="K71" i="11"/>
  <c r="J71" i="11"/>
  <c r="I71" i="11"/>
  <c r="H71" i="11"/>
  <c r="G71" i="11"/>
  <c r="F71" i="11"/>
  <c r="E71" i="11"/>
  <c r="A70" i="11"/>
  <c r="A71" i="11"/>
  <c r="A87" i="11"/>
  <c r="A86" i="11"/>
  <c r="A85" i="11"/>
  <c r="A84" i="11"/>
  <c r="A83" i="11"/>
  <c r="A82" i="11"/>
  <c r="A81" i="11"/>
  <c r="A80" i="11"/>
  <c r="A79" i="11"/>
  <c r="A78" i="11"/>
  <c r="A77" i="11"/>
  <c r="A75" i="11"/>
  <c r="A74" i="11"/>
  <c r="A73" i="11"/>
  <c r="A72" i="11"/>
  <c r="A129" i="11"/>
  <c r="A128" i="11"/>
  <c r="A127" i="11"/>
  <c r="A126" i="11"/>
  <c r="A197" i="5" s="1"/>
  <c r="A124" i="11"/>
  <c r="A121" i="11"/>
  <c r="A120" i="11"/>
  <c r="A119" i="11"/>
  <c r="A117" i="11"/>
  <c r="A116" i="11"/>
  <c r="A115" i="11"/>
  <c r="A176" i="5" s="1"/>
  <c r="A127" i="9"/>
  <c r="A126" i="9"/>
  <c r="A125" i="9"/>
  <c r="A124" i="9"/>
  <c r="A123" i="9"/>
  <c r="A101" i="5" s="1"/>
  <c r="A121" i="9"/>
  <c r="A120" i="9"/>
  <c r="A119" i="9"/>
  <c r="A118" i="9"/>
  <c r="A91" i="5" s="1"/>
  <c r="A116" i="9"/>
  <c r="A115" i="9"/>
  <c r="A114" i="9"/>
  <c r="A113" i="11"/>
  <c r="A112" i="11"/>
  <c r="A111" i="11"/>
  <c r="A110" i="11"/>
  <c r="A109" i="11"/>
  <c r="A106" i="11"/>
  <c r="A104" i="11"/>
  <c r="A103" i="11"/>
  <c r="A102" i="11"/>
  <c r="A155" i="5" s="1"/>
  <c r="A100" i="11"/>
  <c r="A99" i="11"/>
  <c r="A98" i="11"/>
  <c r="A97" i="11"/>
  <c r="A96" i="11"/>
  <c r="A94" i="11"/>
  <c r="A93" i="11"/>
  <c r="A92" i="11"/>
  <c r="A91" i="11"/>
  <c r="A90" i="11"/>
  <c r="A89" i="11"/>
  <c r="X49" i="11"/>
  <c r="W49" i="11"/>
  <c r="U49" i="11"/>
  <c r="T49" i="11"/>
  <c r="S49" i="11"/>
  <c r="R49" i="11"/>
  <c r="Q49" i="11"/>
  <c r="Y49" i="11"/>
  <c r="V49" i="11"/>
  <c r="J112" i="11" s="1"/>
  <c r="J111" i="11"/>
  <c r="X47" i="11"/>
  <c r="W47" i="11"/>
  <c r="U47" i="11"/>
  <c r="T47" i="11"/>
  <c r="S47" i="11"/>
  <c r="R47" i="11"/>
  <c r="Q47" i="11"/>
  <c r="Y47" i="11"/>
  <c r="V47" i="11"/>
  <c r="J110" i="11" s="1"/>
  <c r="X46" i="11"/>
  <c r="W46" i="11"/>
  <c r="U46" i="11"/>
  <c r="T46" i="11"/>
  <c r="S46" i="11"/>
  <c r="R46" i="11"/>
  <c r="Q46" i="11"/>
  <c r="P46" i="11"/>
  <c r="Y46" i="11"/>
  <c r="V46" i="11"/>
  <c r="J109" i="11" s="1"/>
  <c r="X45" i="11"/>
  <c r="W45" i="11"/>
  <c r="U45" i="11"/>
  <c r="T45" i="11"/>
  <c r="S45" i="11"/>
  <c r="R45" i="11"/>
  <c r="Q45" i="11"/>
  <c r="Y45" i="11"/>
  <c r="V45" i="11"/>
  <c r="J108" i="11" s="1"/>
  <c r="J106" i="11"/>
  <c r="X41" i="11"/>
  <c r="W41" i="11"/>
  <c r="U41" i="11"/>
  <c r="T41" i="11"/>
  <c r="S41" i="11"/>
  <c r="R41" i="11"/>
  <c r="Q41" i="11"/>
  <c r="Y41" i="11"/>
  <c r="V41" i="11"/>
  <c r="J104" i="11" s="1"/>
  <c r="X40" i="11"/>
  <c r="W40" i="11"/>
  <c r="U40" i="11"/>
  <c r="T40" i="11"/>
  <c r="S40" i="11"/>
  <c r="R40" i="11"/>
  <c r="Q40" i="11"/>
  <c r="Y40" i="11"/>
  <c r="V40" i="11"/>
  <c r="X36" i="11"/>
  <c r="W36" i="11"/>
  <c r="U36" i="11"/>
  <c r="T36" i="11"/>
  <c r="S36" i="11"/>
  <c r="R36" i="11"/>
  <c r="Q36" i="11"/>
  <c r="Y36" i="11"/>
  <c r="V36" i="11"/>
  <c r="J99" i="11" s="1"/>
  <c r="X35" i="11"/>
  <c r="W35" i="11"/>
  <c r="U35" i="11"/>
  <c r="T35" i="11"/>
  <c r="S35" i="11"/>
  <c r="R35" i="11"/>
  <c r="Q35" i="11"/>
  <c r="Y35" i="11"/>
  <c r="V35" i="11"/>
  <c r="J98" i="11" s="1"/>
  <c r="X34" i="11"/>
  <c r="W34" i="11"/>
  <c r="U34" i="11"/>
  <c r="T34" i="11"/>
  <c r="S34" i="11"/>
  <c r="R34" i="11"/>
  <c r="Q34" i="11"/>
  <c r="Y34" i="11"/>
  <c r="V34" i="11"/>
  <c r="J97" i="11" s="1"/>
  <c r="X33" i="11"/>
  <c r="W33" i="11"/>
  <c r="U33" i="11"/>
  <c r="T33" i="11"/>
  <c r="S33" i="11"/>
  <c r="R33" i="11"/>
  <c r="Q33" i="11"/>
  <c r="Y33" i="11"/>
  <c r="V33" i="11"/>
  <c r="J96" i="11" s="1"/>
  <c r="X31" i="11"/>
  <c r="W31" i="11"/>
  <c r="U31" i="11"/>
  <c r="T31" i="11"/>
  <c r="S31" i="11"/>
  <c r="R31" i="11"/>
  <c r="Q31" i="11"/>
  <c r="Y31" i="11"/>
  <c r="V31" i="11"/>
  <c r="J94" i="11" s="1"/>
  <c r="X30" i="11"/>
  <c r="W30" i="11"/>
  <c r="U30" i="11"/>
  <c r="T30" i="11"/>
  <c r="S30" i="11"/>
  <c r="R30" i="11"/>
  <c r="Q30" i="11"/>
  <c r="Y30" i="11"/>
  <c r="V30" i="11"/>
  <c r="J93" i="11" s="1"/>
  <c r="X29" i="11"/>
  <c r="W29" i="11"/>
  <c r="U29" i="11"/>
  <c r="T29" i="11"/>
  <c r="S29" i="11"/>
  <c r="R29" i="11"/>
  <c r="Q29" i="11"/>
  <c r="Y29" i="11"/>
  <c r="V29" i="11"/>
  <c r="J92" i="11" s="1"/>
  <c r="X28" i="11"/>
  <c r="W28" i="11"/>
  <c r="U28" i="11"/>
  <c r="T28" i="11"/>
  <c r="S28" i="11"/>
  <c r="R28" i="11"/>
  <c r="Q28" i="11"/>
  <c r="Y28" i="11"/>
  <c r="V28" i="11"/>
  <c r="J91" i="11" s="1"/>
  <c r="X27" i="11"/>
  <c r="W27" i="11"/>
  <c r="U27" i="11"/>
  <c r="T27" i="11"/>
  <c r="S27" i="11"/>
  <c r="R27" i="11"/>
  <c r="Q27" i="11"/>
  <c r="Y27" i="11"/>
  <c r="V27" i="11"/>
  <c r="A112" i="9"/>
  <c r="A111" i="9"/>
  <c r="A110" i="9"/>
  <c r="A109" i="9"/>
  <c r="A108" i="9"/>
  <c r="A106" i="9"/>
  <c r="A105" i="9"/>
  <c r="A103" i="9"/>
  <c r="A102" i="9"/>
  <c r="A60" i="5" s="1"/>
  <c r="A71" i="5" s="1"/>
  <c r="A100" i="9"/>
  <c r="A99" i="9"/>
  <c r="A98" i="9"/>
  <c r="A97" i="9"/>
  <c r="A96" i="9"/>
  <c r="A95" i="9"/>
  <c r="A94" i="9"/>
  <c r="A93" i="9"/>
  <c r="A92" i="9"/>
  <c r="A91" i="9"/>
  <c r="A90" i="9"/>
  <c r="A88" i="9"/>
  <c r="A87" i="9"/>
  <c r="A86" i="9"/>
  <c r="A85" i="9"/>
  <c r="A84" i="9"/>
  <c r="A83" i="9"/>
  <c r="A82" i="9"/>
  <c r="A81" i="9"/>
  <c r="A80" i="9"/>
  <c r="A79" i="9"/>
  <c r="A78" i="9"/>
  <c r="A76" i="9"/>
  <c r="A75" i="9"/>
  <c r="A74" i="9"/>
  <c r="A73" i="9"/>
  <c r="A72" i="9"/>
  <c r="A71" i="9"/>
  <c r="A70" i="9"/>
  <c r="A69" i="9"/>
  <c r="X64" i="9"/>
  <c r="W64" i="9"/>
  <c r="U64" i="9"/>
  <c r="T64" i="9"/>
  <c r="S64" i="9"/>
  <c r="R64" i="9"/>
  <c r="Q64" i="9"/>
  <c r="Y64" i="9"/>
  <c r="V64" i="9"/>
  <c r="X49" i="9"/>
  <c r="W49" i="9"/>
  <c r="U49" i="9"/>
  <c r="T49" i="9"/>
  <c r="S49" i="9"/>
  <c r="R49" i="9"/>
  <c r="Q49" i="9"/>
  <c r="P49" i="9"/>
  <c r="Y49" i="9"/>
  <c r="V49" i="9"/>
  <c r="J111" i="9" s="1"/>
  <c r="X48" i="9"/>
  <c r="W48" i="9"/>
  <c r="U48" i="9"/>
  <c r="T48" i="9"/>
  <c r="S48" i="9"/>
  <c r="R48" i="9"/>
  <c r="Q48" i="9"/>
  <c r="P48" i="9"/>
  <c r="Y48" i="9"/>
  <c r="V48" i="9"/>
  <c r="X47" i="9"/>
  <c r="W47" i="9"/>
  <c r="U47" i="9"/>
  <c r="T47" i="9"/>
  <c r="S47" i="9"/>
  <c r="R47" i="9"/>
  <c r="Q47" i="9"/>
  <c r="Y47" i="9"/>
  <c r="V47" i="9"/>
  <c r="J109" i="9" s="1"/>
  <c r="X46" i="9"/>
  <c r="W46" i="9"/>
  <c r="U46" i="9"/>
  <c r="T46" i="9"/>
  <c r="S46" i="9"/>
  <c r="R46" i="9"/>
  <c r="Q46" i="9"/>
  <c r="Y46" i="9"/>
  <c r="V46" i="9"/>
  <c r="J108" i="9" s="1"/>
  <c r="X44" i="9"/>
  <c r="W44" i="9"/>
  <c r="U44" i="9"/>
  <c r="T44" i="9"/>
  <c r="S44" i="9"/>
  <c r="R44" i="9"/>
  <c r="Q44" i="9"/>
  <c r="P44" i="9"/>
  <c r="Y44" i="9"/>
  <c r="V44" i="9"/>
  <c r="X43" i="9"/>
  <c r="W43" i="9"/>
  <c r="U43" i="9"/>
  <c r="T43" i="9"/>
  <c r="S43" i="9"/>
  <c r="R43" i="9"/>
  <c r="Q43" i="9"/>
  <c r="Y43" i="9"/>
  <c r="M105" i="9" s="1"/>
  <c r="V43" i="9"/>
  <c r="J105" i="9" s="1"/>
  <c r="X41" i="9"/>
  <c r="W41" i="9"/>
  <c r="U41" i="9"/>
  <c r="T41" i="9"/>
  <c r="S41" i="9"/>
  <c r="R41" i="9"/>
  <c r="Q41" i="9"/>
  <c r="Y41" i="9"/>
  <c r="V41" i="9"/>
  <c r="X37" i="9"/>
  <c r="W37" i="9"/>
  <c r="U37" i="9"/>
  <c r="I99" i="9" s="1"/>
  <c r="T37" i="9"/>
  <c r="S37" i="9"/>
  <c r="G99" i="9" s="1"/>
  <c r="R37" i="9"/>
  <c r="Q37" i="9"/>
  <c r="E99" i="9" s="1"/>
  <c r="Y37" i="9"/>
  <c r="M99" i="9" s="1"/>
  <c r="V37" i="9"/>
  <c r="J99" i="9" s="1"/>
  <c r="X36" i="9"/>
  <c r="W36" i="9"/>
  <c r="U36" i="9"/>
  <c r="T36" i="9"/>
  <c r="S36" i="9"/>
  <c r="R36" i="9"/>
  <c r="Q36" i="9"/>
  <c r="P36" i="9"/>
  <c r="Y36" i="9"/>
  <c r="V36" i="9"/>
  <c r="X35" i="9"/>
  <c r="W35" i="9"/>
  <c r="U35" i="9"/>
  <c r="I97" i="9" s="1"/>
  <c r="T35" i="9"/>
  <c r="S35" i="9"/>
  <c r="G97" i="9" s="1"/>
  <c r="R35" i="9"/>
  <c r="Q35" i="9"/>
  <c r="E97" i="9" s="1"/>
  <c r="Y35" i="9"/>
  <c r="M97" i="9" s="1"/>
  <c r="V35" i="9"/>
  <c r="J97" i="9" s="1"/>
  <c r="X34" i="9"/>
  <c r="W34" i="9"/>
  <c r="U34" i="9"/>
  <c r="T34" i="9"/>
  <c r="S34" i="9"/>
  <c r="R34" i="9"/>
  <c r="Q34" i="9"/>
  <c r="P34" i="9"/>
  <c r="Y34" i="9"/>
  <c r="V34" i="9"/>
  <c r="X33" i="9"/>
  <c r="W33" i="9"/>
  <c r="U33" i="9"/>
  <c r="I95" i="9" s="1"/>
  <c r="T33" i="9"/>
  <c r="S33" i="9"/>
  <c r="G95" i="9" s="1"/>
  <c r="R33" i="9"/>
  <c r="Q33" i="9"/>
  <c r="E95" i="9" s="1"/>
  <c r="Y33" i="9"/>
  <c r="M95" i="9" s="1"/>
  <c r="V33" i="9"/>
  <c r="J95" i="9" s="1"/>
  <c r="X32" i="9"/>
  <c r="W32" i="9"/>
  <c r="U32" i="9"/>
  <c r="T32" i="9"/>
  <c r="S32" i="9"/>
  <c r="G94" i="9" s="1"/>
  <c r="R32" i="9"/>
  <c r="Q32" i="9"/>
  <c r="E94" i="9" s="1"/>
  <c r="P32" i="9"/>
  <c r="Y32" i="9"/>
  <c r="M94" i="9" s="1"/>
  <c r="V32" i="9"/>
  <c r="J94" i="9" s="1"/>
  <c r="X31" i="9"/>
  <c r="W31" i="9"/>
  <c r="U31" i="9"/>
  <c r="I93" i="9" s="1"/>
  <c r="T31" i="9"/>
  <c r="S31" i="9"/>
  <c r="G93" i="9" s="1"/>
  <c r="R31" i="9"/>
  <c r="Q31" i="9"/>
  <c r="E93" i="9" s="1"/>
  <c r="Y31" i="9"/>
  <c r="M93" i="9" s="1"/>
  <c r="V31" i="9"/>
  <c r="J93" i="9" s="1"/>
  <c r="X30" i="9"/>
  <c r="W30" i="9"/>
  <c r="U30" i="9"/>
  <c r="I92" i="9" s="1"/>
  <c r="T30" i="9"/>
  <c r="S30" i="9"/>
  <c r="G92" i="9" s="1"/>
  <c r="R30" i="9"/>
  <c r="Q30" i="9"/>
  <c r="E92" i="9" s="1"/>
  <c r="Y30" i="9"/>
  <c r="M92" i="9" s="1"/>
  <c r="V30" i="9"/>
  <c r="J92" i="9" s="1"/>
  <c r="X29" i="9"/>
  <c r="W29" i="9"/>
  <c r="U29" i="9"/>
  <c r="T29" i="9"/>
  <c r="S29" i="9"/>
  <c r="G91" i="9" s="1"/>
  <c r="R29" i="9"/>
  <c r="Q29" i="9"/>
  <c r="P29" i="9"/>
  <c r="Y29" i="9"/>
  <c r="V29" i="9"/>
  <c r="A71" i="1"/>
  <c r="Q38" i="1"/>
  <c r="R38" i="1"/>
  <c r="S38" i="1"/>
  <c r="T38" i="1"/>
  <c r="U38" i="1"/>
  <c r="W38" i="1"/>
  <c r="X38" i="1"/>
  <c r="P38" i="1"/>
  <c r="P33" i="1"/>
  <c r="P32" i="1"/>
  <c r="X34" i="1"/>
  <c r="W34" i="1"/>
  <c r="U34" i="1"/>
  <c r="T34" i="1"/>
  <c r="S34" i="1"/>
  <c r="R34" i="1"/>
  <c r="Q34" i="1"/>
  <c r="P34" i="1"/>
  <c r="Y38" i="1"/>
  <c r="V38" i="1"/>
  <c r="Y34" i="1"/>
  <c r="V34" i="1"/>
  <c r="M53" i="1"/>
  <c r="L53" i="1"/>
  <c r="K53" i="1"/>
  <c r="J53" i="1"/>
  <c r="I53" i="1"/>
  <c r="H53" i="1"/>
  <c r="G53" i="1"/>
  <c r="F53" i="1"/>
  <c r="E53" i="1"/>
  <c r="M52" i="1"/>
  <c r="L52" i="1"/>
  <c r="K52" i="1"/>
  <c r="J52" i="1"/>
  <c r="I52" i="1"/>
  <c r="H52" i="1"/>
  <c r="G52" i="1"/>
  <c r="F52" i="1"/>
  <c r="E52" i="1"/>
  <c r="M51" i="1"/>
  <c r="L51" i="1"/>
  <c r="K51" i="1"/>
  <c r="J51" i="1"/>
  <c r="I51" i="1"/>
  <c r="H51" i="1"/>
  <c r="G51" i="1"/>
  <c r="F51" i="1"/>
  <c r="E51" i="1"/>
  <c r="M50" i="1"/>
  <c r="L50" i="1"/>
  <c r="K50" i="1"/>
  <c r="J50" i="1"/>
  <c r="I50" i="1"/>
  <c r="H50" i="1"/>
  <c r="G50" i="1"/>
  <c r="F50" i="1"/>
  <c r="E50" i="1"/>
  <c r="M49" i="1"/>
  <c r="L49" i="1"/>
  <c r="K49" i="1"/>
  <c r="J49" i="1"/>
  <c r="I49" i="1"/>
  <c r="H49" i="1"/>
  <c r="G49" i="1"/>
  <c r="F49" i="1"/>
  <c r="E49" i="1"/>
  <c r="M48" i="1"/>
  <c r="L48" i="1"/>
  <c r="K48" i="1"/>
  <c r="J48" i="1"/>
  <c r="I48" i="1"/>
  <c r="H48" i="1"/>
  <c r="G48" i="1"/>
  <c r="F48" i="1"/>
  <c r="E48" i="1"/>
  <c r="M47" i="1"/>
  <c r="L47" i="1"/>
  <c r="K47" i="1"/>
  <c r="J47" i="1"/>
  <c r="I47" i="1"/>
  <c r="H47" i="1"/>
  <c r="G47" i="1"/>
  <c r="F47" i="1"/>
  <c r="E47" i="1"/>
  <c r="M46" i="1"/>
  <c r="L46" i="1"/>
  <c r="K46" i="1"/>
  <c r="J46" i="1"/>
  <c r="I46" i="1"/>
  <c r="H46" i="1"/>
  <c r="G46" i="1"/>
  <c r="F46" i="1"/>
  <c r="E46" i="1"/>
  <c r="M45" i="1"/>
  <c r="L45" i="1"/>
  <c r="K45" i="1"/>
  <c r="J45" i="1"/>
  <c r="I45" i="1"/>
  <c r="I54" i="1" s="1"/>
  <c r="H45" i="1"/>
  <c r="G45" i="1"/>
  <c r="F45" i="1"/>
  <c r="E45" i="1"/>
  <c r="A53" i="1"/>
  <c r="A52" i="1"/>
  <c r="A51" i="1"/>
  <c r="A50" i="1"/>
  <c r="A49" i="1"/>
  <c r="A48" i="1"/>
  <c r="A47" i="1"/>
  <c r="A46" i="1"/>
  <c r="A45" i="1"/>
  <c r="A44" i="1"/>
  <c r="A75" i="1"/>
  <c r="P39" i="1"/>
  <c r="Q39" i="1"/>
  <c r="R39" i="1"/>
  <c r="S39" i="1"/>
  <c r="T39" i="1"/>
  <c r="U39" i="1"/>
  <c r="W39" i="1"/>
  <c r="X39" i="1"/>
  <c r="Y39" i="1"/>
  <c r="M75" i="1" s="1"/>
  <c r="V39" i="1"/>
  <c r="K75" i="1" l="1"/>
  <c r="K54" i="1"/>
  <c r="I93" i="6"/>
  <c r="I98" i="6" s="1"/>
  <c r="L140" i="6"/>
  <c r="L144" i="6" s="1"/>
  <c r="J54" i="1"/>
  <c r="E98" i="9"/>
  <c r="B93" i="6"/>
  <c r="B98" i="6" s="1"/>
  <c r="B105" i="6" s="1"/>
  <c r="L54" i="1"/>
  <c r="I91" i="9"/>
  <c r="J96" i="9"/>
  <c r="G98" i="9"/>
  <c r="J106" i="9"/>
  <c r="X37" i="11"/>
  <c r="I146" i="5" s="1"/>
  <c r="H72" i="11"/>
  <c r="O93" i="6"/>
  <c r="K55" i="23"/>
  <c r="O5" i="5"/>
  <c r="O5" i="53"/>
  <c r="E54" i="1"/>
  <c r="J71" i="1"/>
  <c r="X38" i="9"/>
  <c r="I51" i="5" s="1"/>
  <c r="I41" i="6" s="1"/>
  <c r="S50" i="9"/>
  <c r="D62" i="5" s="1"/>
  <c r="D73" i="5" s="1"/>
  <c r="H75" i="1"/>
  <c r="J98" i="9"/>
  <c r="J93" i="6"/>
  <c r="J98" i="6" s="1"/>
  <c r="K124" i="6"/>
  <c r="F54" i="1"/>
  <c r="F75" i="1"/>
  <c r="G54" i="1"/>
  <c r="H54" i="1"/>
  <c r="E91" i="9"/>
  <c r="I94" i="9"/>
  <c r="M98" i="9"/>
  <c r="J110" i="9"/>
  <c r="C93" i="6"/>
  <c r="C98" i="6" s="1"/>
  <c r="C105" i="6" s="1"/>
  <c r="Q58" i="54"/>
  <c r="Q150" i="55"/>
  <c r="Q155" i="55" s="1"/>
  <c r="Q156" i="55" s="1"/>
  <c r="Q159" i="55" s="1"/>
  <c r="Q160" i="55" s="1"/>
  <c r="L58" i="54"/>
  <c r="L150" i="55"/>
  <c r="L155" i="55" s="1"/>
  <c r="L156" i="55" s="1"/>
  <c r="I58" i="54"/>
  <c r="I150" i="55"/>
  <c r="I155" i="55" s="1"/>
  <c r="I156" i="55" s="1"/>
  <c r="B58" i="54"/>
  <c r="B60" i="54" s="1"/>
  <c r="B150" i="55"/>
  <c r="B155" i="55" s="1"/>
  <c r="B156" i="55" s="1"/>
  <c r="C58" i="54"/>
  <c r="C60" i="54" s="1"/>
  <c r="C150" i="55"/>
  <c r="C155" i="55" s="1"/>
  <c r="C156" i="55" s="1"/>
  <c r="Q9" i="54"/>
  <c r="Q86" i="55"/>
  <c r="Q90" i="55" s="1"/>
  <c r="Q91" i="55" s="1"/>
  <c r="N21" i="54"/>
  <c r="N105" i="55"/>
  <c r="N109" i="55" s="1"/>
  <c r="N9" i="54"/>
  <c r="N86" i="55"/>
  <c r="N90" i="55" s="1"/>
  <c r="N91" i="55" s="1"/>
  <c r="R58" i="54"/>
  <c r="R150" i="55"/>
  <c r="R155" i="55" s="1"/>
  <c r="R156" i="55" s="1"/>
  <c r="R159" i="55" s="1"/>
  <c r="R160" i="55" s="1"/>
  <c r="D58" i="54"/>
  <c r="D60" i="54" s="1"/>
  <c r="D150" i="55"/>
  <c r="D155" i="55" s="1"/>
  <c r="D156" i="55" s="1"/>
  <c r="H58" i="54"/>
  <c r="H150" i="55"/>
  <c r="H155" i="55" s="1"/>
  <c r="H156" i="55" s="1"/>
  <c r="J58" i="54"/>
  <c r="J150" i="55"/>
  <c r="J155" i="55" s="1"/>
  <c r="J156" i="55" s="1"/>
  <c r="I9" i="54"/>
  <c r="I86" i="55"/>
  <c r="I90" i="55" s="1"/>
  <c r="I91" i="55" s="1"/>
  <c r="H9" i="54"/>
  <c r="H86" i="55"/>
  <c r="H90" i="55" s="1"/>
  <c r="H91" i="55" s="1"/>
  <c r="J9" i="54"/>
  <c r="J86" i="55"/>
  <c r="J90" i="55" s="1"/>
  <c r="J91" i="55" s="1"/>
  <c r="E9" i="54"/>
  <c r="E11" i="54" s="1"/>
  <c r="E86" i="55"/>
  <c r="E90" i="55" s="1"/>
  <c r="E91" i="55" s="1"/>
  <c r="M9" i="54"/>
  <c r="M86" i="55"/>
  <c r="M90" i="55" s="1"/>
  <c r="M91" i="55" s="1"/>
  <c r="L21" i="54"/>
  <c r="L105" i="55"/>
  <c r="L109" i="55" s="1"/>
  <c r="R21" i="54"/>
  <c r="R105" i="55"/>
  <c r="R109" i="55" s="1"/>
  <c r="Q33" i="54"/>
  <c r="Q124" i="55"/>
  <c r="Q128" i="55" s="1"/>
  <c r="R33" i="54"/>
  <c r="R124" i="55"/>
  <c r="R128" i="55" s="1"/>
  <c r="L33" i="54"/>
  <c r="L124" i="55"/>
  <c r="L128" i="55" s="1"/>
  <c r="C9" i="54"/>
  <c r="C11" i="54" s="1"/>
  <c r="C86" i="55"/>
  <c r="C90" i="55" s="1"/>
  <c r="C91" i="55" s="1"/>
  <c r="B9" i="54"/>
  <c r="B11" i="54" s="1"/>
  <c r="B86" i="55"/>
  <c r="B90" i="55" s="1"/>
  <c r="B91" i="55" s="1"/>
  <c r="D9" i="54"/>
  <c r="D11" i="54" s="1"/>
  <c r="D86" i="55"/>
  <c r="D90" i="55" s="1"/>
  <c r="D91" i="55" s="1"/>
  <c r="S45" i="54"/>
  <c r="S137" i="55"/>
  <c r="S141" i="55" s="1"/>
  <c r="S142" i="55" s="1"/>
  <c r="S159" i="55" s="1"/>
  <c r="S160" i="55" s="1"/>
  <c r="S33" i="54"/>
  <c r="S124" i="55"/>
  <c r="S128" i="55" s="1"/>
  <c r="M33" i="54"/>
  <c r="M124" i="55"/>
  <c r="M128" i="55" s="1"/>
  <c r="N33" i="54"/>
  <c r="N124" i="55"/>
  <c r="N128" i="55" s="1"/>
  <c r="J160" i="6"/>
  <c r="J165" i="6" s="1"/>
  <c r="G160" i="6"/>
  <c r="T37" i="11"/>
  <c r="E146" i="5" s="1"/>
  <c r="P160" i="6"/>
  <c r="S5" i="54"/>
  <c r="S39" i="23"/>
  <c r="S43" i="23" s="1"/>
  <c r="K5" i="54"/>
  <c r="K39" i="23"/>
  <c r="K43" i="23" s="1"/>
  <c r="N119" i="6"/>
  <c r="N124" i="6" s="1"/>
  <c r="N55" i="23"/>
  <c r="M119" i="6"/>
  <c r="M124" i="6" s="1"/>
  <c r="M55" i="23"/>
  <c r="K140" i="6"/>
  <c r="K144" i="6" s="1"/>
  <c r="K101" i="23"/>
  <c r="D199" i="6"/>
  <c r="D204" i="6" s="1"/>
  <c r="D205" i="6" s="1"/>
  <c r="D194" i="23"/>
  <c r="D196" i="23" s="1"/>
  <c r="H199" i="6"/>
  <c r="H204" i="6" s="1"/>
  <c r="H205" i="6" s="1"/>
  <c r="H194" i="23"/>
  <c r="J199" i="6"/>
  <c r="J204" i="6" s="1"/>
  <c r="J194" i="23"/>
  <c r="K53" i="54"/>
  <c r="K189" i="23"/>
  <c r="M140" i="6"/>
  <c r="M144" i="6" s="1"/>
  <c r="M101" i="23"/>
  <c r="Q199" i="6"/>
  <c r="Q204" i="6" s="1"/>
  <c r="Q205" i="6" s="1"/>
  <c r="Q194" i="23"/>
  <c r="L199" i="6"/>
  <c r="L204" i="6" s="1"/>
  <c r="L205" i="6" s="1"/>
  <c r="L194" i="23"/>
  <c r="I199" i="6"/>
  <c r="I204" i="6" s="1"/>
  <c r="I194" i="23"/>
  <c r="B199" i="6"/>
  <c r="B204" i="6" s="1"/>
  <c r="B205" i="6" s="1"/>
  <c r="B194" i="23"/>
  <c r="B196" i="23" s="1"/>
  <c r="C199" i="6"/>
  <c r="C204" i="6" s="1"/>
  <c r="C205" i="6" s="1"/>
  <c r="C194" i="23"/>
  <c r="C196" i="23" s="1"/>
  <c r="K93" i="6"/>
  <c r="K98" i="6" s="1"/>
  <c r="K105" i="6" s="1"/>
  <c r="E93" i="6"/>
  <c r="E98" i="6" s="1"/>
  <c r="E105" i="6" s="1"/>
  <c r="L160" i="6"/>
  <c r="L165" i="6" s="1"/>
  <c r="K160" i="6"/>
  <c r="K165" i="6" s="1"/>
  <c r="N140" i="6"/>
  <c r="N144" i="6" s="1"/>
  <c r="M160" i="6"/>
  <c r="M165" i="6" s="1"/>
  <c r="N160" i="6"/>
  <c r="N165" i="6" s="1"/>
  <c r="R160" i="6"/>
  <c r="R165" i="6" s="1"/>
  <c r="R93" i="6"/>
  <c r="R98" i="6" s="1"/>
  <c r="P5" i="54"/>
  <c r="P86" i="55" s="1"/>
  <c r="P39" i="23"/>
  <c r="P93" i="6" s="1"/>
  <c r="M53" i="54"/>
  <c r="M189" i="23"/>
  <c r="O53" i="54"/>
  <c r="O150" i="55" s="1"/>
  <c r="O189" i="23"/>
  <c r="O199" i="6" s="1"/>
  <c r="Q119" i="6"/>
  <c r="Q124" i="6" s="1"/>
  <c r="Q55" i="23"/>
  <c r="R140" i="6"/>
  <c r="R144" i="6" s="1"/>
  <c r="R101" i="23"/>
  <c r="Q93" i="6"/>
  <c r="Q98" i="6" s="1"/>
  <c r="Q105" i="6" s="1"/>
  <c r="Q9" i="23"/>
  <c r="I135" i="23"/>
  <c r="I160" i="6"/>
  <c r="I165" i="6" s="1"/>
  <c r="S119" i="6"/>
  <c r="S124" i="6" s="1"/>
  <c r="S55" i="23"/>
  <c r="L119" i="6"/>
  <c r="L124" i="6" s="1"/>
  <c r="L55" i="23"/>
  <c r="S93" i="6"/>
  <c r="S98" i="6" s="1"/>
  <c r="S9" i="23"/>
  <c r="L93" i="6"/>
  <c r="L98" i="6" s="1"/>
  <c r="L105" i="6" s="1"/>
  <c r="L9" i="23"/>
  <c r="C135" i="23"/>
  <c r="C137" i="23" s="1"/>
  <c r="C160" i="6"/>
  <c r="C165" i="6" s="1"/>
  <c r="E135" i="23"/>
  <c r="E137" i="23" s="1"/>
  <c r="E160" i="6"/>
  <c r="E165" i="6" s="1"/>
  <c r="S180" i="6"/>
  <c r="S184" i="6" s="1"/>
  <c r="S181" i="23"/>
  <c r="R199" i="6"/>
  <c r="R204" i="6" s="1"/>
  <c r="R194" i="23"/>
  <c r="Q160" i="6"/>
  <c r="Q165" i="6" s="1"/>
  <c r="M93" i="6"/>
  <c r="M98" i="6" s="1"/>
  <c r="M105" i="6" s="1"/>
  <c r="N93" i="6"/>
  <c r="N98" i="6" s="1"/>
  <c r="N105" i="6" s="1"/>
  <c r="R119" i="6"/>
  <c r="R124" i="6" s="1"/>
  <c r="M54" i="1"/>
  <c r="D59" i="6"/>
  <c r="C52" i="6"/>
  <c r="B66" i="6"/>
  <c r="Q50" i="9"/>
  <c r="B62" i="5" s="1"/>
  <c r="B73" i="5" s="1"/>
  <c r="E87" i="11"/>
  <c r="K123" i="5" s="1"/>
  <c r="K135" i="5" s="1"/>
  <c r="G87" i="11"/>
  <c r="M123" i="5" s="1"/>
  <c r="M135" i="5" s="1"/>
  <c r="R37" i="11"/>
  <c r="C146" i="5" s="1"/>
  <c r="E72" i="11"/>
  <c r="E75" i="11" s="1"/>
  <c r="K113" i="5" s="1"/>
  <c r="G72" i="11"/>
  <c r="G75" i="11" s="1"/>
  <c r="M113" i="5" s="1"/>
  <c r="I72" i="11"/>
  <c r="L72" i="11"/>
  <c r="L75" i="11" s="1"/>
  <c r="R113" i="5" s="1"/>
  <c r="B59" i="6"/>
  <c r="E59" i="6"/>
  <c r="E23" i="6"/>
  <c r="C23" i="6"/>
  <c r="U50" i="9"/>
  <c r="F62" i="5" s="1"/>
  <c r="F73" i="5" s="1"/>
  <c r="E52" i="6"/>
  <c r="D52" i="6"/>
  <c r="C66" i="6"/>
  <c r="D23" i="6"/>
  <c r="B23" i="6"/>
  <c r="I87" i="11"/>
  <c r="O123" i="5" s="1"/>
  <c r="O135" i="5" s="1"/>
  <c r="M23" i="6"/>
  <c r="L59" i="6"/>
  <c r="K59" i="6"/>
  <c r="N59" i="6"/>
  <c r="M59" i="6"/>
  <c r="Q59" i="6"/>
  <c r="L23" i="6"/>
  <c r="N23" i="6"/>
  <c r="S23" i="6"/>
  <c r="S59" i="6"/>
  <c r="N66" i="6"/>
  <c r="R66" i="6"/>
  <c r="R59" i="6"/>
  <c r="V10" i="11"/>
  <c r="J73" i="11" s="1"/>
  <c r="J72" i="11"/>
  <c r="M121" i="11"/>
  <c r="Y61" i="11"/>
  <c r="J188" i="5" s="1"/>
  <c r="J174" i="6" s="1"/>
  <c r="E121" i="11"/>
  <c r="Q61" i="11"/>
  <c r="B188" i="5" s="1"/>
  <c r="B174" i="6" s="1"/>
  <c r="B177" i="6" s="1"/>
  <c r="B185" i="6" s="1"/>
  <c r="G121" i="11"/>
  <c r="S61" i="11"/>
  <c r="D188" i="5" s="1"/>
  <c r="D174" i="6" s="1"/>
  <c r="D177" i="6" s="1"/>
  <c r="D185" i="6" s="1"/>
  <c r="I121" i="11"/>
  <c r="U61" i="11"/>
  <c r="F188" i="5" s="1"/>
  <c r="F174" i="6" s="1"/>
  <c r="L121" i="11"/>
  <c r="X61" i="11"/>
  <c r="I188" i="5" s="1"/>
  <c r="I174" i="6" s="1"/>
  <c r="F87" i="11"/>
  <c r="L123" i="5" s="1"/>
  <c r="L135" i="5" s="1"/>
  <c r="H87" i="11"/>
  <c r="N123" i="5" s="1"/>
  <c r="N135" i="5" s="1"/>
  <c r="J87" i="11"/>
  <c r="P123" i="5" s="1"/>
  <c r="P135" i="5" s="1"/>
  <c r="L87" i="11"/>
  <c r="R123" i="5" s="1"/>
  <c r="R135" i="5" s="1"/>
  <c r="M123" i="11"/>
  <c r="E123" i="11"/>
  <c r="G123" i="11"/>
  <c r="I123" i="11"/>
  <c r="L123" i="11"/>
  <c r="J121" i="11"/>
  <c r="J124" i="11" s="1"/>
  <c r="P188" i="5" s="1"/>
  <c r="P174" i="6" s="1"/>
  <c r="V61" i="11"/>
  <c r="G188" i="5" s="1"/>
  <c r="G174" i="6" s="1"/>
  <c r="F121" i="11"/>
  <c r="R61" i="11"/>
  <c r="C188" i="5" s="1"/>
  <c r="C174" i="6" s="1"/>
  <c r="C177" i="6" s="1"/>
  <c r="C185" i="6" s="1"/>
  <c r="H121" i="11"/>
  <c r="T61" i="11"/>
  <c r="E188" i="5" s="1"/>
  <c r="E174" i="6" s="1"/>
  <c r="E177" i="6" s="1"/>
  <c r="E185" i="6" s="1"/>
  <c r="K121" i="11"/>
  <c r="W61" i="11"/>
  <c r="H188" i="5" s="1"/>
  <c r="H174" i="6" s="1"/>
  <c r="H177" i="6" s="1"/>
  <c r="H185" i="6" s="1"/>
  <c r="Y12" i="11"/>
  <c r="J113" i="5" s="1"/>
  <c r="F123" i="11"/>
  <c r="H123" i="11"/>
  <c r="K123" i="11"/>
  <c r="I98" i="9"/>
  <c r="M126" i="9"/>
  <c r="M127" i="9" s="1"/>
  <c r="S103" i="5" s="1"/>
  <c r="Y65" i="9"/>
  <c r="J103" i="5" s="1"/>
  <c r="E126" i="9"/>
  <c r="E127" i="9" s="1"/>
  <c r="K103" i="5" s="1"/>
  <c r="K106" i="5" s="1"/>
  <c r="Q65" i="9"/>
  <c r="B103" i="5" s="1"/>
  <c r="B106" i="5" s="1"/>
  <c r="B108" i="5" s="1"/>
  <c r="G126" i="9"/>
  <c r="G127" i="9" s="1"/>
  <c r="M103" i="5" s="1"/>
  <c r="M106" i="5" s="1"/>
  <c r="S65" i="9"/>
  <c r="D103" i="5" s="1"/>
  <c r="D106" i="5" s="1"/>
  <c r="D108" i="5" s="1"/>
  <c r="I126" i="9"/>
  <c r="I127" i="9" s="1"/>
  <c r="O103" i="5" s="1"/>
  <c r="U65" i="9"/>
  <c r="F103" i="5" s="1"/>
  <c r="L126" i="9"/>
  <c r="L127" i="9" s="1"/>
  <c r="R103" i="5" s="1"/>
  <c r="X65" i="9"/>
  <c r="I103" i="5" s="1"/>
  <c r="R38" i="9"/>
  <c r="C51" i="5" s="1"/>
  <c r="T38" i="9"/>
  <c r="E51" i="5" s="1"/>
  <c r="M96" i="9"/>
  <c r="E96" i="9"/>
  <c r="G96" i="9"/>
  <c r="I96" i="9"/>
  <c r="W50" i="9"/>
  <c r="H62" i="5" s="1"/>
  <c r="H73" i="5" s="1"/>
  <c r="M106" i="9"/>
  <c r="M108" i="9"/>
  <c r="M109" i="9"/>
  <c r="M110" i="9"/>
  <c r="M111" i="9"/>
  <c r="J126" i="9"/>
  <c r="J127" i="9" s="1"/>
  <c r="P103" i="5" s="1"/>
  <c r="V65" i="9"/>
  <c r="G103" i="5" s="1"/>
  <c r="F126" i="9"/>
  <c r="F127" i="9" s="1"/>
  <c r="L103" i="5" s="1"/>
  <c r="L106" i="5" s="1"/>
  <c r="R65" i="9"/>
  <c r="C103" i="5" s="1"/>
  <c r="C106" i="5" s="1"/>
  <c r="C108" i="5" s="1"/>
  <c r="H126" i="9"/>
  <c r="H127" i="9" s="1"/>
  <c r="N103" i="5" s="1"/>
  <c r="N106" i="5" s="1"/>
  <c r="T65" i="9"/>
  <c r="E103" i="5" s="1"/>
  <c r="E106" i="5" s="1"/>
  <c r="E108" i="5" s="1"/>
  <c r="K126" i="9"/>
  <c r="K127" i="9" s="1"/>
  <c r="Q103" i="5" s="1"/>
  <c r="Q106" i="5" s="1"/>
  <c r="W65" i="9"/>
  <c r="H103" i="5" s="1"/>
  <c r="H106" i="5" s="1"/>
  <c r="G100" i="9"/>
  <c r="M51" i="5" s="1"/>
  <c r="M107" i="11"/>
  <c r="E107" i="11"/>
  <c r="G107" i="11"/>
  <c r="I107" i="11"/>
  <c r="L107" i="11"/>
  <c r="M108" i="11"/>
  <c r="E108" i="11"/>
  <c r="G108" i="11"/>
  <c r="F107" i="11"/>
  <c r="H107" i="11"/>
  <c r="K107" i="11"/>
  <c r="F108" i="11"/>
  <c r="H108" i="11"/>
  <c r="K108" i="11"/>
  <c r="I108" i="11"/>
  <c r="L108" i="11"/>
  <c r="K87" i="11"/>
  <c r="Q123" i="5" s="1"/>
  <c r="Q135" i="5" s="1"/>
  <c r="M87" i="11"/>
  <c r="S123" i="5" s="1"/>
  <c r="S135" i="5" s="1"/>
  <c r="M73" i="11"/>
  <c r="M72" i="11"/>
  <c r="F75" i="11"/>
  <c r="L113" i="5" s="1"/>
  <c r="H75" i="11"/>
  <c r="N113" i="5" s="1"/>
  <c r="K75" i="11"/>
  <c r="Q113" i="5" s="1"/>
  <c r="I75" i="11"/>
  <c r="O113" i="5" s="1"/>
  <c r="K103" i="11"/>
  <c r="K104" i="11"/>
  <c r="K106" i="11"/>
  <c r="K109" i="11"/>
  <c r="K110" i="11"/>
  <c r="K111" i="11"/>
  <c r="K112" i="11"/>
  <c r="M91" i="11"/>
  <c r="M92" i="11"/>
  <c r="M93" i="11"/>
  <c r="M94" i="11"/>
  <c r="M96" i="11"/>
  <c r="M97" i="11"/>
  <c r="M98" i="11"/>
  <c r="M99" i="11"/>
  <c r="E103" i="11"/>
  <c r="G103" i="11"/>
  <c r="I103" i="11"/>
  <c r="M104" i="11"/>
  <c r="E104" i="11"/>
  <c r="G104" i="11"/>
  <c r="I104" i="11"/>
  <c r="M106" i="11"/>
  <c r="E106" i="11"/>
  <c r="G106" i="11"/>
  <c r="I106" i="11"/>
  <c r="M109" i="11"/>
  <c r="E109" i="11"/>
  <c r="G109" i="11"/>
  <c r="I109" i="11"/>
  <c r="M110" i="11"/>
  <c r="E110" i="11"/>
  <c r="G110" i="11"/>
  <c r="I110" i="11"/>
  <c r="M111" i="11"/>
  <c r="E111" i="11"/>
  <c r="G111" i="11"/>
  <c r="I111" i="11"/>
  <c r="M112" i="11"/>
  <c r="E112" i="11"/>
  <c r="G112" i="11"/>
  <c r="I112" i="11"/>
  <c r="K91" i="9"/>
  <c r="K92" i="9"/>
  <c r="K93" i="9"/>
  <c r="K94" i="9"/>
  <c r="K95" i="9"/>
  <c r="K96" i="9"/>
  <c r="K97" i="9"/>
  <c r="K98" i="9"/>
  <c r="K99" i="9"/>
  <c r="M90" i="11"/>
  <c r="Y37" i="11"/>
  <c r="J146" i="5" s="1"/>
  <c r="M103" i="11"/>
  <c r="Y50" i="11"/>
  <c r="J157" i="5" s="1"/>
  <c r="J90" i="11"/>
  <c r="J100" i="11" s="1"/>
  <c r="P146" i="5" s="1"/>
  <c r="V37" i="11"/>
  <c r="G146" i="5" s="1"/>
  <c r="J103" i="11"/>
  <c r="J113" i="11" s="1"/>
  <c r="P157" i="5" s="1"/>
  <c r="V50" i="11"/>
  <c r="G157" i="5" s="1"/>
  <c r="E90" i="11"/>
  <c r="G90" i="11"/>
  <c r="I90" i="11"/>
  <c r="K90" i="11"/>
  <c r="E91" i="11"/>
  <c r="G91" i="11"/>
  <c r="I91" i="11"/>
  <c r="K91" i="11"/>
  <c r="E92" i="11"/>
  <c r="G92" i="11"/>
  <c r="I92" i="11"/>
  <c r="K92" i="11"/>
  <c r="E93" i="11"/>
  <c r="G93" i="11"/>
  <c r="I93" i="11"/>
  <c r="K93" i="11"/>
  <c r="E94" i="11"/>
  <c r="G94" i="11"/>
  <c r="I94" i="11"/>
  <c r="K94" i="11"/>
  <c r="E96" i="11"/>
  <c r="G96" i="11"/>
  <c r="I96" i="11"/>
  <c r="K96" i="11"/>
  <c r="E97" i="11"/>
  <c r="G97" i="11"/>
  <c r="I97" i="11"/>
  <c r="K97" i="11"/>
  <c r="E98" i="11"/>
  <c r="G98" i="11"/>
  <c r="I98" i="11"/>
  <c r="K98" i="11"/>
  <c r="E99" i="11"/>
  <c r="G99" i="11"/>
  <c r="I99" i="11"/>
  <c r="K99" i="11"/>
  <c r="F103" i="11"/>
  <c r="H103" i="11"/>
  <c r="L103" i="11"/>
  <c r="F104" i="11"/>
  <c r="H104" i="11"/>
  <c r="L104" i="11"/>
  <c r="F106" i="11"/>
  <c r="H106" i="11"/>
  <c r="L106" i="11"/>
  <c r="F109" i="11"/>
  <c r="H109" i="11"/>
  <c r="L109" i="11"/>
  <c r="F110" i="11"/>
  <c r="H110" i="11"/>
  <c r="L110" i="11"/>
  <c r="F111" i="11"/>
  <c r="H111" i="11"/>
  <c r="L111" i="11"/>
  <c r="F112" i="11"/>
  <c r="H112" i="11"/>
  <c r="L112" i="11"/>
  <c r="Q50" i="11"/>
  <c r="B157" i="5" s="1"/>
  <c r="S50" i="11"/>
  <c r="D157" i="5" s="1"/>
  <c r="U50" i="11"/>
  <c r="F157" i="5" s="1"/>
  <c r="W50" i="11"/>
  <c r="H157" i="5" s="1"/>
  <c r="F90" i="11"/>
  <c r="H90" i="11"/>
  <c r="L90" i="11"/>
  <c r="F91" i="11"/>
  <c r="H91" i="11"/>
  <c r="L91" i="11"/>
  <c r="F92" i="11"/>
  <c r="H92" i="11"/>
  <c r="L92" i="11"/>
  <c r="F93" i="11"/>
  <c r="H93" i="11"/>
  <c r="L93" i="11"/>
  <c r="F94" i="11"/>
  <c r="H94" i="11"/>
  <c r="L94" i="11"/>
  <c r="F96" i="11"/>
  <c r="H96" i="11"/>
  <c r="L96" i="11"/>
  <c r="F97" i="11"/>
  <c r="H97" i="11"/>
  <c r="L97" i="11"/>
  <c r="F98" i="11"/>
  <c r="H98" i="11"/>
  <c r="L98" i="11"/>
  <c r="F99" i="11"/>
  <c r="H99" i="11"/>
  <c r="L99" i="11"/>
  <c r="Q37" i="11"/>
  <c r="B146" i="5" s="1"/>
  <c r="S37" i="11"/>
  <c r="D146" i="5" s="1"/>
  <c r="U37" i="11"/>
  <c r="F146" i="5" s="1"/>
  <c r="W37" i="11"/>
  <c r="H146" i="5" s="1"/>
  <c r="R50" i="11"/>
  <c r="C157" i="5" s="1"/>
  <c r="T50" i="11"/>
  <c r="E157" i="5" s="1"/>
  <c r="X50" i="11"/>
  <c r="I157" i="5" s="1"/>
  <c r="M91" i="9"/>
  <c r="Y38" i="9"/>
  <c r="J51" i="5" s="1"/>
  <c r="M103" i="9"/>
  <c r="Y50" i="9"/>
  <c r="J62" i="5" s="1"/>
  <c r="J73" i="5" s="1"/>
  <c r="J91" i="9"/>
  <c r="V38" i="9"/>
  <c r="G51" i="5" s="1"/>
  <c r="J103" i="9"/>
  <c r="J112" i="9" s="1"/>
  <c r="P62" i="5" s="1"/>
  <c r="P73" i="5" s="1"/>
  <c r="V50" i="9"/>
  <c r="G62" i="5" s="1"/>
  <c r="G73" i="5" s="1"/>
  <c r="F103" i="9"/>
  <c r="H103" i="9"/>
  <c r="L103" i="9"/>
  <c r="F105" i="9"/>
  <c r="H105" i="9"/>
  <c r="L105" i="9"/>
  <c r="F106" i="9"/>
  <c r="H106" i="9"/>
  <c r="L106" i="9"/>
  <c r="F108" i="9"/>
  <c r="H108" i="9"/>
  <c r="L108" i="9"/>
  <c r="F109" i="9"/>
  <c r="H109" i="9"/>
  <c r="L109" i="9"/>
  <c r="F110" i="9"/>
  <c r="H110" i="9"/>
  <c r="L110" i="9"/>
  <c r="F111" i="9"/>
  <c r="H111" i="9"/>
  <c r="L111" i="9"/>
  <c r="F91" i="9"/>
  <c r="H91" i="9"/>
  <c r="L91" i="9"/>
  <c r="F92" i="9"/>
  <c r="H92" i="9"/>
  <c r="L92" i="9"/>
  <c r="F93" i="9"/>
  <c r="H93" i="9"/>
  <c r="L93" i="9"/>
  <c r="F94" i="9"/>
  <c r="H94" i="9"/>
  <c r="L94" i="9"/>
  <c r="F95" i="9"/>
  <c r="H95" i="9"/>
  <c r="L95" i="9"/>
  <c r="F96" i="9"/>
  <c r="H96" i="9"/>
  <c r="L96" i="9"/>
  <c r="F97" i="9"/>
  <c r="H97" i="9"/>
  <c r="L97" i="9"/>
  <c r="F98" i="9"/>
  <c r="H98" i="9"/>
  <c r="L98" i="9"/>
  <c r="F99" i="9"/>
  <c r="H99" i="9"/>
  <c r="L99" i="9"/>
  <c r="Q38" i="9"/>
  <c r="B51" i="5" s="1"/>
  <c r="S38" i="9"/>
  <c r="D51" i="5" s="1"/>
  <c r="U38" i="9"/>
  <c r="F51" i="5" s="1"/>
  <c r="W38" i="9"/>
  <c r="H51" i="5" s="1"/>
  <c r="E103" i="9"/>
  <c r="G103" i="9"/>
  <c r="I103" i="9"/>
  <c r="K103" i="9"/>
  <c r="E105" i="9"/>
  <c r="G105" i="9"/>
  <c r="I105" i="9"/>
  <c r="K105" i="9"/>
  <c r="E106" i="9"/>
  <c r="G106" i="9"/>
  <c r="I106" i="9"/>
  <c r="K106" i="9"/>
  <c r="E108" i="9"/>
  <c r="G108" i="9"/>
  <c r="I108" i="9"/>
  <c r="K108" i="9"/>
  <c r="E109" i="9"/>
  <c r="G109" i="9"/>
  <c r="I109" i="9"/>
  <c r="K109" i="9"/>
  <c r="E110" i="9"/>
  <c r="G110" i="9"/>
  <c r="I110" i="9"/>
  <c r="K110" i="9"/>
  <c r="E111" i="9"/>
  <c r="G111" i="9"/>
  <c r="I111" i="9"/>
  <c r="K111" i="9"/>
  <c r="R50" i="9"/>
  <c r="C62" i="5" s="1"/>
  <c r="C73" i="5" s="1"/>
  <c r="T50" i="9"/>
  <c r="E62" i="5" s="1"/>
  <c r="E73" i="5" s="1"/>
  <c r="E133" i="6" s="1"/>
  <c r="X50" i="9"/>
  <c r="I62" i="5" s="1"/>
  <c r="I73" i="5" s="1"/>
  <c r="J75" i="1"/>
  <c r="L75" i="1"/>
  <c r="I75" i="1"/>
  <c r="G75" i="1"/>
  <c r="E75" i="1"/>
  <c r="F71" i="1"/>
  <c r="H71" i="1"/>
  <c r="K71" i="1"/>
  <c r="E71" i="1"/>
  <c r="G71" i="1"/>
  <c r="I71" i="1"/>
  <c r="L71" i="1"/>
  <c r="M71" i="1"/>
  <c r="C48" i="4"/>
  <c r="P20" i="5" s="1"/>
  <c r="B48" i="4"/>
  <c r="O20" i="5" s="1"/>
  <c r="B46" i="4"/>
  <c r="B36" i="4"/>
  <c r="A36" i="4"/>
  <c r="B34" i="4"/>
  <c r="A34" i="4"/>
  <c r="B15" i="4" s="1"/>
  <c r="C17" i="4"/>
  <c r="B17" i="4"/>
  <c r="C15" i="4"/>
  <c r="B12" i="4"/>
  <c r="B13" i="4" s="1"/>
  <c r="B3" i="4"/>
  <c r="B4" i="4" s="1"/>
  <c r="F20" i="5"/>
  <c r="C45" i="4"/>
  <c r="C46" i="4" s="1"/>
  <c r="Q137" i="2"/>
  <c r="Q136" i="2"/>
  <c r="Q135" i="2"/>
  <c r="Q134" i="2"/>
  <c r="AF23" i="2"/>
  <c r="P137" i="2"/>
  <c r="P136" i="2"/>
  <c r="P135" i="2"/>
  <c r="P134" i="2"/>
  <c r="AD23" i="2"/>
  <c r="P132" i="2" s="1"/>
  <c r="AD147" i="3"/>
  <c r="AC130" i="3"/>
  <c r="AD126" i="3"/>
  <c r="AP126" i="3" s="1"/>
  <c r="AD125" i="3"/>
  <c r="AC126" i="3"/>
  <c r="AO126" i="3" s="1"/>
  <c r="AC125" i="3"/>
  <c r="P131" i="2"/>
  <c r="O132" i="2"/>
  <c r="O131" i="2"/>
  <c r="L132" i="2"/>
  <c r="L131" i="2"/>
  <c r="K132" i="2"/>
  <c r="K131" i="2"/>
  <c r="J132" i="2"/>
  <c r="J131" i="2"/>
  <c r="H132" i="2"/>
  <c r="H131" i="2"/>
  <c r="G132" i="2"/>
  <c r="G131" i="2"/>
  <c r="P35" i="1"/>
  <c r="P27" i="1"/>
  <c r="P25" i="1"/>
  <c r="P24" i="1"/>
  <c r="Y36" i="1"/>
  <c r="M73" i="1" s="1"/>
  <c r="V26" i="1"/>
  <c r="J63" i="1" s="1"/>
  <c r="V25" i="1"/>
  <c r="Y35" i="1"/>
  <c r="R132" i="2"/>
  <c r="R131" i="2"/>
  <c r="AC147" i="3"/>
  <c r="AB147" i="3"/>
  <c r="Y147" i="3"/>
  <c r="X147" i="3"/>
  <c r="W147" i="3"/>
  <c r="V147" i="3"/>
  <c r="U147" i="3"/>
  <c r="T147" i="3"/>
  <c r="AB130" i="3"/>
  <c r="AN130" i="3" s="1"/>
  <c r="AN131" i="3" s="1"/>
  <c r="Y130" i="3"/>
  <c r="AK130" i="3" s="1"/>
  <c r="AK131" i="3" s="1"/>
  <c r="X130" i="3"/>
  <c r="AJ130" i="3" s="1"/>
  <c r="AJ131" i="3" s="1"/>
  <c r="W130" i="3"/>
  <c r="AI130" i="3" s="1"/>
  <c r="AI131" i="3" s="1"/>
  <c r="V130" i="3"/>
  <c r="AH130" i="3" s="1"/>
  <c r="AH131" i="3" s="1"/>
  <c r="U130" i="3"/>
  <c r="AG130" i="3" s="1"/>
  <c r="AG131" i="3" s="1"/>
  <c r="T130" i="3"/>
  <c r="AF130" i="3" s="1"/>
  <c r="AF131" i="3" s="1"/>
  <c r="AD130" i="3"/>
  <c r="AP130" i="3" s="1"/>
  <c r="AP131" i="3" s="1"/>
  <c r="AK126" i="3"/>
  <c r="AI126" i="3"/>
  <c r="AG126" i="3"/>
  <c r="AN125" i="3"/>
  <c r="AK125" i="3"/>
  <c r="AJ125" i="3"/>
  <c r="AI125" i="3"/>
  <c r="AH125" i="3"/>
  <c r="AG125" i="3"/>
  <c r="AF125" i="3"/>
  <c r="M68" i="1"/>
  <c r="L68" i="1"/>
  <c r="K68" i="1"/>
  <c r="J68" i="1"/>
  <c r="I68" i="1"/>
  <c r="H68" i="1"/>
  <c r="G68" i="1"/>
  <c r="F68" i="1"/>
  <c r="E68" i="1"/>
  <c r="A76" i="1"/>
  <c r="A74" i="1"/>
  <c r="A73" i="1"/>
  <c r="A72" i="1"/>
  <c r="A70" i="1"/>
  <c r="A69" i="1"/>
  <c r="A68" i="1"/>
  <c r="A66" i="1"/>
  <c r="A65" i="1"/>
  <c r="A64" i="1"/>
  <c r="A63" i="1"/>
  <c r="A62" i="1"/>
  <c r="A61" i="1"/>
  <c r="A60" i="1"/>
  <c r="A59" i="1"/>
  <c r="A58" i="1"/>
  <c r="A57" i="1"/>
  <c r="A56" i="1"/>
  <c r="X37" i="1"/>
  <c r="L74" i="1" s="1"/>
  <c r="W37" i="1"/>
  <c r="K74" i="1" s="1"/>
  <c r="U37" i="1"/>
  <c r="I74" i="1" s="1"/>
  <c r="T37" i="1"/>
  <c r="H74" i="1" s="1"/>
  <c r="S37" i="1"/>
  <c r="G74" i="1" s="1"/>
  <c r="R37" i="1"/>
  <c r="F74" i="1" s="1"/>
  <c r="Q37" i="1"/>
  <c r="E74" i="1" s="1"/>
  <c r="Y37" i="1"/>
  <c r="M74" i="1" s="1"/>
  <c r="V37" i="1"/>
  <c r="J74" i="1" s="1"/>
  <c r="X36" i="1"/>
  <c r="L73" i="1" s="1"/>
  <c r="W36" i="1"/>
  <c r="K73" i="1" s="1"/>
  <c r="U36" i="1"/>
  <c r="I73" i="1" s="1"/>
  <c r="T36" i="1"/>
  <c r="H73" i="1" s="1"/>
  <c r="S36" i="1"/>
  <c r="G73" i="1" s="1"/>
  <c r="R36" i="1"/>
  <c r="F73" i="1" s="1"/>
  <c r="Q36" i="1"/>
  <c r="E73" i="1" s="1"/>
  <c r="V36" i="1"/>
  <c r="J73" i="1" s="1"/>
  <c r="X35" i="1"/>
  <c r="L72" i="1" s="1"/>
  <c r="W35" i="1"/>
  <c r="U35" i="1"/>
  <c r="T35" i="1"/>
  <c r="S35" i="1"/>
  <c r="R35" i="1"/>
  <c r="Q35" i="1"/>
  <c r="V35" i="1"/>
  <c r="X33" i="1"/>
  <c r="L70" i="1" s="1"/>
  <c r="W33" i="1"/>
  <c r="K70" i="1" s="1"/>
  <c r="U33" i="1"/>
  <c r="I70" i="1" s="1"/>
  <c r="T33" i="1"/>
  <c r="H70" i="1" s="1"/>
  <c r="S33" i="1"/>
  <c r="G70" i="1" s="1"/>
  <c r="R33" i="1"/>
  <c r="F70" i="1" s="1"/>
  <c r="Q33" i="1"/>
  <c r="E70" i="1" s="1"/>
  <c r="Y33" i="1"/>
  <c r="M70" i="1" s="1"/>
  <c r="V33" i="1"/>
  <c r="J70" i="1" s="1"/>
  <c r="X32" i="1"/>
  <c r="L69" i="1" s="1"/>
  <c r="W32" i="1"/>
  <c r="K69" i="1" s="1"/>
  <c r="U32" i="1"/>
  <c r="I69" i="1" s="1"/>
  <c r="T32" i="1"/>
  <c r="H69" i="1" s="1"/>
  <c r="S32" i="1"/>
  <c r="G69" i="1" s="1"/>
  <c r="R32" i="1"/>
  <c r="F69" i="1" s="1"/>
  <c r="Q32" i="1"/>
  <c r="E69" i="1" s="1"/>
  <c r="Y32" i="1"/>
  <c r="M69" i="1" s="1"/>
  <c r="V32" i="1"/>
  <c r="J69" i="1" s="1"/>
  <c r="X28" i="1"/>
  <c r="L65" i="1" s="1"/>
  <c r="W28" i="1"/>
  <c r="K65" i="1" s="1"/>
  <c r="U28" i="1"/>
  <c r="I65" i="1" s="1"/>
  <c r="T28" i="1"/>
  <c r="H65" i="1" s="1"/>
  <c r="S28" i="1"/>
  <c r="G65" i="1" s="1"/>
  <c r="R28" i="1"/>
  <c r="F65" i="1" s="1"/>
  <c r="Q28" i="1"/>
  <c r="E65" i="1" s="1"/>
  <c r="Y28" i="1"/>
  <c r="M65" i="1" s="1"/>
  <c r="V28" i="1"/>
  <c r="J65" i="1" s="1"/>
  <c r="X27" i="1"/>
  <c r="W27" i="1"/>
  <c r="U27" i="1"/>
  <c r="T27" i="1"/>
  <c r="S27" i="1"/>
  <c r="R27" i="1"/>
  <c r="Q27" i="1"/>
  <c r="E64" i="1" s="1"/>
  <c r="Y27" i="1"/>
  <c r="V27" i="1"/>
  <c r="X26" i="1"/>
  <c r="L63" i="1" s="1"/>
  <c r="W26" i="1"/>
  <c r="K63" i="1" s="1"/>
  <c r="U26" i="1"/>
  <c r="I63" i="1" s="1"/>
  <c r="T26" i="1"/>
  <c r="H63" i="1" s="1"/>
  <c r="S26" i="1"/>
  <c r="G63" i="1" s="1"/>
  <c r="R26" i="1"/>
  <c r="F63" i="1" s="1"/>
  <c r="Q26" i="1"/>
  <c r="E63" i="1" s="1"/>
  <c r="Y26" i="1"/>
  <c r="M63" i="1" s="1"/>
  <c r="X25" i="1"/>
  <c r="L62" i="1" s="1"/>
  <c r="W25" i="1"/>
  <c r="U25" i="1"/>
  <c r="T25" i="1"/>
  <c r="S25" i="1"/>
  <c r="R25" i="1"/>
  <c r="Q25" i="1"/>
  <c r="E62" i="1" s="1"/>
  <c r="Y25" i="1"/>
  <c r="X24" i="1"/>
  <c r="W24" i="1"/>
  <c r="U24" i="1"/>
  <c r="T24" i="1"/>
  <c r="S24" i="1"/>
  <c r="R24" i="1"/>
  <c r="Q24" i="1"/>
  <c r="Y24" i="1"/>
  <c r="V24" i="1"/>
  <c r="X23" i="1"/>
  <c r="L60" i="1" s="1"/>
  <c r="W23" i="1"/>
  <c r="K60" i="1" s="1"/>
  <c r="U23" i="1"/>
  <c r="I60" i="1" s="1"/>
  <c r="T23" i="1"/>
  <c r="H60" i="1" s="1"/>
  <c r="S23" i="1"/>
  <c r="G60" i="1" s="1"/>
  <c r="R23" i="1"/>
  <c r="F60" i="1" s="1"/>
  <c r="Q23" i="1"/>
  <c r="E60" i="1" s="1"/>
  <c r="Y23" i="1"/>
  <c r="M60" i="1" s="1"/>
  <c r="V23" i="1"/>
  <c r="J60" i="1" s="1"/>
  <c r="X22" i="1"/>
  <c r="L59" i="1" s="1"/>
  <c r="W22" i="1"/>
  <c r="K59" i="1" s="1"/>
  <c r="U22" i="1"/>
  <c r="I59" i="1" s="1"/>
  <c r="T22" i="1"/>
  <c r="H59" i="1" s="1"/>
  <c r="S22" i="1"/>
  <c r="G59" i="1" s="1"/>
  <c r="R22" i="1"/>
  <c r="F59" i="1" s="1"/>
  <c r="Q22" i="1"/>
  <c r="E59" i="1" s="1"/>
  <c r="Y22" i="1"/>
  <c r="M59" i="1" s="1"/>
  <c r="V22" i="1"/>
  <c r="J59" i="1" s="1"/>
  <c r="X21" i="1"/>
  <c r="W21" i="1"/>
  <c r="U21" i="1"/>
  <c r="T21" i="1"/>
  <c r="S21" i="1"/>
  <c r="R21" i="1"/>
  <c r="Q21" i="1"/>
  <c r="Y21" i="1"/>
  <c r="V21" i="1"/>
  <c r="X20" i="1"/>
  <c r="L57" i="1" s="1"/>
  <c r="W20" i="1"/>
  <c r="K57" i="1" s="1"/>
  <c r="U20" i="1"/>
  <c r="I57" i="1" s="1"/>
  <c r="T20" i="1"/>
  <c r="H57" i="1" s="1"/>
  <c r="S20" i="1"/>
  <c r="G57" i="1" s="1"/>
  <c r="R20" i="1"/>
  <c r="F57" i="1" s="1"/>
  <c r="Q20" i="1"/>
  <c r="E57" i="1" s="1"/>
  <c r="Y20" i="1"/>
  <c r="M57" i="1" s="1"/>
  <c r="V20" i="1"/>
  <c r="J57" i="1" s="1"/>
  <c r="R5" i="5" l="1"/>
  <c r="R5" i="53"/>
  <c r="M62" i="1"/>
  <c r="J64" i="1"/>
  <c r="L64" i="1"/>
  <c r="C133" i="6"/>
  <c r="N5" i="5"/>
  <c r="N5" i="53"/>
  <c r="I41" i="55"/>
  <c r="M5" i="5"/>
  <c r="M5" i="53"/>
  <c r="G62" i="1"/>
  <c r="H62" i="1"/>
  <c r="G64" i="1"/>
  <c r="J72" i="1"/>
  <c r="J100" i="9"/>
  <c r="P51" i="5" s="1"/>
  <c r="P41" i="6" s="1"/>
  <c r="I100" i="9"/>
  <c r="O51" i="5" s="1"/>
  <c r="V12" i="11"/>
  <c r="G113" i="5" s="1"/>
  <c r="G133" i="6" s="1"/>
  <c r="L5" i="5"/>
  <c r="L5" i="53"/>
  <c r="K5" i="5"/>
  <c r="K5" i="53"/>
  <c r="S5" i="5"/>
  <c r="S5" i="53"/>
  <c r="I62" i="1"/>
  <c r="J133" i="6"/>
  <c r="Q5" i="5"/>
  <c r="Q5" i="53"/>
  <c r="F62" i="1"/>
  <c r="P5" i="5"/>
  <c r="P5" i="53"/>
  <c r="K62" i="1"/>
  <c r="I64" i="1"/>
  <c r="I133" i="6"/>
  <c r="E100" i="9"/>
  <c r="K51" i="5" s="1"/>
  <c r="C30" i="53"/>
  <c r="C119" i="55" s="1"/>
  <c r="C168" i="5"/>
  <c r="C36" i="55" s="1"/>
  <c r="C7" i="55"/>
  <c r="D7" i="55"/>
  <c r="D30" i="53"/>
  <c r="D119" i="55" s="1"/>
  <c r="D168" i="5"/>
  <c r="D36" i="55" s="1"/>
  <c r="E30" i="53"/>
  <c r="E119" i="55" s="1"/>
  <c r="E168" i="5"/>
  <c r="E36" i="55" s="1"/>
  <c r="E7" i="55"/>
  <c r="H7" i="55"/>
  <c r="H30" i="53"/>
  <c r="H119" i="55" s="1"/>
  <c r="H168" i="5"/>
  <c r="H36" i="55" s="1"/>
  <c r="I30" i="53"/>
  <c r="I119" i="55" s="1"/>
  <c r="I168" i="5"/>
  <c r="I36" i="55" s="1"/>
  <c r="I7" i="55"/>
  <c r="C18" i="53"/>
  <c r="C99" i="55" s="1"/>
  <c r="C41" i="5"/>
  <c r="C113" i="6" s="1"/>
  <c r="C6" i="53"/>
  <c r="C9" i="53" s="1"/>
  <c r="D6" i="53"/>
  <c r="D9" i="53" s="1"/>
  <c r="D18" i="53"/>
  <c r="D99" i="55" s="1"/>
  <c r="D41" i="5"/>
  <c r="D113" i="6" s="1"/>
  <c r="E18" i="53"/>
  <c r="E99" i="55" s="1"/>
  <c r="E41" i="5"/>
  <c r="E113" i="6" s="1"/>
  <c r="E6" i="53"/>
  <c r="E9" i="53" s="1"/>
  <c r="H6" i="53"/>
  <c r="H9" i="53" s="1"/>
  <c r="H18" i="53"/>
  <c r="H99" i="55" s="1"/>
  <c r="H41" i="5"/>
  <c r="H113" i="6" s="1"/>
  <c r="I18" i="53"/>
  <c r="I99" i="55" s="1"/>
  <c r="I41" i="5"/>
  <c r="I6" i="53"/>
  <c r="I9" i="53" s="1"/>
  <c r="M100" i="9"/>
  <c r="S51" i="5" s="1"/>
  <c r="S41" i="55" s="1"/>
  <c r="Q161" i="55"/>
  <c r="H41" i="6"/>
  <c r="H41" i="55"/>
  <c r="D41" i="6"/>
  <c r="D41" i="55"/>
  <c r="G41" i="6"/>
  <c r="G41" i="55"/>
  <c r="J41" i="6"/>
  <c r="J41" i="55"/>
  <c r="M41" i="6"/>
  <c r="M41" i="55"/>
  <c r="C41" i="6"/>
  <c r="C41" i="55"/>
  <c r="K58" i="54"/>
  <c r="K150" i="55"/>
  <c r="K155" i="55" s="1"/>
  <c r="K156" i="55" s="1"/>
  <c r="K9" i="54"/>
  <c r="K86" i="55"/>
  <c r="K90" i="55" s="1"/>
  <c r="K91" i="55" s="1"/>
  <c r="S9" i="54"/>
  <c r="S86" i="55"/>
  <c r="S90" i="55" s="1"/>
  <c r="S91" i="55" s="1"/>
  <c r="F41" i="6"/>
  <c r="F41" i="55"/>
  <c r="B41" i="6"/>
  <c r="B41" i="55"/>
  <c r="S41" i="6"/>
  <c r="O41" i="6"/>
  <c r="O41" i="55"/>
  <c r="K41" i="6"/>
  <c r="K41" i="55"/>
  <c r="E41" i="6"/>
  <c r="E41" i="55"/>
  <c r="M58" i="54"/>
  <c r="M150" i="55"/>
  <c r="M155" i="55" s="1"/>
  <c r="M156" i="55" s="1"/>
  <c r="L8" i="55"/>
  <c r="L169" i="5"/>
  <c r="L37" i="55" s="1"/>
  <c r="L31" i="53"/>
  <c r="L120" i="55" s="1"/>
  <c r="K169" i="5"/>
  <c r="K37" i="55" s="1"/>
  <c r="K31" i="53"/>
  <c r="K120" i="55" s="1"/>
  <c r="K8" i="55"/>
  <c r="Q169" i="5"/>
  <c r="Q37" i="55" s="1"/>
  <c r="Q31" i="53"/>
  <c r="Q120" i="55" s="1"/>
  <c r="Q8" i="55"/>
  <c r="S169" i="5"/>
  <c r="S37" i="55" s="1"/>
  <c r="S31" i="53"/>
  <c r="S120" i="55" s="1"/>
  <c r="S8" i="55"/>
  <c r="M169" i="5"/>
  <c r="M37" i="55" s="1"/>
  <c r="M31" i="53"/>
  <c r="M120" i="55" s="1"/>
  <c r="M8" i="55"/>
  <c r="N8" i="55"/>
  <c r="N169" i="5"/>
  <c r="N37" i="55" s="1"/>
  <c r="N31" i="53"/>
  <c r="N120" i="55" s="1"/>
  <c r="Q139" i="5"/>
  <c r="N139" i="5"/>
  <c r="M139" i="5"/>
  <c r="M199" i="6"/>
  <c r="M204" i="6" s="1"/>
  <c r="M205" i="6" s="1"/>
  <c r="M194" i="23"/>
  <c r="F133" i="6"/>
  <c r="B133" i="6"/>
  <c r="D133" i="6"/>
  <c r="L139" i="5"/>
  <c r="K139" i="5"/>
  <c r="K199" i="6"/>
  <c r="K204" i="6" s="1"/>
  <c r="K205" i="6" s="1"/>
  <c r="K194" i="23"/>
  <c r="H133" i="6"/>
  <c r="C7" i="6"/>
  <c r="D7" i="6"/>
  <c r="E7" i="6"/>
  <c r="H7" i="6"/>
  <c r="I7" i="6"/>
  <c r="D36" i="6"/>
  <c r="D154" i="6"/>
  <c r="B36" i="6"/>
  <c r="B154" i="6"/>
  <c r="E36" i="6"/>
  <c r="E154" i="6"/>
  <c r="AB137" i="2"/>
  <c r="I200" i="5"/>
  <c r="I189" i="5"/>
  <c r="I191" i="5" s="1"/>
  <c r="I179" i="5"/>
  <c r="I181" i="5" s="1"/>
  <c r="I158" i="5"/>
  <c r="I160" i="5" s="1"/>
  <c r="AC137" i="2"/>
  <c r="J200" i="5"/>
  <c r="J194" i="6" s="1"/>
  <c r="J196" i="6" s="1"/>
  <c r="J205" i="6" s="1"/>
  <c r="J189" i="5"/>
  <c r="J179" i="5"/>
  <c r="J158" i="5"/>
  <c r="AC136" i="2"/>
  <c r="J147" i="5"/>
  <c r="J124" i="5"/>
  <c r="J136" i="5" s="1"/>
  <c r="AB136" i="2"/>
  <c r="I147" i="5"/>
  <c r="I150" i="5" s="1"/>
  <c r="I124" i="5"/>
  <c r="I136" i="5" s="1"/>
  <c r="AB135" i="2"/>
  <c r="I63" i="5"/>
  <c r="I74" i="5" s="1"/>
  <c r="I114" i="5"/>
  <c r="I116" i="5" s="1"/>
  <c r="I104" i="5"/>
  <c r="I106" i="5" s="1"/>
  <c r="I94" i="5"/>
  <c r="I96" i="5" s="1"/>
  <c r="I84" i="5"/>
  <c r="I86" i="5" s="1"/>
  <c r="I18" i="5"/>
  <c r="AC135" i="2"/>
  <c r="J63" i="5"/>
  <c r="J74" i="5" s="1"/>
  <c r="J114" i="5"/>
  <c r="J104" i="5"/>
  <c r="J94" i="5"/>
  <c r="J96" i="5" s="1"/>
  <c r="J84" i="5"/>
  <c r="J18" i="5"/>
  <c r="J106" i="5"/>
  <c r="AC134" i="2"/>
  <c r="J52" i="5"/>
  <c r="J87" i="6"/>
  <c r="J90" i="6" s="1"/>
  <c r="J105" i="6" s="1"/>
  <c r="AB134" i="2"/>
  <c r="I87" i="6"/>
  <c r="I90" i="6" s="1"/>
  <c r="I105" i="6" s="1"/>
  <c r="I52" i="5"/>
  <c r="R23" i="6"/>
  <c r="Q23" i="6"/>
  <c r="M112" i="9"/>
  <c r="S62" i="5" s="1"/>
  <c r="S73" i="5" s="1"/>
  <c r="J75" i="11"/>
  <c r="P113" i="5" s="1"/>
  <c r="P133" i="6" s="1"/>
  <c r="S8" i="6"/>
  <c r="M8" i="6"/>
  <c r="N8" i="6"/>
  <c r="L8" i="6"/>
  <c r="K8" i="6"/>
  <c r="Q8" i="6"/>
  <c r="G20" i="5"/>
  <c r="B18" i="4"/>
  <c r="O149" i="5" s="1"/>
  <c r="O156" i="6" s="1"/>
  <c r="C86" i="5"/>
  <c r="C88" i="5" s="1"/>
  <c r="C202" i="5"/>
  <c r="C204" i="5" s="1"/>
  <c r="C160" i="5"/>
  <c r="C191" i="5"/>
  <c r="C193" i="5" s="1"/>
  <c r="C181" i="5"/>
  <c r="C183" i="5" s="1"/>
  <c r="D86" i="5"/>
  <c r="D88" i="5" s="1"/>
  <c r="D191" i="5"/>
  <c r="D193" i="5" s="1"/>
  <c r="D181" i="5"/>
  <c r="D183" i="5" s="1"/>
  <c r="D202" i="5"/>
  <c r="D204" i="5" s="1"/>
  <c r="D160" i="5"/>
  <c r="D162" i="5" s="1"/>
  <c r="B86" i="5"/>
  <c r="B88" i="5" s="1"/>
  <c r="B191" i="5"/>
  <c r="B193" i="5" s="1"/>
  <c r="B181" i="5"/>
  <c r="B183" i="5" s="1"/>
  <c r="B202" i="5"/>
  <c r="B204" i="5" s="1"/>
  <c r="B160" i="5"/>
  <c r="E86" i="5"/>
  <c r="E88" i="5" s="1"/>
  <c r="E202" i="5"/>
  <c r="E204" i="5" s="1"/>
  <c r="E160" i="5"/>
  <c r="E191" i="5"/>
  <c r="E193" i="5" s="1"/>
  <c r="E181" i="5"/>
  <c r="E183" i="5" s="1"/>
  <c r="H86" i="5"/>
  <c r="H191" i="5"/>
  <c r="H181" i="5"/>
  <c r="H202" i="5"/>
  <c r="H160" i="5"/>
  <c r="D6" i="5"/>
  <c r="C127" i="5"/>
  <c r="C129" i="5" s="1"/>
  <c r="C141" i="5" s="1"/>
  <c r="C150" i="5"/>
  <c r="C152" i="5" s="1"/>
  <c r="C116" i="5"/>
  <c r="C118" i="5" s="1"/>
  <c r="D150" i="5"/>
  <c r="D152" i="5" s="1"/>
  <c r="D116" i="5"/>
  <c r="D118" i="5" s="1"/>
  <c r="D127" i="5"/>
  <c r="D129" i="5" s="1"/>
  <c r="D141" i="5" s="1"/>
  <c r="B113" i="6"/>
  <c r="B6" i="5"/>
  <c r="B32" i="5"/>
  <c r="B34" i="5" s="1"/>
  <c r="B150" i="5"/>
  <c r="B152" i="5" s="1"/>
  <c r="B116" i="5"/>
  <c r="B118" i="5" s="1"/>
  <c r="B127" i="5"/>
  <c r="B129" i="5" s="1"/>
  <c r="B141" i="5" s="1"/>
  <c r="E127" i="5"/>
  <c r="E129" i="5" s="1"/>
  <c r="E141" i="5" s="1"/>
  <c r="E150" i="5"/>
  <c r="E152" i="5" s="1"/>
  <c r="E116" i="5"/>
  <c r="E118" i="5" s="1"/>
  <c r="H32" i="5"/>
  <c r="H150" i="5"/>
  <c r="H116" i="5"/>
  <c r="H127" i="5"/>
  <c r="C6" i="5"/>
  <c r="AO125" i="3"/>
  <c r="AO127" i="3" s="1"/>
  <c r="AP125" i="3"/>
  <c r="AO130" i="3"/>
  <c r="AO131" i="3" s="1"/>
  <c r="AF126" i="3"/>
  <c r="AF127" i="3" s="1"/>
  <c r="AH126" i="3"/>
  <c r="AJ126" i="3"/>
  <c r="AJ127" i="3" s="1"/>
  <c r="AN126" i="3"/>
  <c r="AN127" i="3" s="1"/>
  <c r="AN144" i="3"/>
  <c r="Q53" i="5" s="1"/>
  <c r="T148" i="3"/>
  <c r="C64" i="5" s="1"/>
  <c r="V148" i="3"/>
  <c r="B64" i="5" s="1"/>
  <c r="X148" i="3"/>
  <c r="AB148" i="3"/>
  <c r="H64" i="5" s="1"/>
  <c r="AD148" i="3"/>
  <c r="J64" i="5" s="1"/>
  <c r="AG147" i="3"/>
  <c r="AI147" i="3"/>
  <c r="AK147" i="3"/>
  <c r="AO147" i="3"/>
  <c r="K124" i="11"/>
  <c r="Q188" i="5" s="1"/>
  <c r="Q174" i="6" s="1"/>
  <c r="Q177" i="6" s="1"/>
  <c r="Q185" i="6" s="1"/>
  <c r="F124" i="11"/>
  <c r="L188" i="5" s="1"/>
  <c r="L174" i="6" s="1"/>
  <c r="L177" i="6" s="1"/>
  <c r="L185" i="6" s="1"/>
  <c r="M100" i="11"/>
  <c r="S146" i="5" s="1"/>
  <c r="L124" i="11"/>
  <c r="R188" i="5" s="1"/>
  <c r="R174" i="6" s="1"/>
  <c r="I124" i="11"/>
  <c r="O188" i="5" s="1"/>
  <c r="O174" i="6" s="1"/>
  <c r="G124" i="11"/>
  <c r="M188" i="5" s="1"/>
  <c r="M174" i="6" s="1"/>
  <c r="M177" i="6" s="1"/>
  <c r="M185" i="6" s="1"/>
  <c r="E124" i="11"/>
  <c r="K188" i="5" s="1"/>
  <c r="K174" i="6" s="1"/>
  <c r="K177" i="6" s="1"/>
  <c r="K185" i="6" s="1"/>
  <c r="M124" i="11"/>
  <c r="S188" i="5" s="1"/>
  <c r="S174" i="6" s="1"/>
  <c r="H124" i="11"/>
  <c r="N188" i="5" s="1"/>
  <c r="N174" i="6" s="1"/>
  <c r="N177" i="6" s="1"/>
  <c r="N185" i="6" s="1"/>
  <c r="M113" i="11"/>
  <c r="S157" i="5" s="1"/>
  <c r="M75" i="11"/>
  <c r="S113" i="5" s="1"/>
  <c r="G113" i="11"/>
  <c r="M157" i="5" s="1"/>
  <c r="K113" i="11"/>
  <c r="Q157" i="5" s="1"/>
  <c r="I113" i="11"/>
  <c r="O157" i="5" s="1"/>
  <c r="E113" i="11"/>
  <c r="K157" i="5" s="1"/>
  <c r="K100" i="9"/>
  <c r="Q51" i="5" s="1"/>
  <c r="J62" i="1"/>
  <c r="M61" i="1"/>
  <c r="F61" i="1"/>
  <c r="H61" i="1"/>
  <c r="K61" i="1"/>
  <c r="H100" i="11"/>
  <c r="N146" i="5" s="1"/>
  <c r="L113" i="11"/>
  <c r="R157" i="5" s="1"/>
  <c r="F113" i="11"/>
  <c r="L157" i="5" s="1"/>
  <c r="I100" i="11"/>
  <c r="O146" i="5" s="1"/>
  <c r="E100" i="11"/>
  <c r="K146" i="5" s="1"/>
  <c r="L100" i="11"/>
  <c r="R146" i="5" s="1"/>
  <c r="F100" i="11"/>
  <c r="L146" i="5" s="1"/>
  <c r="H113" i="11"/>
  <c r="N157" i="5" s="1"/>
  <c r="K100" i="11"/>
  <c r="Q146" i="5" s="1"/>
  <c r="G100" i="11"/>
  <c r="M146" i="5" s="1"/>
  <c r="I112" i="9"/>
  <c r="O62" i="5" s="1"/>
  <c r="O73" i="5" s="1"/>
  <c r="O133" i="6" s="1"/>
  <c r="E112" i="9"/>
  <c r="K62" i="5" s="1"/>
  <c r="K73" i="5" s="1"/>
  <c r="K133" i="6" s="1"/>
  <c r="H100" i="9"/>
  <c r="N51" i="5" s="1"/>
  <c r="H112" i="9"/>
  <c r="N62" i="5" s="1"/>
  <c r="N73" i="5" s="1"/>
  <c r="N133" i="6" s="1"/>
  <c r="K112" i="9"/>
  <c r="Q62" i="5" s="1"/>
  <c r="Q73" i="5" s="1"/>
  <c r="Q133" i="6" s="1"/>
  <c r="G112" i="9"/>
  <c r="M62" i="5" s="1"/>
  <c r="M73" i="5" s="1"/>
  <c r="M133" i="6" s="1"/>
  <c r="L100" i="9"/>
  <c r="R51" i="5" s="1"/>
  <c r="F100" i="9"/>
  <c r="L51" i="5" s="1"/>
  <c r="L112" i="9"/>
  <c r="R62" i="5" s="1"/>
  <c r="R73" i="5" s="1"/>
  <c r="R133" i="6" s="1"/>
  <c r="F112" i="9"/>
  <c r="L62" i="5" s="1"/>
  <c r="L73" i="5" s="1"/>
  <c r="L133" i="6" s="1"/>
  <c r="J61" i="1"/>
  <c r="E61" i="1"/>
  <c r="G61" i="1"/>
  <c r="I61" i="1"/>
  <c r="L61" i="1"/>
  <c r="M64" i="1"/>
  <c r="F64" i="1"/>
  <c r="H64" i="1"/>
  <c r="K64" i="1"/>
  <c r="J76" i="1"/>
  <c r="P6" i="55" s="1"/>
  <c r="L76" i="1"/>
  <c r="R6" i="55" s="1"/>
  <c r="Q40" i="1"/>
  <c r="B6" i="55" s="1"/>
  <c r="U40" i="1"/>
  <c r="F6" i="55" s="1"/>
  <c r="Y40" i="1"/>
  <c r="J6" i="55" s="1"/>
  <c r="T40" i="1"/>
  <c r="E6" i="55" s="1"/>
  <c r="X40" i="1"/>
  <c r="I6" i="55" s="1"/>
  <c r="S40" i="1"/>
  <c r="D6" i="55" s="1"/>
  <c r="W40" i="1"/>
  <c r="H6" i="55" s="1"/>
  <c r="R40" i="1"/>
  <c r="C6" i="55" s="1"/>
  <c r="V40" i="1"/>
  <c r="G6" i="55" s="1"/>
  <c r="B16" i="4"/>
  <c r="F149" i="5" s="1"/>
  <c r="F156" i="6" s="1"/>
  <c r="C16" i="4"/>
  <c r="G149" i="5" s="1"/>
  <c r="G156" i="6" s="1"/>
  <c r="C18" i="4"/>
  <c r="P149" i="5" s="1"/>
  <c r="P156" i="6" s="1"/>
  <c r="T127" i="3"/>
  <c r="V127" i="3"/>
  <c r="X127" i="3"/>
  <c r="AB127" i="3"/>
  <c r="AD127" i="3"/>
  <c r="U131" i="3"/>
  <c r="W131" i="3"/>
  <c r="Y131" i="3"/>
  <c r="AC131" i="3"/>
  <c r="T144" i="3"/>
  <c r="C53" i="5" s="1"/>
  <c r="C43" i="55" s="1"/>
  <c r="V144" i="3"/>
  <c r="B53" i="5" s="1"/>
  <c r="X144" i="3"/>
  <c r="AB144" i="3"/>
  <c r="H53" i="5" s="1"/>
  <c r="H43" i="55" s="1"/>
  <c r="AD144" i="3"/>
  <c r="J53" i="5" s="1"/>
  <c r="U127" i="3"/>
  <c r="W127" i="3"/>
  <c r="Y127" i="3"/>
  <c r="AC127" i="3"/>
  <c r="T131" i="3"/>
  <c r="V131" i="3"/>
  <c r="X131" i="3"/>
  <c r="AB131" i="3"/>
  <c r="AD131" i="3"/>
  <c r="U144" i="3"/>
  <c r="D53" i="5" s="1"/>
  <c r="D43" i="55" s="1"/>
  <c r="W144" i="3"/>
  <c r="E53" i="5" s="1"/>
  <c r="Y144" i="3"/>
  <c r="AC144" i="3"/>
  <c r="I53" i="5" s="1"/>
  <c r="U148" i="3"/>
  <c r="D64" i="5" s="1"/>
  <c r="W148" i="3"/>
  <c r="E64" i="5" s="1"/>
  <c r="Y148" i="3"/>
  <c r="AC148" i="3"/>
  <c r="I64" i="5" s="1"/>
  <c r="I75" i="5" s="1"/>
  <c r="I135" i="6" s="1"/>
  <c r="AO144" i="3"/>
  <c r="R53" i="5" s="1"/>
  <c r="AP127" i="3"/>
  <c r="AG127" i="3"/>
  <c r="AI127" i="3"/>
  <c r="AH127" i="3"/>
  <c r="AP144" i="3"/>
  <c r="S53" i="5" s="1"/>
  <c r="AG144" i="3"/>
  <c r="M53" i="5" s="1"/>
  <c r="AI144" i="3"/>
  <c r="N53" i="5" s="1"/>
  <c r="AF144" i="3"/>
  <c r="L53" i="5" s="1"/>
  <c r="AH144" i="3"/>
  <c r="K53" i="5" s="1"/>
  <c r="AP147" i="3"/>
  <c r="AJ144" i="3"/>
  <c r="AK127" i="3"/>
  <c r="AK144" i="3"/>
  <c r="F72" i="1"/>
  <c r="F76" i="1" s="1"/>
  <c r="L6" i="55" s="1"/>
  <c r="H72" i="1"/>
  <c r="H76" i="1" s="1"/>
  <c r="N6" i="55" s="1"/>
  <c r="I32" i="5"/>
  <c r="E32" i="5"/>
  <c r="E34" i="5" s="1"/>
  <c r="X29" i="1"/>
  <c r="W29" i="1"/>
  <c r="V29" i="1"/>
  <c r="R29" i="1"/>
  <c r="T29" i="1"/>
  <c r="Y29" i="1"/>
  <c r="Q29" i="1"/>
  <c r="S29" i="1"/>
  <c r="U29" i="1"/>
  <c r="B55" i="5"/>
  <c r="B45" i="55" s="1"/>
  <c r="C21" i="5"/>
  <c r="C23" i="5" s="1"/>
  <c r="D32" i="5"/>
  <c r="D34" i="5" s="1"/>
  <c r="J32" i="5"/>
  <c r="K58" i="1"/>
  <c r="L58" i="1"/>
  <c r="F58" i="1"/>
  <c r="H58" i="1"/>
  <c r="H66" i="1" s="1"/>
  <c r="J58" i="1"/>
  <c r="E58" i="1"/>
  <c r="E66" i="1" s="1"/>
  <c r="G58" i="1"/>
  <c r="I58" i="1"/>
  <c r="I66" i="1" s="1"/>
  <c r="M58" i="1"/>
  <c r="E72" i="1"/>
  <c r="E76" i="1" s="1"/>
  <c r="K6" i="55" s="1"/>
  <c r="G72" i="1"/>
  <c r="G76" i="1" s="1"/>
  <c r="M6" i="55" s="1"/>
  <c r="I72" i="1"/>
  <c r="I76" i="1" s="1"/>
  <c r="O6" i="55" s="1"/>
  <c r="K72" i="1"/>
  <c r="K76" i="1" s="1"/>
  <c r="Q6" i="55" s="1"/>
  <c r="M72" i="1"/>
  <c r="M76" i="1" s="1"/>
  <c r="S6" i="55" s="1"/>
  <c r="AF147" i="3"/>
  <c r="AH147" i="3"/>
  <c r="AJ147" i="3"/>
  <c r="AN147" i="3"/>
  <c r="H154" i="6" l="1"/>
  <c r="C154" i="6"/>
  <c r="P41" i="55"/>
  <c r="L66" i="1"/>
  <c r="H36" i="6"/>
  <c r="C36" i="6"/>
  <c r="I36" i="6"/>
  <c r="I42" i="6"/>
  <c r="I42" i="55"/>
  <c r="J42" i="6"/>
  <c r="J42" i="55"/>
  <c r="M66" i="1"/>
  <c r="S17" i="53" s="1"/>
  <c r="G66" i="1"/>
  <c r="M17" i="53" s="1"/>
  <c r="J66" i="1"/>
  <c r="P17" i="53" s="1"/>
  <c r="P98" i="55" s="1"/>
  <c r="F66" i="1"/>
  <c r="L17" i="53" s="1"/>
  <c r="K66" i="1"/>
  <c r="Q17" i="53" s="1"/>
  <c r="I127" i="5"/>
  <c r="R41" i="6"/>
  <c r="R41" i="55"/>
  <c r="N41" i="6"/>
  <c r="N41" i="55"/>
  <c r="Q41" i="6"/>
  <c r="Q41" i="55"/>
  <c r="L41" i="6"/>
  <c r="L41" i="55"/>
  <c r="K43" i="6"/>
  <c r="K43" i="55"/>
  <c r="N43" i="6"/>
  <c r="N43" i="55"/>
  <c r="S43" i="6"/>
  <c r="S43" i="55"/>
  <c r="N42" i="5"/>
  <c r="N19" i="53"/>
  <c r="N100" i="55" s="1"/>
  <c r="S42" i="5"/>
  <c r="S19" i="53"/>
  <c r="S100" i="55" s="1"/>
  <c r="I43" i="6"/>
  <c r="I43" i="55"/>
  <c r="E43" i="6"/>
  <c r="E43" i="55"/>
  <c r="J8" i="55"/>
  <c r="J169" i="5"/>
  <c r="J37" i="55" s="1"/>
  <c r="J31" i="53"/>
  <c r="J120" i="55" s="1"/>
  <c r="C169" i="5"/>
  <c r="C37" i="55" s="1"/>
  <c r="C31" i="53"/>
  <c r="C120" i="55" s="1"/>
  <c r="C8" i="55"/>
  <c r="C9" i="55" s="1"/>
  <c r="C24" i="55" s="1"/>
  <c r="D42" i="5"/>
  <c r="D114" i="6" s="1"/>
  <c r="D19" i="53"/>
  <c r="D100" i="55" s="1"/>
  <c r="B43" i="6"/>
  <c r="B43" i="55"/>
  <c r="I169" i="5"/>
  <c r="I37" i="55" s="1"/>
  <c r="I31" i="53"/>
  <c r="I120" i="55" s="1"/>
  <c r="I8" i="55"/>
  <c r="I9" i="55" s="1"/>
  <c r="I24" i="55" s="1"/>
  <c r="E8" i="6"/>
  <c r="E169" i="5"/>
  <c r="E37" i="55" s="1"/>
  <c r="E31" i="53"/>
  <c r="E120" i="55" s="1"/>
  <c r="E8" i="55"/>
  <c r="E9" i="55" s="1"/>
  <c r="E24" i="55" s="1"/>
  <c r="J42" i="5"/>
  <c r="J19" i="53"/>
  <c r="J100" i="55" s="1"/>
  <c r="C42" i="5"/>
  <c r="C19" i="53"/>
  <c r="C100" i="55" s="1"/>
  <c r="Q43" i="6"/>
  <c r="Q43" i="55"/>
  <c r="L42" i="5"/>
  <c r="L19" i="53"/>
  <c r="L100" i="55" s="1"/>
  <c r="L43" i="6"/>
  <c r="L43" i="55"/>
  <c r="M43" i="6"/>
  <c r="M43" i="55"/>
  <c r="K42" i="5"/>
  <c r="K19" i="53"/>
  <c r="K100" i="55" s="1"/>
  <c r="M42" i="5"/>
  <c r="M19" i="53"/>
  <c r="M100" i="55" s="1"/>
  <c r="R43" i="6"/>
  <c r="R43" i="55"/>
  <c r="H8" i="55"/>
  <c r="H9" i="55" s="1"/>
  <c r="H24" i="55" s="1"/>
  <c r="H169" i="5"/>
  <c r="H37" i="55" s="1"/>
  <c r="H31" i="53"/>
  <c r="H120" i="55" s="1"/>
  <c r="B8" i="55"/>
  <c r="B9" i="55" s="1"/>
  <c r="B24" i="55" s="1"/>
  <c r="B169" i="5"/>
  <c r="B37" i="55" s="1"/>
  <c r="B31" i="53"/>
  <c r="B120" i="55" s="1"/>
  <c r="I42" i="5"/>
  <c r="I19" i="53"/>
  <c r="I100" i="55" s="1"/>
  <c r="E42" i="5"/>
  <c r="E19" i="53"/>
  <c r="E100" i="55" s="1"/>
  <c r="J43" i="6"/>
  <c r="J43" i="55"/>
  <c r="D8" i="55"/>
  <c r="D9" i="55" s="1"/>
  <c r="D24" i="55" s="1"/>
  <c r="D169" i="5"/>
  <c r="D37" i="55" s="1"/>
  <c r="D31" i="53"/>
  <c r="D120" i="55" s="1"/>
  <c r="H42" i="5"/>
  <c r="H19" i="53"/>
  <c r="H100" i="55" s="1"/>
  <c r="B42" i="5"/>
  <c r="B114" i="6" s="1"/>
  <c r="B19" i="53"/>
  <c r="B100" i="55" s="1"/>
  <c r="Q42" i="5"/>
  <c r="Q19" i="53"/>
  <c r="Q100" i="55" s="1"/>
  <c r="R8" i="55"/>
  <c r="R169" i="5"/>
  <c r="R37" i="55" s="1"/>
  <c r="R31" i="53"/>
  <c r="R120" i="55" s="1"/>
  <c r="R42" i="5"/>
  <c r="R19" i="53"/>
  <c r="R100" i="55" s="1"/>
  <c r="Q29" i="53"/>
  <c r="Q167" i="5"/>
  <c r="Q35" i="6" s="1"/>
  <c r="M29" i="53"/>
  <c r="M167" i="5"/>
  <c r="M35" i="6" s="1"/>
  <c r="S40" i="5"/>
  <c r="S112" i="6" s="1"/>
  <c r="D17" i="53"/>
  <c r="D40" i="5"/>
  <c r="D112" i="6" s="1"/>
  <c r="J17" i="53"/>
  <c r="J40" i="5"/>
  <c r="J112" i="6" s="1"/>
  <c r="C17" i="53"/>
  <c r="C40" i="5"/>
  <c r="C112" i="6" s="1"/>
  <c r="H17" i="53"/>
  <c r="H40" i="5"/>
  <c r="H112" i="6" s="1"/>
  <c r="N29" i="53"/>
  <c r="N167" i="5"/>
  <c r="G29" i="53"/>
  <c r="G118" i="55" s="1"/>
  <c r="G167" i="5"/>
  <c r="H29" i="53"/>
  <c r="H167" i="5"/>
  <c r="H35" i="6" s="1"/>
  <c r="I29" i="53"/>
  <c r="I167" i="5"/>
  <c r="I35" i="6" s="1"/>
  <c r="J29" i="53"/>
  <c r="J167" i="5"/>
  <c r="B29" i="53"/>
  <c r="B167" i="5"/>
  <c r="P29" i="53"/>
  <c r="P118" i="55" s="1"/>
  <c r="P167" i="5"/>
  <c r="S29" i="53"/>
  <c r="S167" i="5"/>
  <c r="S35" i="6" s="1"/>
  <c r="O29" i="53"/>
  <c r="O118" i="55" s="1"/>
  <c r="O167" i="5"/>
  <c r="K29" i="53"/>
  <c r="K167" i="5"/>
  <c r="O17" i="53"/>
  <c r="O98" i="55" s="1"/>
  <c r="O40" i="5"/>
  <c r="O112" i="6" s="1"/>
  <c r="K17" i="53"/>
  <c r="K40" i="5"/>
  <c r="K112" i="6" s="1"/>
  <c r="N17" i="53"/>
  <c r="N40" i="5"/>
  <c r="N112" i="6" s="1"/>
  <c r="R17" i="53"/>
  <c r="R40" i="5"/>
  <c r="R112" i="6" s="1"/>
  <c r="F17" i="53"/>
  <c r="F98" i="55" s="1"/>
  <c r="F40" i="5"/>
  <c r="F112" i="6" s="1"/>
  <c r="B17" i="53"/>
  <c r="B40" i="5"/>
  <c r="B112" i="6" s="1"/>
  <c r="E17" i="53"/>
  <c r="E40" i="5"/>
  <c r="E112" i="6" s="1"/>
  <c r="G17" i="53"/>
  <c r="G98" i="55" s="1"/>
  <c r="G40" i="5"/>
  <c r="G112" i="6" s="1"/>
  <c r="I17" i="53"/>
  <c r="I40" i="5"/>
  <c r="I112" i="6" s="1"/>
  <c r="L29" i="53"/>
  <c r="L167" i="5"/>
  <c r="L35" i="6" s="1"/>
  <c r="C29" i="53"/>
  <c r="C167" i="5"/>
  <c r="D29" i="53"/>
  <c r="D167" i="5"/>
  <c r="E29" i="53"/>
  <c r="E167" i="5"/>
  <c r="F29" i="53"/>
  <c r="F118" i="55" s="1"/>
  <c r="F167" i="5"/>
  <c r="F35" i="6" s="1"/>
  <c r="R29" i="53"/>
  <c r="R167" i="5"/>
  <c r="S133" i="6"/>
  <c r="I175" i="6"/>
  <c r="I177" i="6" s="1"/>
  <c r="I185" i="6" s="1"/>
  <c r="J114" i="6"/>
  <c r="C114" i="6"/>
  <c r="Q37" i="6"/>
  <c r="Q155" i="6"/>
  <c r="K37" i="6"/>
  <c r="K155" i="6"/>
  <c r="L37" i="6"/>
  <c r="L155" i="6"/>
  <c r="N37" i="6"/>
  <c r="N155" i="6"/>
  <c r="M37" i="6"/>
  <c r="M155" i="6"/>
  <c r="S37" i="6"/>
  <c r="S155" i="6"/>
  <c r="I114" i="6"/>
  <c r="E114" i="6"/>
  <c r="H114" i="6"/>
  <c r="I139" i="5"/>
  <c r="I154" i="6"/>
  <c r="I202" i="5"/>
  <c r="I194" i="6"/>
  <c r="I196" i="6" s="1"/>
  <c r="I205" i="6" s="1"/>
  <c r="I134" i="6"/>
  <c r="I137" i="6" s="1"/>
  <c r="I145" i="6" s="1"/>
  <c r="I113" i="6"/>
  <c r="J139" i="5"/>
  <c r="J134" i="6"/>
  <c r="J175" i="6"/>
  <c r="J177" i="6" s="1"/>
  <c r="J185" i="6" s="1"/>
  <c r="D65" i="5"/>
  <c r="D75" i="5"/>
  <c r="D135" i="6" s="1"/>
  <c r="D137" i="6" s="1"/>
  <c r="D145" i="6" s="1"/>
  <c r="J65" i="5"/>
  <c r="J76" i="5" s="1"/>
  <c r="J75" i="5"/>
  <c r="J135" i="6" s="1"/>
  <c r="C65" i="5"/>
  <c r="C75" i="5"/>
  <c r="C135" i="6" s="1"/>
  <c r="C137" i="6" s="1"/>
  <c r="C145" i="6" s="1"/>
  <c r="E65" i="5"/>
  <c r="E75" i="5"/>
  <c r="E135" i="6" s="1"/>
  <c r="E137" i="6" s="1"/>
  <c r="E145" i="6" s="1"/>
  <c r="H65" i="5"/>
  <c r="H76" i="5" s="1"/>
  <c r="H75" i="5"/>
  <c r="H135" i="6" s="1"/>
  <c r="H137" i="6" s="1"/>
  <c r="H145" i="6" s="1"/>
  <c r="B65" i="5"/>
  <c r="B75" i="5"/>
  <c r="B135" i="6" s="1"/>
  <c r="B137" i="6" s="1"/>
  <c r="B145" i="6" s="1"/>
  <c r="I65" i="5"/>
  <c r="I76" i="5" s="1"/>
  <c r="S200" i="5"/>
  <c r="S194" i="6" s="1"/>
  <c r="S196" i="6" s="1"/>
  <c r="S205" i="6" s="1"/>
  <c r="S189" i="5"/>
  <c r="S179" i="5"/>
  <c r="S158" i="5"/>
  <c r="R200" i="5"/>
  <c r="R194" i="6" s="1"/>
  <c r="R196" i="6" s="1"/>
  <c r="R205" i="6" s="1"/>
  <c r="R189" i="5"/>
  <c r="R179" i="5"/>
  <c r="R158" i="5"/>
  <c r="S147" i="5"/>
  <c r="S124" i="5"/>
  <c r="S136" i="5" s="1"/>
  <c r="R147" i="5"/>
  <c r="R124" i="5"/>
  <c r="R136" i="5" s="1"/>
  <c r="R63" i="5"/>
  <c r="R74" i="5" s="1"/>
  <c r="R114" i="5"/>
  <c r="R104" i="5"/>
  <c r="R106" i="5" s="1"/>
  <c r="R94" i="5"/>
  <c r="R96" i="5" s="1"/>
  <c r="R84" i="5"/>
  <c r="R18" i="5"/>
  <c r="S63" i="5"/>
  <c r="S74" i="5" s="1"/>
  <c r="S114" i="5"/>
  <c r="S104" i="5"/>
  <c r="S106" i="5" s="1"/>
  <c r="S94" i="5"/>
  <c r="S96" i="5" s="1"/>
  <c r="S84" i="5"/>
  <c r="S18" i="5"/>
  <c r="S87" i="6"/>
  <c r="S90" i="6" s="1"/>
  <c r="S105" i="6" s="1"/>
  <c r="S52" i="5"/>
  <c r="R52" i="5"/>
  <c r="R87" i="6"/>
  <c r="R90" i="6" s="1"/>
  <c r="R105" i="6" s="1"/>
  <c r="E162" i="5"/>
  <c r="B45" i="6"/>
  <c r="B57" i="5"/>
  <c r="B162" i="5"/>
  <c r="C162" i="5"/>
  <c r="M6" i="6"/>
  <c r="N6" i="6"/>
  <c r="N35" i="6"/>
  <c r="I6" i="6"/>
  <c r="S6" i="6"/>
  <c r="O6" i="6"/>
  <c r="O35" i="6"/>
  <c r="K6" i="6"/>
  <c r="K35" i="6"/>
  <c r="L6" i="6"/>
  <c r="C6" i="6"/>
  <c r="C35" i="6"/>
  <c r="D6" i="6"/>
  <c r="D35" i="6"/>
  <c r="E6" i="6"/>
  <c r="E35" i="6"/>
  <c r="F6" i="6"/>
  <c r="R6" i="6"/>
  <c r="R35" i="6"/>
  <c r="Q6" i="6"/>
  <c r="G6" i="6"/>
  <c r="G35" i="6"/>
  <c r="H6" i="6"/>
  <c r="J6" i="6"/>
  <c r="J35" i="6"/>
  <c r="B6" i="6"/>
  <c r="B35" i="6"/>
  <c r="P6" i="6"/>
  <c r="P35" i="6"/>
  <c r="E9" i="6"/>
  <c r="E24" i="6" s="1"/>
  <c r="H8" i="6"/>
  <c r="B8" i="6"/>
  <c r="D8" i="6"/>
  <c r="R8" i="6"/>
  <c r="J8" i="6"/>
  <c r="C8" i="6"/>
  <c r="I8" i="6"/>
  <c r="D55" i="5"/>
  <c r="D45" i="55" s="1"/>
  <c r="D43" i="6"/>
  <c r="C55" i="5"/>
  <c r="C45" i="55" s="1"/>
  <c r="C43" i="6"/>
  <c r="H55" i="5"/>
  <c r="H43" i="6"/>
  <c r="C9" i="5"/>
  <c r="AH148" i="3"/>
  <c r="K64" i="5" s="1"/>
  <c r="K114" i="6" s="1"/>
  <c r="AJ148" i="3"/>
  <c r="AF148" i="3"/>
  <c r="L64" i="5" s="1"/>
  <c r="AP148" i="3"/>
  <c r="S64" i="5" s="1"/>
  <c r="S114" i="6" s="1"/>
  <c r="AO148" i="3"/>
  <c r="R64" i="5" s="1"/>
  <c r="R114" i="6" s="1"/>
  <c r="AK148" i="3"/>
  <c r="AI148" i="3"/>
  <c r="N64" i="5" s="1"/>
  <c r="AG148" i="3"/>
  <c r="M64" i="5" s="1"/>
  <c r="AN148" i="3"/>
  <c r="Q64" i="5" s="1"/>
  <c r="I44" i="5"/>
  <c r="D9" i="5"/>
  <c r="B9" i="5"/>
  <c r="J21" i="5"/>
  <c r="H21" i="5"/>
  <c r="I55" i="5"/>
  <c r="E55" i="5"/>
  <c r="E45" i="55" s="1"/>
  <c r="B21" i="5"/>
  <c r="B23" i="5" s="1"/>
  <c r="C32" i="5"/>
  <c r="C34" i="5" s="1"/>
  <c r="D21" i="5"/>
  <c r="D23" i="5" s="1"/>
  <c r="I21" i="5"/>
  <c r="E21" i="5"/>
  <c r="E23" i="5" s="1"/>
  <c r="C8" i="4"/>
  <c r="C9" i="4" s="1"/>
  <c r="B8" i="4"/>
  <c r="B9" i="4" s="1"/>
  <c r="B6" i="4"/>
  <c r="C6" i="4"/>
  <c r="Q132" i="2"/>
  <c r="O43" i="5" l="1"/>
  <c r="O20" i="53"/>
  <c r="O101" i="55" s="1"/>
  <c r="D44" i="5"/>
  <c r="D46" i="5" s="1"/>
  <c r="H116" i="6"/>
  <c r="H125" i="6" s="1"/>
  <c r="P40" i="5"/>
  <c r="P112" i="6" s="1"/>
  <c r="M40" i="5"/>
  <c r="M112" i="6" s="1"/>
  <c r="Q40" i="5"/>
  <c r="Q112" i="6" s="1"/>
  <c r="P43" i="5"/>
  <c r="P20" i="53"/>
  <c r="P101" i="55" s="1"/>
  <c r="H44" i="5"/>
  <c r="M114" i="6"/>
  <c r="L40" i="5"/>
  <c r="L112" i="6" s="1"/>
  <c r="L114" i="6"/>
  <c r="J7" i="6"/>
  <c r="J7" i="55"/>
  <c r="J9" i="55" s="1"/>
  <c r="J24" i="55" s="1"/>
  <c r="J30" i="53"/>
  <c r="J119" i="55" s="1"/>
  <c r="J168" i="5"/>
  <c r="J36" i="55" s="1"/>
  <c r="R42" i="6"/>
  <c r="R42" i="55"/>
  <c r="S42" i="6"/>
  <c r="S42" i="55"/>
  <c r="C44" i="5"/>
  <c r="C46" i="5" s="1"/>
  <c r="B44" i="5"/>
  <c r="B46" i="5" s="1"/>
  <c r="Q114" i="6"/>
  <c r="N114" i="6"/>
  <c r="E44" i="5"/>
  <c r="E46" i="5" s="1"/>
  <c r="I116" i="6"/>
  <c r="I125" i="6" s="1"/>
  <c r="B116" i="6"/>
  <c r="B125" i="6" s="1"/>
  <c r="E116" i="6"/>
  <c r="E125" i="6" s="1"/>
  <c r="C116" i="6"/>
  <c r="C125" i="6" s="1"/>
  <c r="D116" i="6"/>
  <c r="D125" i="6" s="1"/>
  <c r="R153" i="6"/>
  <c r="R35" i="55"/>
  <c r="F153" i="6"/>
  <c r="F35" i="55"/>
  <c r="E153" i="6"/>
  <c r="E35" i="55"/>
  <c r="D153" i="6"/>
  <c r="D35" i="55"/>
  <c r="C153" i="6"/>
  <c r="C35" i="55"/>
  <c r="L153" i="6"/>
  <c r="L35" i="55"/>
  <c r="K153" i="6"/>
  <c r="K35" i="55"/>
  <c r="O153" i="6"/>
  <c r="O35" i="55"/>
  <c r="S153" i="6"/>
  <c r="S35" i="55"/>
  <c r="P153" i="6"/>
  <c r="P35" i="55"/>
  <c r="B153" i="6"/>
  <c r="B35" i="55"/>
  <c r="J153" i="6"/>
  <c r="J35" i="55"/>
  <c r="I153" i="6"/>
  <c r="I35" i="55"/>
  <c r="H153" i="6"/>
  <c r="H35" i="55"/>
  <c r="G153" i="6"/>
  <c r="G35" i="55"/>
  <c r="N153" i="6"/>
  <c r="N35" i="55"/>
  <c r="M153" i="6"/>
  <c r="M35" i="55"/>
  <c r="Q153" i="6"/>
  <c r="Q35" i="55"/>
  <c r="R118" i="55"/>
  <c r="E32" i="53"/>
  <c r="E34" i="53" s="1"/>
  <c r="E118" i="55"/>
  <c r="D32" i="53"/>
  <c r="D34" i="53" s="1"/>
  <c r="D118" i="55"/>
  <c r="C32" i="53"/>
  <c r="C34" i="53" s="1"/>
  <c r="C118" i="55"/>
  <c r="C121" i="55" s="1"/>
  <c r="C129" i="55" s="1"/>
  <c r="L118" i="55"/>
  <c r="I21" i="53"/>
  <c r="I98" i="55"/>
  <c r="I102" i="55" s="1"/>
  <c r="I110" i="55" s="1"/>
  <c r="E21" i="53"/>
  <c r="E23" i="53" s="1"/>
  <c r="E98" i="55"/>
  <c r="E102" i="55" s="1"/>
  <c r="E110" i="55" s="1"/>
  <c r="B21" i="53"/>
  <c r="B23" i="53" s="1"/>
  <c r="B98" i="55"/>
  <c r="R98" i="55"/>
  <c r="N98" i="55"/>
  <c r="K98" i="55"/>
  <c r="K118" i="55"/>
  <c r="S118" i="55"/>
  <c r="B32" i="53"/>
  <c r="B34" i="53" s="1"/>
  <c r="B118" i="55"/>
  <c r="B121" i="55" s="1"/>
  <c r="B129" i="55" s="1"/>
  <c r="J118" i="55"/>
  <c r="I32" i="53"/>
  <c r="I118" i="55"/>
  <c r="I121" i="55" s="1"/>
  <c r="I129" i="55" s="1"/>
  <c r="H32" i="53"/>
  <c r="H118" i="55"/>
  <c r="H121" i="55" s="1"/>
  <c r="H129" i="55" s="1"/>
  <c r="N118" i="55"/>
  <c r="H21" i="53"/>
  <c r="H98" i="55"/>
  <c r="H102" i="55" s="1"/>
  <c r="H110" i="55" s="1"/>
  <c r="C21" i="53"/>
  <c r="C23" i="53" s="1"/>
  <c r="C98" i="55"/>
  <c r="C102" i="55" s="1"/>
  <c r="C110" i="55" s="1"/>
  <c r="J98" i="55"/>
  <c r="D21" i="53"/>
  <c r="D23" i="53" s="1"/>
  <c r="D98" i="55"/>
  <c r="D102" i="55" s="1"/>
  <c r="D110" i="55" s="1"/>
  <c r="Q98" i="55"/>
  <c r="L98" i="55"/>
  <c r="M98" i="55"/>
  <c r="S98" i="55"/>
  <c r="M118" i="55"/>
  <c r="Q118" i="55"/>
  <c r="B102" i="55"/>
  <c r="B110" i="55" s="1"/>
  <c r="D121" i="55"/>
  <c r="D129" i="55" s="1"/>
  <c r="E121" i="55"/>
  <c r="E129" i="55" s="1"/>
  <c r="I45" i="6"/>
  <c r="I45" i="55"/>
  <c r="H45" i="6"/>
  <c r="H45" i="55"/>
  <c r="I37" i="6"/>
  <c r="I155" i="6"/>
  <c r="C37" i="6"/>
  <c r="C155" i="6"/>
  <c r="J37" i="6"/>
  <c r="J155" i="6"/>
  <c r="R37" i="6"/>
  <c r="R155" i="6"/>
  <c r="D37" i="6"/>
  <c r="D155" i="6"/>
  <c r="B37" i="6"/>
  <c r="B155" i="6"/>
  <c r="H37" i="6"/>
  <c r="H155" i="6"/>
  <c r="E37" i="6"/>
  <c r="E155" i="6"/>
  <c r="J137" i="6"/>
  <c r="J145" i="6" s="1"/>
  <c r="R139" i="5"/>
  <c r="S139" i="5"/>
  <c r="S134" i="6"/>
  <c r="R134" i="6"/>
  <c r="R175" i="6"/>
  <c r="R177" i="6" s="1"/>
  <c r="R185" i="6" s="1"/>
  <c r="S175" i="6"/>
  <c r="S177" i="6" s="1"/>
  <c r="S185" i="6" s="1"/>
  <c r="M65" i="5"/>
  <c r="M76" i="5" s="1"/>
  <c r="M75" i="5"/>
  <c r="M135" i="6" s="1"/>
  <c r="M137" i="6" s="1"/>
  <c r="M145" i="6" s="1"/>
  <c r="S65" i="5"/>
  <c r="S76" i="5" s="1"/>
  <c r="S75" i="5"/>
  <c r="S135" i="6" s="1"/>
  <c r="B67" i="5"/>
  <c r="B78" i="5" s="1"/>
  <c r="B76" i="5"/>
  <c r="E67" i="5"/>
  <c r="E78" i="5" s="1"/>
  <c r="E76" i="5"/>
  <c r="C67" i="5"/>
  <c r="C78" i="5" s="1"/>
  <c r="C76" i="5"/>
  <c r="D67" i="5"/>
  <c r="D78" i="5" s="1"/>
  <c r="D76" i="5"/>
  <c r="Q65" i="5"/>
  <c r="Q76" i="5" s="1"/>
  <c r="Q75" i="5"/>
  <c r="Q135" i="6" s="1"/>
  <c r="Q137" i="6" s="1"/>
  <c r="Q145" i="6" s="1"/>
  <c r="N65" i="5"/>
  <c r="N76" i="5" s="1"/>
  <c r="N75" i="5"/>
  <c r="N135" i="6" s="1"/>
  <c r="N137" i="6" s="1"/>
  <c r="N145" i="6" s="1"/>
  <c r="R65" i="5"/>
  <c r="R76" i="5" s="1"/>
  <c r="R75" i="5"/>
  <c r="R135" i="6" s="1"/>
  <c r="L65" i="5"/>
  <c r="L76" i="5" s="1"/>
  <c r="L75" i="5"/>
  <c r="L135" i="6" s="1"/>
  <c r="L137" i="6" s="1"/>
  <c r="L145" i="6" s="1"/>
  <c r="K65" i="5"/>
  <c r="K76" i="5" s="1"/>
  <c r="K75" i="5"/>
  <c r="K135" i="6" s="1"/>
  <c r="K137" i="6" s="1"/>
  <c r="K145" i="6" s="1"/>
  <c r="E45" i="6"/>
  <c r="E57" i="5"/>
  <c r="C45" i="6"/>
  <c r="C57" i="5"/>
  <c r="D45" i="6"/>
  <c r="D57" i="5"/>
  <c r="I9" i="6"/>
  <c r="I24" i="6" s="1"/>
  <c r="C9" i="6"/>
  <c r="C24" i="6" s="1"/>
  <c r="J9" i="6"/>
  <c r="J24" i="6" s="1"/>
  <c r="D9" i="6"/>
  <c r="D24" i="6" s="1"/>
  <c r="B9" i="6"/>
  <c r="B24" i="6" s="1"/>
  <c r="H9" i="6"/>
  <c r="H24" i="6" s="1"/>
  <c r="O54" i="5"/>
  <c r="O44" i="55" s="1"/>
  <c r="P54" i="5"/>
  <c r="P44" i="55" s="1"/>
  <c r="N55" i="5"/>
  <c r="N86" i="5"/>
  <c r="L150" i="5"/>
  <c r="L116" i="5"/>
  <c r="L127" i="5"/>
  <c r="N150" i="5"/>
  <c r="N116" i="5"/>
  <c r="N127" i="5"/>
  <c r="L191" i="5"/>
  <c r="L181" i="5"/>
  <c r="L202" i="5"/>
  <c r="L160" i="5"/>
  <c r="R191" i="5"/>
  <c r="R181" i="5"/>
  <c r="R202" i="5"/>
  <c r="R160" i="5"/>
  <c r="J55" i="5"/>
  <c r="J86" i="5"/>
  <c r="K86" i="5"/>
  <c r="K55" i="5"/>
  <c r="M86" i="5"/>
  <c r="M55" i="5"/>
  <c r="Q86" i="5"/>
  <c r="Q55" i="5"/>
  <c r="K127" i="5"/>
  <c r="K150" i="5"/>
  <c r="K116" i="5"/>
  <c r="M127" i="5"/>
  <c r="M150" i="5"/>
  <c r="M116" i="5"/>
  <c r="Q127" i="5"/>
  <c r="Q150" i="5"/>
  <c r="Q116" i="5"/>
  <c r="K202" i="5"/>
  <c r="K160" i="5"/>
  <c r="K191" i="5"/>
  <c r="K181" i="5"/>
  <c r="M202" i="5"/>
  <c r="M160" i="5"/>
  <c r="M191" i="5"/>
  <c r="M181" i="5"/>
  <c r="Q202" i="5"/>
  <c r="Q160" i="5"/>
  <c r="Q191" i="5"/>
  <c r="Q181" i="5"/>
  <c r="J150" i="5"/>
  <c r="J116" i="5"/>
  <c r="J127" i="5"/>
  <c r="L55" i="5"/>
  <c r="L86" i="5"/>
  <c r="R55" i="5"/>
  <c r="R86" i="5"/>
  <c r="R150" i="5"/>
  <c r="R116" i="5"/>
  <c r="R127" i="5"/>
  <c r="N191" i="5"/>
  <c r="N181" i="5"/>
  <c r="N202" i="5"/>
  <c r="N160" i="5"/>
  <c r="J191" i="5"/>
  <c r="J181" i="5"/>
  <c r="J202" i="5"/>
  <c r="J160" i="5"/>
  <c r="B170" i="5"/>
  <c r="B38" i="55" s="1"/>
  <c r="B67" i="55" s="1"/>
  <c r="D170" i="5"/>
  <c r="D38" i="55" s="1"/>
  <c r="D67" i="55" s="1"/>
  <c r="I170" i="5"/>
  <c r="J170" i="5"/>
  <c r="C170" i="5"/>
  <c r="C38" i="55" s="1"/>
  <c r="C67" i="55" s="1"/>
  <c r="E170" i="5"/>
  <c r="E38" i="55" s="1"/>
  <c r="E67" i="55" s="1"/>
  <c r="H170" i="5"/>
  <c r="C7" i="4"/>
  <c r="B7" i="4"/>
  <c r="G43" i="5" l="1"/>
  <c r="G20" i="53"/>
  <c r="G101" i="55" s="1"/>
  <c r="J32" i="53"/>
  <c r="F43" i="5"/>
  <c r="F20" i="53"/>
  <c r="F101" i="55" s="1"/>
  <c r="I157" i="6"/>
  <c r="I166" i="6" s="1"/>
  <c r="J121" i="55"/>
  <c r="J129" i="55" s="1"/>
  <c r="E157" i="6"/>
  <c r="E166" i="6" s="1"/>
  <c r="H157" i="6"/>
  <c r="H166" i="6" s="1"/>
  <c r="B157" i="6"/>
  <c r="B166" i="6" s="1"/>
  <c r="D157" i="6"/>
  <c r="D166" i="6" s="1"/>
  <c r="C157" i="6"/>
  <c r="C166" i="6" s="1"/>
  <c r="H38" i="6"/>
  <c r="H67" i="6" s="1"/>
  <c r="H38" i="55"/>
  <c r="H67" i="55" s="1"/>
  <c r="J38" i="6"/>
  <c r="J67" i="6" s="1"/>
  <c r="J38" i="55"/>
  <c r="R45" i="6"/>
  <c r="R45" i="55"/>
  <c r="L45" i="6"/>
  <c r="L45" i="55"/>
  <c r="J45" i="6"/>
  <c r="J45" i="55"/>
  <c r="N45" i="6"/>
  <c r="N45" i="55"/>
  <c r="I38" i="6"/>
  <c r="I67" i="6" s="1"/>
  <c r="I38" i="55"/>
  <c r="I67" i="55" s="1"/>
  <c r="Q45" i="6"/>
  <c r="Q45" i="55"/>
  <c r="M45" i="6"/>
  <c r="M45" i="55"/>
  <c r="K45" i="6"/>
  <c r="K45" i="55"/>
  <c r="O44" i="6"/>
  <c r="O115" i="6"/>
  <c r="P44" i="6"/>
  <c r="P115" i="6"/>
  <c r="S137" i="6"/>
  <c r="S145" i="6" s="1"/>
  <c r="R137" i="6"/>
  <c r="R145" i="6" s="1"/>
  <c r="J36" i="6"/>
  <c r="J154" i="6"/>
  <c r="J157" i="6" s="1"/>
  <c r="J166" i="6" s="1"/>
  <c r="C38" i="6"/>
  <c r="C67" i="6" s="1"/>
  <c r="C172" i="5"/>
  <c r="E38" i="6"/>
  <c r="E67" i="6" s="1"/>
  <c r="E172" i="5"/>
  <c r="D38" i="6"/>
  <c r="D67" i="6" s="1"/>
  <c r="D172" i="5"/>
  <c r="B38" i="6"/>
  <c r="B67" i="6" s="1"/>
  <c r="B172" i="5"/>
  <c r="F54" i="5"/>
  <c r="F44" i="55" s="1"/>
  <c r="G54" i="5"/>
  <c r="G44" i="55" s="1"/>
  <c r="S202" i="5"/>
  <c r="S160" i="5"/>
  <c r="S191" i="5"/>
  <c r="S181" i="5"/>
  <c r="S127" i="5"/>
  <c r="S150" i="5"/>
  <c r="S116" i="5"/>
  <c r="S86" i="5"/>
  <c r="S55" i="5"/>
  <c r="B222" i="3"/>
  <c r="B221" i="3"/>
  <c r="B220" i="3"/>
  <c r="B60" i="2"/>
  <c r="B59" i="2"/>
  <c r="B46" i="2"/>
  <c r="M133" i="2" s="1"/>
  <c r="AA131" i="2"/>
  <c r="U131" i="2"/>
  <c r="Q131" i="2"/>
  <c r="V131" i="2"/>
  <c r="X131" i="2"/>
  <c r="Y133" i="2" l="1"/>
  <c r="O29" i="5" s="1"/>
  <c r="F29" i="5"/>
  <c r="N133" i="2"/>
  <c r="N6" i="53"/>
  <c r="N9" i="53" s="1"/>
  <c r="N18" i="53"/>
  <c r="N41" i="5"/>
  <c r="M18" i="53"/>
  <c r="M41" i="5"/>
  <c r="M113" i="6" s="1"/>
  <c r="M116" i="6" s="1"/>
  <c r="M125" i="6" s="1"/>
  <c r="M6" i="53"/>
  <c r="M9" i="53" s="1"/>
  <c r="M127" i="2"/>
  <c r="M124" i="2"/>
  <c r="M121" i="2"/>
  <c r="M118" i="2"/>
  <c r="M116" i="2"/>
  <c r="M138" i="2"/>
  <c r="M129" i="2"/>
  <c r="M126" i="2"/>
  <c r="M123" i="2"/>
  <c r="M119" i="2"/>
  <c r="M114" i="2"/>
  <c r="M145" i="2"/>
  <c r="J6" i="53"/>
  <c r="J9" i="53" s="1"/>
  <c r="J18" i="53"/>
  <c r="J41" i="5"/>
  <c r="J113" i="6" s="1"/>
  <c r="J116" i="6" s="1"/>
  <c r="J125" i="6" s="1"/>
  <c r="Q18" i="53"/>
  <c r="Q41" i="5"/>
  <c r="Q6" i="53"/>
  <c r="Q9" i="53" s="1"/>
  <c r="Z102" i="3"/>
  <c r="Z98" i="3"/>
  <c r="Z96" i="3"/>
  <c r="Z92" i="3"/>
  <c r="Z90" i="3"/>
  <c r="Z104" i="3"/>
  <c r="Z103" i="3"/>
  <c r="Z97" i="3"/>
  <c r="Z91" i="3"/>
  <c r="Z89" i="3"/>
  <c r="S45" i="6"/>
  <c r="S45" i="55"/>
  <c r="J67" i="55"/>
  <c r="G44" i="6"/>
  <c r="G115" i="6"/>
  <c r="F44" i="6"/>
  <c r="F115" i="6"/>
  <c r="Z111" i="3"/>
  <c r="Z110" i="3"/>
  <c r="Z109" i="3"/>
  <c r="Z108" i="3"/>
  <c r="Z85" i="3"/>
  <c r="Z78" i="3"/>
  <c r="Z77" i="3"/>
  <c r="Z84" i="3"/>
  <c r="Z83" i="3"/>
  <c r="Z79" i="3"/>
  <c r="Z53" i="3"/>
  <c r="Z66" i="3"/>
  <c r="Z52" i="3"/>
  <c r="Z51" i="3"/>
  <c r="Z47" i="3"/>
  <c r="Z46" i="3"/>
  <c r="Z25" i="3"/>
  <c r="Z23" i="3"/>
  <c r="Z19" i="3"/>
  <c r="Z18" i="3"/>
  <c r="Z16" i="3"/>
  <c r="Z65" i="3"/>
  <c r="Z64" i="3"/>
  <c r="Z45" i="3"/>
  <c r="Z44" i="3"/>
  <c r="Z26" i="3"/>
  <c r="Z24" i="3"/>
  <c r="Z17" i="3"/>
  <c r="Z205" i="3"/>
  <c r="Z173" i="3"/>
  <c r="Z143" i="3"/>
  <c r="Z174" i="3"/>
  <c r="Q6" i="5"/>
  <c r="Q9" i="5" s="1"/>
  <c r="N6" i="5"/>
  <c r="N9" i="5" s="1"/>
  <c r="M6" i="5"/>
  <c r="AA205" i="3"/>
  <c r="AM205" i="3" s="1"/>
  <c r="AL205" i="3"/>
  <c r="M137" i="2"/>
  <c r="M136" i="2"/>
  <c r="M135" i="2"/>
  <c r="M134" i="2"/>
  <c r="M132" i="2"/>
  <c r="M128" i="2"/>
  <c r="F109" i="23" s="1"/>
  <c r="M125" i="2"/>
  <c r="M122" i="2"/>
  <c r="F28" i="23" s="1"/>
  <c r="M120" i="2"/>
  <c r="F98" i="23" s="1"/>
  <c r="M117" i="2"/>
  <c r="F17" i="23" s="1"/>
  <c r="M115" i="2"/>
  <c r="F6" i="23" s="1"/>
  <c r="M113" i="2"/>
  <c r="F13" i="6" s="1"/>
  <c r="Z58" i="3"/>
  <c r="Z31" i="3"/>
  <c r="Z116" i="3"/>
  <c r="Z71" i="3"/>
  <c r="Z38" i="3"/>
  <c r="Z10" i="3"/>
  <c r="Z117" i="3"/>
  <c r="Z115" i="3"/>
  <c r="Z73" i="3"/>
  <c r="Z72" i="3"/>
  <c r="Z70" i="3"/>
  <c r="Z59" i="3"/>
  <c r="Z60" i="3"/>
  <c r="Z57" i="3"/>
  <c r="Z40" i="3"/>
  <c r="Z39" i="3"/>
  <c r="Z37" i="3"/>
  <c r="Z33" i="3"/>
  <c r="Z32" i="3"/>
  <c r="Z30" i="3"/>
  <c r="Z11" i="3"/>
  <c r="Z9" i="3"/>
  <c r="Z12" i="3"/>
  <c r="Z126" i="3"/>
  <c r="AA126" i="3" s="1"/>
  <c r="Z125" i="3"/>
  <c r="AA125" i="3" s="1"/>
  <c r="M131" i="2"/>
  <c r="N132" i="2"/>
  <c r="N32" i="5"/>
  <c r="N21" i="5"/>
  <c r="Z165" i="3"/>
  <c r="Z163" i="3"/>
  <c r="Z164" i="3"/>
  <c r="Z190" i="3"/>
  <c r="Z191" i="3" s="1"/>
  <c r="F201" i="5" s="1"/>
  <c r="F195" i="6" s="1"/>
  <c r="Z186" i="3"/>
  <c r="Z187" i="3" s="1"/>
  <c r="F190" i="5" s="1"/>
  <c r="Z182" i="3"/>
  <c r="Z183" i="3" s="1"/>
  <c r="F180" i="5" s="1"/>
  <c r="Z178" i="3"/>
  <c r="Z169" i="3"/>
  <c r="Z170" i="3" s="1"/>
  <c r="F125" i="5" s="1"/>
  <c r="F137" i="5" s="1"/>
  <c r="Z159" i="3"/>
  <c r="Z160" i="3" s="1"/>
  <c r="F105" i="5" s="1"/>
  <c r="Z155" i="3"/>
  <c r="Z156" i="3" s="1"/>
  <c r="F95" i="5" s="1"/>
  <c r="Z151" i="3"/>
  <c r="Z152" i="3" s="1"/>
  <c r="F85" i="5" s="1"/>
  <c r="Z135" i="3"/>
  <c r="Z139" i="3"/>
  <c r="Z140" i="3" s="1"/>
  <c r="F30" i="5" s="1"/>
  <c r="F88" i="6" s="1"/>
  <c r="Z134" i="3"/>
  <c r="Z136" i="3" s="1"/>
  <c r="F19" i="5" s="1"/>
  <c r="Z121" i="3"/>
  <c r="Y132" i="2"/>
  <c r="AP34" i="2"/>
  <c r="AL34" i="2"/>
  <c r="AL69" i="2" s="1"/>
  <c r="Z130" i="3"/>
  <c r="Z147" i="3"/>
  <c r="AH34" i="2"/>
  <c r="E6" i="5"/>
  <c r="E9" i="5" s="1"/>
  <c r="AJ34" i="2"/>
  <c r="AJ66" i="2" s="1"/>
  <c r="N131" i="2"/>
  <c r="AG34" i="2"/>
  <c r="AI34" i="2"/>
  <c r="AK34" i="2"/>
  <c r="H6" i="5"/>
  <c r="H9" i="5" s="1"/>
  <c r="AO34" i="2"/>
  <c r="AC132" i="2"/>
  <c r="T132" i="2"/>
  <c r="U132" i="2"/>
  <c r="W132" i="2"/>
  <c r="AA132" i="2"/>
  <c r="Y131" i="2"/>
  <c r="Z132" i="2"/>
  <c r="AB131" i="2"/>
  <c r="W131" i="2"/>
  <c r="J6" i="5"/>
  <c r="J9" i="5" s="1"/>
  <c r="S131" i="2"/>
  <c r="F6" i="5"/>
  <c r="I6" i="5"/>
  <c r="I9" i="5" s="1"/>
  <c r="T131" i="2"/>
  <c r="S132" i="2"/>
  <c r="V132" i="2"/>
  <c r="X132" i="2"/>
  <c r="AB132" i="2"/>
  <c r="J44" i="5" l="1"/>
  <c r="Z133" i="2"/>
  <c r="P29" i="5" s="1"/>
  <c r="G29" i="5"/>
  <c r="P7" i="55"/>
  <c r="P30" i="53"/>
  <c r="P119" i="55" s="1"/>
  <c r="P168" i="5"/>
  <c r="P36" i="55" s="1"/>
  <c r="R7" i="55"/>
  <c r="R9" i="55" s="1"/>
  <c r="R24" i="55" s="1"/>
  <c r="R30" i="53"/>
  <c r="R168" i="5"/>
  <c r="R36" i="55" s="1"/>
  <c r="N7" i="55"/>
  <c r="N9" i="55" s="1"/>
  <c r="N24" i="55" s="1"/>
  <c r="N30" i="53"/>
  <c r="N168" i="5"/>
  <c r="N36" i="55" s="1"/>
  <c r="L6" i="53"/>
  <c r="L9" i="53" s="1"/>
  <c r="L18" i="53"/>
  <c r="L41" i="5"/>
  <c r="R6" i="53"/>
  <c r="R9" i="53" s="1"/>
  <c r="R18" i="53"/>
  <c r="R41" i="5"/>
  <c r="O30" i="53"/>
  <c r="O119" i="55" s="1"/>
  <c r="O168" i="5"/>
  <c r="O36" i="55" s="1"/>
  <c r="O7" i="55"/>
  <c r="L7" i="55"/>
  <c r="L9" i="55" s="1"/>
  <c r="L24" i="55" s="1"/>
  <c r="L30" i="53"/>
  <c r="L168" i="5"/>
  <c r="L36" i="55" s="1"/>
  <c r="F6" i="53"/>
  <c r="F41" i="5"/>
  <c r="F18" i="53"/>
  <c r="F99" i="55" s="1"/>
  <c r="N145" i="2"/>
  <c r="Z145" i="2" s="1"/>
  <c r="Y145" i="2"/>
  <c r="N119" i="2"/>
  <c r="F121" i="23"/>
  <c r="Y119" i="2"/>
  <c r="O121" i="23" s="1"/>
  <c r="N126" i="2"/>
  <c r="F86" i="23"/>
  <c r="Y126" i="2"/>
  <c r="F18" i="54"/>
  <c r="F106" i="55" s="1"/>
  <c r="N138" i="2"/>
  <c r="Z138" i="2" s="1"/>
  <c r="Y138" i="2"/>
  <c r="N118" i="2"/>
  <c r="F63" i="23"/>
  <c r="Y118" i="2"/>
  <c r="O63" i="23" s="1"/>
  <c r="N124" i="2"/>
  <c r="F143" i="23"/>
  <c r="Y124" i="2"/>
  <c r="O143" i="23" s="1"/>
  <c r="K30" i="53"/>
  <c r="K168" i="5"/>
  <c r="K36" i="55" s="1"/>
  <c r="K7" i="55"/>
  <c r="K9" i="55" s="1"/>
  <c r="K24" i="55" s="1"/>
  <c r="K18" i="53"/>
  <c r="K41" i="5"/>
  <c r="K6" i="53"/>
  <c r="K9" i="53" s="1"/>
  <c r="O18" i="53"/>
  <c r="O99" i="55" s="1"/>
  <c r="O41" i="5"/>
  <c r="O6" i="53"/>
  <c r="Q30" i="53"/>
  <c r="Q168" i="5"/>
  <c r="Q36" i="55" s="1"/>
  <c r="Q7" i="55"/>
  <c r="Q9" i="55" s="1"/>
  <c r="Q24" i="55" s="1"/>
  <c r="M30" i="53"/>
  <c r="M168" i="5"/>
  <c r="M36" i="55" s="1"/>
  <c r="M7" i="55"/>
  <c r="M9" i="55" s="1"/>
  <c r="M24" i="55" s="1"/>
  <c r="S30" i="53"/>
  <c r="S168" i="5"/>
  <c r="S36" i="55" s="1"/>
  <c r="S7" i="55"/>
  <c r="S9" i="55" s="1"/>
  <c r="S24" i="55" s="1"/>
  <c r="G41" i="5"/>
  <c r="G18" i="53"/>
  <c r="G99" i="55" s="1"/>
  <c r="G6" i="53"/>
  <c r="G168" i="5"/>
  <c r="G36" i="55" s="1"/>
  <c r="G30" i="53"/>
  <c r="G119" i="55" s="1"/>
  <c r="G7" i="55"/>
  <c r="F40" i="23"/>
  <c r="F94" i="6" s="1"/>
  <c r="F6" i="54"/>
  <c r="F87" i="55" s="1"/>
  <c r="F7" i="6"/>
  <c r="F7" i="55"/>
  <c r="F168" i="5"/>
  <c r="F36" i="55" s="1"/>
  <c r="F30" i="53"/>
  <c r="F119" i="55" s="1"/>
  <c r="Q99" i="55"/>
  <c r="Q102" i="55" s="1"/>
  <c r="Q110" i="55" s="1"/>
  <c r="Q21" i="53"/>
  <c r="J99" i="55"/>
  <c r="J102" i="55" s="1"/>
  <c r="J110" i="55" s="1"/>
  <c r="J21" i="53"/>
  <c r="N114" i="2"/>
  <c r="F42" i="54"/>
  <c r="F138" i="55" s="1"/>
  <c r="F178" i="23"/>
  <c r="F181" i="6" s="1"/>
  <c r="Y114" i="2"/>
  <c r="F54" i="54"/>
  <c r="F151" i="55" s="1"/>
  <c r="F190" i="23"/>
  <c r="F200" i="6" s="1"/>
  <c r="N123" i="2"/>
  <c r="Y123" i="2"/>
  <c r="O74" i="23" s="1"/>
  <c r="F74" i="23"/>
  <c r="N129" i="2"/>
  <c r="F166" i="23"/>
  <c r="Y129" i="2"/>
  <c r="O166" i="23" s="1"/>
  <c r="Y116" i="2"/>
  <c r="O52" i="23" s="1"/>
  <c r="N116" i="2"/>
  <c r="F52" i="23"/>
  <c r="N121" i="2"/>
  <c r="F132" i="23"/>
  <c r="Y121" i="2"/>
  <c r="O132" i="23" s="1"/>
  <c r="N127" i="2"/>
  <c r="F30" i="54"/>
  <c r="F125" i="55" s="1"/>
  <c r="Y127" i="2"/>
  <c r="F155" i="23"/>
  <c r="M99" i="55"/>
  <c r="M102" i="55" s="1"/>
  <c r="M110" i="55" s="1"/>
  <c r="M21" i="53"/>
  <c r="N99" i="55"/>
  <c r="N102" i="55" s="1"/>
  <c r="N110" i="55" s="1"/>
  <c r="N21" i="53"/>
  <c r="AA91" i="3"/>
  <c r="AM91" i="3" s="1"/>
  <c r="AL91" i="3"/>
  <c r="AL103" i="3"/>
  <c r="AA103" i="3"/>
  <c r="AM103" i="3" s="1"/>
  <c r="AL90" i="3"/>
  <c r="AA90" i="3"/>
  <c r="AM90" i="3" s="1"/>
  <c r="Z99" i="3"/>
  <c r="AL96" i="3"/>
  <c r="AA96" i="3"/>
  <c r="Z105" i="3"/>
  <c r="AA102" i="3"/>
  <c r="AL102" i="3"/>
  <c r="Z93" i="3"/>
  <c r="AA89" i="3"/>
  <c r="AL89" i="3"/>
  <c r="AA97" i="3"/>
  <c r="AM97" i="3" s="1"/>
  <c r="AL97" i="3"/>
  <c r="AL104" i="3"/>
  <c r="AA104" i="3"/>
  <c r="AM104" i="3" s="1"/>
  <c r="AL92" i="3"/>
  <c r="AA92" i="3"/>
  <c r="AM92" i="3" s="1"/>
  <c r="AL98" i="3"/>
  <c r="AA98" i="3"/>
  <c r="AM98" i="3" s="1"/>
  <c r="N7" i="6"/>
  <c r="N9" i="6" s="1"/>
  <c r="N24" i="6" s="1"/>
  <c r="O7" i="6"/>
  <c r="O36" i="6"/>
  <c r="L7" i="6"/>
  <c r="L9" i="6" s="1"/>
  <c r="L24" i="6" s="1"/>
  <c r="G7" i="6"/>
  <c r="F87" i="6"/>
  <c r="F52" i="5"/>
  <c r="F147" i="5"/>
  <c r="F124" i="5"/>
  <c r="F136" i="5" s="1"/>
  <c r="F139" i="5" s="1"/>
  <c r="R154" i="6"/>
  <c r="R157" i="6" s="1"/>
  <c r="R166" i="6" s="1"/>
  <c r="R7" i="6"/>
  <c r="R9" i="6" s="1"/>
  <c r="R24" i="6" s="1"/>
  <c r="N170" i="5"/>
  <c r="P7" i="6"/>
  <c r="K7" i="6"/>
  <c r="K9" i="6" s="1"/>
  <c r="K24" i="6" s="1"/>
  <c r="Q154" i="6"/>
  <c r="Q157" i="6" s="1"/>
  <c r="Q166" i="6" s="1"/>
  <c r="Q7" i="6"/>
  <c r="Q9" i="6" s="1"/>
  <c r="Q24" i="6" s="1"/>
  <c r="S7" i="6"/>
  <c r="S9" i="6" s="1"/>
  <c r="S24" i="6" s="1"/>
  <c r="F63" i="5"/>
  <c r="F74" i="5" s="1"/>
  <c r="F18" i="5"/>
  <c r="F84" i="5"/>
  <c r="F86" i="5" s="1"/>
  <c r="F88" i="5" s="1"/>
  <c r="F94" i="5"/>
  <c r="F96" i="5" s="1"/>
  <c r="F98" i="5" s="1"/>
  <c r="F104" i="5"/>
  <c r="F106" i="5" s="1"/>
  <c r="F108" i="5" s="1"/>
  <c r="F114" i="5"/>
  <c r="F158" i="5"/>
  <c r="F189" i="5"/>
  <c r="F179" i="5"/>
  <c r="F200" i="5"/>
  <c r="F194" i="6" s="1"/>
  <c r="F196" i="6" s="1"/>
  <c r="F90" i="6"/>
  <c r="F176" i="6"/>
  <c r="G36" i="6"/>
  <c r="Q44" i="5"/>
  <c r="Q113" i="6"/>
  <c r="Q116" i="6" s="1"/>
  <c r="Q125" i="6" s="1"/>
  <c r="F36" i="6"/>
  <c r="F141" i="6"/>
  <c r="N44" i="5"/>
  <c r="N113" i="6"/>
  <c r="N116" i="6" s="1"/>
  <c r="N125" i="6" s="1"/>
  <c r="K170" i="5"/>
  <c r="M7" i="6"/>
  <c r="M9" i="6" s="1"/>
  <c r="M24" i="6" s="1"/>
  <c r="M170" i="5"/>
  <c r="AL109" i="3"/>
  <c r="AA109" i="3"/>
  <c r="AM109" i="3" s="1"/>
  <c r="AL111" i="3"/>
  <c r="AA111" i="3"/>
  <c r="AM111" i="3" s="1"/>
  <c r="Z112" i="3"/>
  <c r="AA108" i="3"/>
  <c r="AL108" i="3"/>
  <c r="AL110" i="3"/>
  <c r="AA110" i="3"/>
  <c r="AM110" i="3" s="1"/>
  <c r="AL79" i="3"/>
  <c r="AA79" i="3"/>
  <c r="AM79" i="3" s="1"/>
  <c r="AL84" i="3"/>
  <c r="AA84" i="3"/>
  <c r="AM84" i="3" s="1"/>
  <c r="AL78" i="3"/>
  <c r="AA78" i="3"/>
  <c r="AM78" i="3" s="1"/>
  <c r="AL85" i="3"/>
  <c r="AA85" i="3"/>
  <c r="AM85" i="3" s="1"/>
  <c r="Z86" i="3"/>
  <c r="AA83" i="3"/>
  <c r="AL83" i="3"/>
  <c r="Z80" i="3"/>
  <c r="AA77" i="3"/>
  <c r="AL77" i="3"/>
  <c r="Z41" i="3"/>
  <c r="Z74" i="3"/>
  <c r="Z118" i="3"/>
  <c r="AL17" i="3"/>
  <c r="AA17" i="3"/>
  <c r="AM17" i="3" s="1"/>
  <c r="AL26" i="3"/>
  <c r="AA26" i="3"/>
  <c r="AM26" i="3" s="1"/>
  <c r="AL45" i="3"/>
  <c r="AA45" i="3"/>
  <c r="AM45" i="3" s="1"/>
  <c r="AL65" i="3"/>
  <c r="AA65" i="3"/>
  <c r="AM65" i="3" s="1"/>
  <c r="AL18" i="3"/>
  <c r="AA18" i="3"/>
  <c r="AM18" i="3" s="1"/>
  <c r="Z27" i="3"/>
  <c r="F7" i="23" s="1"/>
  <c r="AL23" i="3"/>
  <c r="AA23" i="3"/>
  <c r="AL46" i="3"/>
  <c r="AA46" i="3"/>
  <c r="AM46" i="3" s="1"/>
  <c r="AL51" i="3"/>
  <c r="Z54" i="3"/>
  <c r="F122" i="23" s="1"/>
  <c r="AA51" i="3"/>
  <c r="AL53" i="3"/>
  <c r="AA53" i="3"/>
  <c r="AM53" i="3" s="1"/>
  <c r="AL24" i="3"/>
  <c r="AA24" i="3"/>
  <c r="AM24" i="3" s="1"/>
  <c r="Z48" i="3"/>
  <c r="AA44" i="3"/>
  <c r="AL44" i="3"/>
  <c r="Z67" i="3"/>
  <c r="AA64" i="3"/>
  <c r="AL64" i="3"/>
  <c r="Z20" i="3"/>
  <c r="AL16" i="3"/>
  <c r="AA16" i="3"/>
  <c r="AL19" i="3"/>
  <c r="AA19" i="3"/>
  <c r="AM19" i="3" s="1"/>
  <c r="AA25" i="3"/>
  <c r="AM25" i="3" s="1"/>
  <c r="AL25" i="3"/>
  <c r="AL47" i="3"/>
  <c r="AA47" i="3"/>
  <c r="AM47" i="3" s="1"/>
  <c r="AA52" i="3"/>
  <c r="AM52" i="3" s="1"/>
  <c r="AL52" i="3"/>
  <c r="AL66" i="3"/>
  <c r="AA66" i="3"/>
  <c r="AM66" i="3" s="1"/>
  <c r="AL174" i="3"/>
  <c r="AA174" i="3"/>
  <c r="AM174" i="3" s="1"/>
  <c r="AL173" i="3"/>
  <c r="AA173" i="3"/>
  <c r="AM173" i="3" s="1"/>
  <c r="AL143" i="3"/>
  <c r="AA143" i="3"/>
  <c r="AM143" i="3" s="1"/>
  <c r="K6" i="5"/>
  <c r="K9" i="5" s="1"/>
  <c r="M44" i="5"/>
  <c r="O6" i="5"/>
  <c r="L6" i="5"/>
  <c r="L9" i="5" s="1"/>
  <c r="R6" i="5"/>
  <c r="R9" i="5" s="1"/>
  <c r="F20" i="6"/>
  <c r="F63" i="6"/>
  <c r="F49" i="6"/>
  <c r="F56" i="6"/>
  <c r="F50" i="6"/>
  <c r="F57" i="6"/>
  <c r="Z13" i="3"/>
  <c r="Z34" i="3"/>
  <c r="F53" i="23" s="1"/>
  <c r="Z61" i="3"/>
  <c r="R170" i="5"/>
  <c r="R36" i="6"/>
  <c r="S170" i="5"/>
  <c r="S36" i="6"/>
  <c r="Y135" i="2"/>
  <c r="N135" i="2"/>
  <c r="Y137" i="2"/>
  <c r="N137" i="2"/>
  <c r="Y134" i="2"/>
  <c r="N134" i="2"/>
  <c r="Y136" i="2"/>
  <c r="N136" i="2"/>
  <c r="Y115" i="2"/>
  <c r="O6" i="23" s="1"/>
  <c r="N115" i="2"/>
  <c r="G6" i="23" s="1"/>
  <c r="Y120" i="2"/>
  <c r="O98" i="23" s="1"/>
  <c r="N120" i="2"/>
  <c r="G98" i="23" s="1"/>
  <c r="Y125" i="2"/>
  <c r="N125" i="2"/>
  <c r="Y113" i="2"/>
  <c r="O13" i="6" s="1"/>
  <c r="N113" i="2"/>
  <c r="Y117" i="2"/>
  <c r="O17" i="23" s="1"/>
  <c r="N117" i="2"/>
  <c r="G17" i="23" s="1"/>
  <c r="Y122" i="2"/>
  <c r="O28" i="23" s="1"/>
  <c r="N122" i="2"/>
  <c r="G28" i="23" s="1"/>
  <c r="Y128" i="2"/>
  <c r="O109" i="23" s="1"/>
  <c r="N128" i="2"/>
  <c r="G109" i="23" s="1"/>
  <c r="AL10" i="3"/>
  <c r="AA10" i="3"/>
  <c r="AM10" i="3" s="1"/>
  <c r="AL71" i="3"/>
  <c r="AA71" i="3"/>
  <c r="AM71" i="3" s="1"/>
  <c r="AL31" i="3"/>
  <c r="AA31" i="3"/>
  <c r="AM31" i="3" s="1"/>
  <c r="AL38" i="3"/>
  <c r="AA38" i="3"/>
  <c r="AM38" i="3" s="1"/>
  <c r="AL116" i="3"/>
  <c r="AA116" i="3"/>
  <c r="AM116" i="3" s="1"/>
  <c r="AL58" i="3"/>
  <c r="AA58" i="3"/>
  <c r="AM58" i="3" s="1"/>
  <c r="AL11" i="3"/>
  <c r="AA11" i="3"/>
  <c r="AM11" i="3" s="1"/>
  <c r="AL32" i="3"/>
  <c r="AA32" i="3"/>
  <c r="AM32" i="3" s="1"/>
  <c r="AL37" i="3"/>
  <c r="AA37" i="3"/>
  <c r="AA40" i="3"/>
  <c r="AL40" i="3"/>
  <c r="AL60" i="3"/>
  <c r="AA60" i="3"/>
  <c r="AL70" i="3"/>
  <c r="AA70" i="3"/>
  <c r="AA73" i="3"/>
  <c r="AL73" i="3"/>
  <c r="AL115" i="3"/>
  <c r="AA115" i="3"/>
  <c r="AA117" i="3"/>
  <c r="AL117" i="3"/>
  <c r="AL9" i="3"/>
  <c r="AA9" i="3"/>
  <c r="AL30" i="3"/>
  <c r="AA30" i="3"/>
  <c r="AA33" i="3"/>
  <c r="AL33" i="3"/>
  <c r="AL39" i="3"/>
  <c r="AA39" i="3"/>
  <c r="AM39" i="3" s="1"/>
  <c r="AL57" i="3"/>
  <c r="AA57" i="3"/>
  <c r="AL59" i="3"/>
  <c r="AA59" i="3"/>
  <c r="AM59" i="3" s="1"/>
  <c r="AL72" i="3"/>
  <c r="AA72" i="3"/>
  <c r="AM72" i="3" s="1"/>
  <c r="AL121" i="3"/>
  <c r="AL122" i="3" s="1"/>
  <c r="Z122" i="3"/>
  <c r="AA12" i="3"/>
  <c r="AL12" i="3"/>
  <c r="Z166" i="3"/>
  <c r="G6" i="5"/>
  <c r="AP57" i="2"/>
  <c r="AP69" i="2"/>
  <c r="AP41" i="2"/>
  <c r="AP52" i="2"/>
  <c r="AP51" i="2"/>
  <c r="AP50" i="2"/>
  <c r="AP66" i="2"/>
  <c r="AP53" i="2"/>
  <c r="AP43" i="2"/>
  <c r="AP65" i="2"/>
  <c r="AP46" i="2"/>
  <c r="AP56" i="2"/>
  <c r="AP68" i="2"/>
  <c r="AP47" i="2"/>
  <c r="AP58" i="2"/>
  <c r="AP45" i="2"/>
  <c r="AP55" i="2"/>
  <c r="AP99" i="2" s="1"/>
  <c r="AP40" i="2"/>
  <c r="AP62" i="2"/>
  <c r="Q32" i="5"/>
  <c r="Q21" i="5"/>
  <c r="K32" i="5"/>
  <c r="K21" i="5"/>
  <c r="F116" i="5"/>
  <c r="F118" i="5" s="1"/>
  <c r="L32" i="5"/>
  <c r="L21" i="5"/>
  <c r="R32" i="5"/>
  <c r="R21" i="5"/>
  <c r="M32" i="5"/>
  <c r="M21" i="5"/>
  <c r="S32" i="5"/>
  <c r="S21" i="5"/>
  <c r="F181" i="5"/>
  <c r="F183" i="5" s="1"/>
  <c r="F191" i="5"/>
  <c r="F193" i="5" s="1"/>
  <c r="F202" i="5"/>
  <c r="F204" i="5" s="1"/>
  <c r="AL164" i="3"/>
  <c r="AA164" i="3"/>
  <c r="AM164" i="3" s="1"/>
  <c r="AL163" i="3"/>
  <c r="AA163" i="3"/>
  <c r="AA165" i="3"/>
  <c r="AM165" i="3" s="1"/>
  <c r="AL165" i="3"/>
  <c r="AL155" i="3"/>
  <c r="AL156" i="3" s="1"/>
  <c r="O95" i="5" s="1"/>
  <c r="AA155" i="3"/>
  <c r="Z179" i="3"/>
  <c r="F159" i="5" s="1"/>
  <c r="AA178" i="3"/>
  <c r="AL178" i="3"/>
  <c r="AL179" i="3" s="1"/>
  <c r="O159" i="5" s="1"/>
  <c r="AL190" i="3"/>
  <c r="AL191" i="3" s="1"/>
  <c r="O201" i="5" s="1"/>
  <c r="O195" i="6" s="1"/>
  <c r="AA190" i="3"/>
  <c r="AL151" i="3"/>
  <c r="AA151" i="3"/>
  <c r="AA152" i="3" s="1"/>
  <c r="G85" i="5" s="1"/>
  <c r="AA159" i="3"/>
  <c r="AL159" i="3"/>
  <c r="AL160" i="3" s="1"/>
  <c r="O105" i="5" s="1"/>
  <c r="AL169" i="3"/>
  <c r="AL170" i="3" s="1"/>
  <c r="O125" i="5" s="1"/>
  <c r="O137" i="5" s="1"/>
  <c r="AA169" i="3"/>
  <c r="AL182" i="3"/>
  <c r="AL183" i="3" s="1"/>
  <c r="O180" i="5" s="1"/>
  <c r="AA182" i="3"/>
  <c r="Z175" i="3"/>
  <c r="F148" i="5" s="1"/>
  <c r="AA186" i="3"/>
  <c r="AL186" i="3"/>
  <c r="AL187" i="3" s="1"/>
  <c r="O190" i="5" s="1"/>
  <c r="AA121" i="3"/>
  <c r="AL134" i="3"/>
  <c r="AA134" i="3"/>
  <c r="AL135" i="3"/>
  <c r="AA135" i="3"/>
  <c r="AM135" i="3" s="1"/>
  <c r="AL139" i="3"/>
  <c r="AL140" i="3" s="1"/>
  <c r="O30" i="5" s="1"/>
  <c r="O88" i="6" s="1"/>
  <c r="AA139" i="3"/>
  <c r="AM126" i="3"/>
  <c r="AL126" i="3"/>
  <c r="Z127" i="3"/>
  <c r="AL125" i="3"/>
  <c r="Z144" i="3"/>
  <c r="F53" i="5" s="1"/>
  <c r="AA147" i="3"/>
  <c r="Z148" i="3"/>
  <c r="F64" i="5" s="1"/>
  <c r="AL147" i="3"/>
  <c r="AA130" i="3"/>
  <c r="Z131" i="3"/>
  <c r="AL130" i="3"/>
  <c r="AL131" i="3" s="1"/>
  <c r="AP67" i="2"/>
  <c r="AJ67" i="2"/>
  <c r="AL58" i="2"/>
  <c r="AJ42" i="2"/>
  <c r="AJ55" i="2"/>
  <c r="AJ50" i="2"/>
  <c r="AJ68" i="2"/>
  <c r="AJ41" i="2"/>
  <c r="AL46" i="2"/>
  <c r="AL53" i="2"/>
  <c r="AL66" i="2"/>
  <c r="AL39" i="2"/>
  <c r="AL44" i="2"/>
  <c r="AL65" i="2"/>
  <c r="AL56" i="2"/>
  <c r="AL42" i="2"/>
  <c r="AL63" i="2"/>
  <c r="AL50" i="2"/>
  <c r="AL68" i="2"/>
  <c r="AL55" i="2"/>
  <c r="AJ63" i="2"/>
  <c r="AJ47" i="2"/>
  <c r="AJ54" i="2"/>
  <c r="AJ44" i="2"/>
  <c r="AJ65" i="2"/>
  <c r="AJ56" i="2"/>
  <c r="AH67" i="2"/>
  <c r="AH69" i="2"/>
  <c r="AH63" i="2"/>
  <c r="AJ53" i="2"/>
  <c r="AJ39" i="2"/>
  <c r="AJ64" i="2"/>
  <c r="AJ57" i="2"/>
  <c r="AJ43" i="2"/>
  <c r="AJ58" i="2"/>
  <c r="AJ40" i="2"/>
  <c r="AJ51" i="2"/>
  <c r="AJ61" i="2"/>
  <c r="AJ69" i="2"/>
  <c r="AJ46" i="2"/>
  <c r="AJ45" i="2"/>
  <c r="AP63" i="2"/>
  <c r="AP44" i="2"/>
  <c r="AP64" i="2"/>
  <c r="AP54" i="2"/>
  <c r="AP42" i="2"/>
  <c r="AP61" i="2"/>
  <c r="AP39" i="2"/>
  <c r="AP94" i="2" s="1"/>
  <c r="AH42" i="2"/>
  <c r="AH44" i="2"/>
  <c r="AJ52" i="2"/>
  <c r="AJ62" i="2"/>
  <c r="AG53" i="2"/>
  <c r="AG44" i="2"/>
  <c r="AG65" i="2"/>
  <c r="AG46" i="2"/>
  <c r="AG56" i="2"/>
  <c r="AG66" i="2"/>
  <c r="AG67" i="2"/>
  <c r="AG47" i="2"/>
  <c r="AG40" i="2"/>
  <c r="AG61" i="2"/>
  <c r="AG39" i="2"/>
  <c r="AG50" i="2"/>
  <c r="AG58" i="2"/>
  <c r="AG63" i="2"/>
  <c r="AG42" i="2"/>
  <c r="AG55" i="2"/>
  <c r="AG41" i="2"/>
  <c r="AG52" i="2"/>
  <c r="AG62" i="2"/>
  <c r="AG68" i="2"/>
  <c r="AG57" i="2"/>
  <c r="AG45" i="2"/>
  <c r="AG51" i="2"/>
  <c r="AG69" i="2"/>
  <c r="AG43" i="2"/>
  <c r="AG54" i="2"/>
  <c r="AG64" i="2"/>
  <c r="AL41" i="2"/>
  <c r="AL52" i="2"/>
  <c r="AL62" i="2"/>
  <c r="AL45" i="2"/>
  <c r="AL47" i="2"/>
  <c r="AL57" i="2"/>
  <c r="AL67" i="2"/>
  <c r="AL43" i="2"/>
  <c r="AL54" i="2"/>
  <c r="AL64" i="2"/>
  <c r="AL40" i="2"/>
  <c r="AL51" i="2"/>
  <c r="AL61" i="2"/>
  <c r="AH56" i="2"/>
  <c r="AH39" i="2"/>
  <c r="AM34" i="2"/>
  <c r="AK68" i="2"/>
  <c r="AK55" i="2"/>
  <c r="AK42" i="2"/>
  <c r="AK63" i="2"/>
  <c r="AK43" i="2"/>
  <c r="AK54" i="2"/>
  <c r="AK64" i="2"/>
  <c r="AK61" i="2"/>
  <c r="AK40" i="2"/>
  <c r="AK47" i="2"/>
  <c r="AK67" i="2"/>
  <c r="AK46" i="2"/>
  <c r="AK56" i="2"/>
  <c r="AK66" i="2"/>
  <c r="AK65" i="2"/>
  <c r="AK44" i="2"/>
  <c r="AK53" i="2"/>
  <c r="AK39" i="2"/>
  <c r="AK50" i="2"/>
  <c r="AK58" i="2"/>
  <c r="AK69" i="2"/>
  <c r="AK51" i="2"/>
  <c r="AK45" i="2"/>
  <c r="AK57" i="2"/>
  <c r="AK41" i="2"/>
  <c r="AK52" i="2"/>
  <c r="AK62" i="2"/>
  <c r="M9" i="5"/>
  <c r="AW34" i="2"/>
  <c r="Z131" i="2"/>
  <c r="BB34" i="2"/>
  <c r="AS34" i="2"/>
  <c r="BA34" i="2"/>
  <c r="AU34" i="2"/>
  <c r="AH61" i="2"/>
  <c r="AH53" i="2"/>
  <c r="AH66" i="2"/>
  <c r="AH46" i="2"/>
  <c r="AH65" i="2"/>
  <c r="AH58" i="2"/>
  <c r="AH64" i="2"/>
  <c r="AH76" i="2" s="1"/>
  <c r="AH40" i="2"/>
  <c r="AC131" i="2"/>
  <c r="AV34" i="2"/>
  <c r="AH57" i="2"/>
  <c r="AH47" i="2"/>
  <c r="AH45" i="2"/>
  <c r="AH62" i="2"/>
  <c r="AH52" i="2"/>
  <c r="AH41" i="2"/>
  <c r="AH55" i="2"/>
  <c r="AH68" i="2"/>
  <c r="AH50" i="2"/>
  <c r="AH51" i="2"/>
  <c r="AH43" i="2"/>
  <c r="AH54" i="2"/>
  <c r="AX34" i="2"/>
  <c r="AI68" i="2"/>
  <c r="AI66" i="2"/>
  <c r="AI64" i="2"/>
  <c r="AI62" i="2"/>
  <c r="AI58" i="2"/>
  <c r="AI56" i="2"/>
  <c r="AI54" i="2"/>
  <c r="AI52" i="2"/>
  <c r="AI50" i="2"/>
  <c r="AI46" i="2"/>
  <c r="AI44" i="2"/>
  <c r="AI42" i="2"/>
  <c r="AI40" i="2"/>
  <c r="AI69" i="2"/>
  <c r="AI67" i="2"/>
  <c r="AI65" i="2"/>
  <c r="AI63" i="2"/>
  <c r="AI61" i="2"/>
  <c r="AI57" i="2"/>
  <c r="AI55" i="2"/>
  <c r="AI53" i="2"/>
  <c r="AI51" i="2"/>
  <c r="AI47" i="2"/>
  <c r="AI45" i="2"/>
  <c r="AI43" i="2"/>
  <c r="AI41" i="2"/>
  <c r="AI39" i="2"/>
  <c r="AO68" i="2"/>
  <c r="AO66" i="2"/>
  <c r="AO64" i="2"/>
  <c r="AO62" i="2"/>
  <c r="AO58" i="2"/>
  <c r="AO56" i="2"/>
  <c r="AO54" i="2"/>
  <c r="AO52" i="2"/>
  <c r="AO50" i="2"/>
  <c r="AO46" i="2"/>
  <c r="AO44" i="2"/>
  <c r="AO42" i="2"/>
  <c r="AO40" i="2"/>
  <c r="AO69" i="2"/>
  <c r="AO67" i="2"/>
  <c r="AO65" i="2"/>
  <c r="AO63" i="2"/>
  <c r="AO61" i="2"/>
  <c r="AO57" i="2"/>
  <c r="AO55" i="2"/>
  <c r="AO53" i="2"/>
  <c r="AO51" i="2"/>
  <c r="AO47" i="2"/>
  <c r="AO45" i="2"/>
  <c r="AO43" i="2"/>
  <c r="AO41" i="2"/>
  <c r="AO39" i="2"/>
  <c r="AP91" i="2"/>
  <c r="AP100" i="2" l="1"/>
  <c r="P36" i="6"/>
  <c r="Q170" i="5"/>
  <c r="Q38" i="55" s="1"/>
  <c r="Q67" i="55" s="1"/>
  <c r="Q36" i="6"/>
  <c r="F127" i="5"/>
  <c r="F129" i="5" s="1"/>
  <c r="F141" i="5" s="1"/>
  <c r="F120" i="6"/>
  <c r="AL80" i="3"/>
  <c r="S154" i="6"/>
  <c r="S157" i="6" s="1"/>
  <c r="S166" i="6" s="1"/>
  <c r="AJ82" i="2"/>
  <c r="AP75" i="2"/>
  <c r="AL100" i="2"/>
  <c r="AP90" i="2"/>
  <c r="O40" i="23"/>
  <c r="O6" i="54"/>
  <c r="O87" i="55" s="1"/>
  <c r="Z121" i="2"/>
  <c r="P132" i="23" s="1"/>
  <c r="G132" i="23"/>
  <c r="Z116" i="2"/>
  <c r="P52" i="23" s="1"/>
  <c r="G52" i="23"/>
  <c r="Z129" i="2"/>
  <c r="P166" i="23" s="1"/>
  <c r="G166" i="23"/>
  <c r="O54" i="54"/>
  <c r="O151" i="55" s="1"/>
  <c r="O190" i="23"/>
  <c r="O200" i="6" s="1"/>
  <c r="O42" i="54"/>
  <c r="O138" i="55" s="1"/>
  <c r="O178" i="23"/>
  <c r="O181" i="6" s="1"/>
  <c r="S119" i="55"/>
  <c r="S121" i="55" s="1"/>
  <c r="S129" i="55" s="1"/>
  <c r="S32" i="53"/>
  <c r="Q119" i="55"/>
  <c r="Q121" i="55" s="1"/>
  <c r="Q129" i="55" s="1"/>
  <c r="Q32" i="53"/>
  <c r="Q37" i="53" s="1"/>
  <c r="Q38" i="53" s="1"/>
  <c r="K99" i="55"/>
  <c r="K102" i="55" s="1"/>
  <c r="K110" i="55" s="1"/>
  <c r="K21" i="53"/>
  <c r="Z124" i="2"/>
  <c r="P143" i="23" s="1"/>
  <c r="G143" i="23"/>
  <c r="Z119" i="2"/>
  <c r="P121" i="23" s="1"/>
  <c r="G121" i="23"/>
  <c r="L99" i="55"/>
  <c r="L102" i="55" s="1"/>
  <c r="L110" i="55" s="1"/>
  <c r="L21" i="53"/>
  <c r="R119" i="55"/>
  <c r="R121" i="55" s="1"/>
  <c r="R129" i="55" s="1"/>
  <c r="R32" i="53"/>
  <c r="S18" i="53"/>
  <c r="S41" i="5"/>
  <c r="S6" i="53"/>
  <c r="S9" i="53" s="1"/>
  <c r="P6" i="53"/>
  <c r="P41" i="5"/>
  <c r="P18" i="53"/>
  <c r="P99" i="55" s="1"/>
  <c r="G6" i="54"/>
  <c r="G87" i="55" s="1"/>
  <c r="G40" i="23"/>
  <c r="O155" i="23"/>
  <c r="O161" i="6" s="1"/>
  <c r="O30" i="54"/>
  <c r="O125" i="55" s="1"/>
  <c r="Z127" i="2"/>
  <c r="G155" i="23"/>
  <c r="G30" i="54"/>
  <c r="G125" i="55" s="1"/>
  <c r="Z123" i="2"/>
  <c r="P74" i="23" s="1"/>
  <c r="G74" i="23"/>
  <c r="Z114" i="2"/>
  <c r="G54" i="54"/>
  <c r="G151" i="55" s="1"/>
  <c r="G190" i="23"/>
  <c r="G200" i="6" s="1"/>
  <c r="G42" i="54"/>
  <c r="G138" i="55" s="1"/>
  <c r="G178" i="23"/>
  <c r="G181" i="6" s="1"/>
  <c r="M119" i="55"/>
  <c r="M121" i="55" s="1"/>
  <c r="M129" i="55" s="1"/>
  <c r="M32" i="53"/>
  <c r="K119" i="55"/>
  <c r="K121" i="55" s="1"/>
  <c r="K129" i="55" s="1"/>
  <c r="K32" i="53"/>
  <c r="Z118" i="2"/>
  <c r="P63" i="23" s="1"/>
  <c r="G63" i="23"/>
  <c r="O86" i="23"/>
  <c r="O120" i="6" s="1"/>
  <c r="O18" i="54"/>
  <c r="O106" i="55" s="1"/>
  <c r="Z126" i="2"/>
  <c r="G18" i="54"/>
  <c r="G106" i="55" s="1"/>
  <c r="G86" i="23"/>
  <c r="L119" i="55"/>
  <c r="L121" i="55" s="1"/>
  <c r="L129" i="55" s="1"/>
  <c r="L32" i="53"/>
  <c r="R99" i="55"/>
  <c r="R102" i="55" s="1"/>
  <c r="R110" i="55" s="1"/>
  <c r="R21" i="53"/>
  <c r="N119" i="55"/>
  <c r="N121" i="55" s="1"/>
  <c r="N129" i="55" s="1"/>
  <c r="N32" i="53"/>
  <c r="F161" i="6"/>
  <c r="F154" i="6"/>
  <c r="F42" i="6"/>
  <c r="F42" i="55"/>
  <c r="Q208" i="6"/>
  <c r="Q209" i="6" s="1"/>
  <c r="F156" i="23"/>
  <c r="F158" i="23" s="1"/>
  <c r="F160" i="23" s="1"/>
  <c r="F31" i="54"/>
  <c r="F126" i="55" s="1"/>
  <c r="F128" i="55" s="1"/>
  <c r="F41" i="23"/>
  <c r="F43" i="23" s="1"/>
  <c r="F45" i="23" s="1"/>
  <c r="F7" i="54"/>
  <c r="F87" i="23"/>
  <c r="F89" i="23" s="1"/>
  <c r="F91" i="23" s="1"/>
  <c r="F19" i="54"/>
  <c r="O8" i="6"/>
  <c r="O9" i="6" s="1"/>
  <c r="O31" i="53"/>
  <c r="O169" i="5"/>
  <c r="O37" i="55" s="1"/>
  <c r="O8" i="55"/>
  <c r="O9" i="55" s="1"/>
  <c r="O24" i="55" s="1"/>
  <c r="F43" i="6"/>
  <c r="F43" i="55"/>
  <c r="F19" i="53"/>
  <c r="F42" i="5"/>
  <c r="F114" i="6" s="1"/>
  <c r="O7" i="5"/>
  <c r="O7" i="53"/>
  <c r="O9" i="53" s="1"/>
  <c r="S38" i="6"/>
  <c r="S67" i="6" s="1"/>
  <c r="S38" i="55"/>
  <c r="S67" i="55" s="1"/>
  <c r="R38" i="6"/>
  <c r="R67" i="6" s="1"/>
  <c r="R38" i="55"/>
  <c r="R67" i="55" s="1"/>
  <c r="F64" i="23"/>
  <c r="F66" i="23" s="1"/>
  <c r="F68" i="23" s="1"/>
  <c r="F29" i="23"/>
  <c r="F32" i="23" s="1"/>
  <c r="F34" i="23" s="1"/>
  <c r="O75" i="23"/>
  <c r="O78" i="23" s="1"/>
  <c r="F75" i="23"/>
  <c r="F78" i="23" s="1"/>
  <c r="F80" i="23" s="1"/>
  <c r="F110" i="23"/>
  <c r="F112" i="23" s="1"/>
  <c r="F114" i="23" s="1"/>
  <c r="F99" i="23"/>
  <c r="AA93" i="3"/>
  <c r="AM89" i="3"/>
  <c r="AM93" i="3" s="1"/>
  <c r="AL105" i="3"/>
  <c r="AL99" i="3"/>
  <c r="F8" i="6"/>
  <c r="F9" i="6" s="1"/>
  <c r="F8" i="55"/>
  <c r="F9" i="55" s="1"/>
  <c r="F24" i="55" s="1"/>
  <c r="F31" i="53"/>
  <c r="F169" i="5"/>
  <c r="F37" i="55" s="1"/>
  <c r="F7" i="5"/>
  <c r="F7" i="53"/>
  <c r="F9" i="53" s="1"/>
  <c r="F133" i="23"/>
  <c r="F135" i="23" s="1"/>
  <c r="F137" i="23" s="1"/>
  <c r="F167" i="23"/>
  <c r="F169" i="23" s="1"/>
  <c r="F171" i="23" s="1"/>
  <c r="F18" i="23"/>
  <c r="F20" i="23" s="1"/>
  <c r="F22" i="23" s="1"/>
  <c r="F144" i="23"/>
  <c r="F147" i="23" s="1"/>
  <c r="F149" i="23" s="1"/>
  <c r="M38" i="6"/>
  <c r="M67" i="6" s="1"/>
  <c r="M38" i="55"/>
  <c r="M67" i="55" s="1"/>
  <c r="K38" i="6"/>
  <c r="K67" i="6" s="1"/>
  <c r="K38" i="55"/>
  <c r="K67" i="55" s="1"/>
  <c r="N38" i="6"/>
  <c r="N67" i="6" s="1"/>
  <c r="N38" i="55"/>
  <c r="N67" i="55" s="1"/>
  <c r="AM102" i="3"/>
  <c r="AM105" i="3" s="1"/>
  <c r="AA105" i="3"/>
  <c r="AM96" i="3"/>
  <c r="AM99" i="3" s="1"/>
  <c r="AA99" i="3"/>
  <c r="AL93" i="3"/>
  <c r="F191" i="23"/>
  <c r="F201" i="6" s="1"/>
  <c r="F204" i="6" s="1"/>
  <c r="F205" i="6" s="1"/>
  <c r="F55" i="54"/>
  <c r="F179" i="23"/>
  <c r="F182" i="6" s="1"/>
  <c r="F184" i="6" s="1"/>
  <c r="F43" i="54"/>
  <c r="P6" i="5"/>
  <c r="Z136" i="2"/>
  <c r="G124" i="5"/>
  <c r="G136" i="5" s="1"/>
  <c r="G147" i="5"/>
  <c r="Z134" i="2"/>
  <c r="G52" i="5"/>
  <c r="G42" i="55" s="1"/>
  <c r="G87" i="6"/>
  <c r="Z137" i="2"/>
  <c r="G158" i="5"/>
  <c r="G189" i="5"/>
  <c r="G179" i="5"/>
  <c r="G200" i="5"/>
  <c r="G194" i="6" s="1"/>
  <c r="Z135" i="2"/>
  <c r="G84" i="5"/>
  <c r="G104" i="5"/>
  <c r="G114" i="5"/>
  <c r="G18" i="5"/>
  <c r="G63" i="5"/>
  <c r="G74" i="5" s="1"/>
  <c r="G94" i="5"/>
  <c r="L36" i="6"/>
  <c r="L154" i="6"/>
  <c r="L157" i="6" s="1"/>
  <c r="L166" i="6" s="1"/>
  <c r="N36" i="6"/>
  <c r="N154" i="6"/>
  <c r="N157" i="6" s="1"/>
  <c r="N166" i="6" s="1"/>
  <c r="F175" i="6"/>
  <c r="F177" i="6" s="1"/>
  <c r="F134" i="6"/>
  <c r="F113" i="6"/>
  <c r="L170" i="5"/>
  <c r="O147" i="5"/>
  <c r="O124" i="5"/>
  <c r="O136" i="5" s="1"/>
  <c r="O139" i="5" s="1"/>
  <c r="O87" i="6"/>
  <c r="O52" i="5"/>
  <c r="O200" i="5"/>
  <c r="O194" i="6" s="1"/>
  <c r="O179" i="5"/>
  <c r="O181" i="5" s="1"/>
  <c r="O158" i="5"/>
  <c r="O189" i="5"/>
  <c r="O191" i="5" s="1"/>
  <c r="O114" i="5"/>
  <c r="O116" i="5" s="1"/>
  <c r="O94" i="5"/>
  <c r="O96" i="5" s="1"/>
  <c r="O18" i="5"/>
  <c r="O63" i="5"/>
  <c r="O74" i="5" s="1"/>
  <c r="O104" i="5"/>
  <c r="O84" i="5"/>
  <c r="K36" i="6"/>
  <c r="K154" i="6"/>
  <c r="K157" i="6" s="1"/>
  <c r="K166" i="6" s="1"/>
  <c r="O90" i="6"/>
  <c r="O196" i="6"/>
  <c r="F124" i="23"/>
  <c r="F126" i="23" s="1"/>
  <c r="F9" i="23"/>
  <c r="F11" i="23" s="1"/>
  <c r="F55" i="23"/>
  <c r="F57" i="23" s="1"/>
  <c r="O176" i="6"/>
  <c r="O141" i="6"/>
  <c r="O94" i="6"/>
  <c r="R44" i="5"/>
  <c r="R113" i="6"/>
  <c r="R116" i="6" s="1"/>
  <c r="R125" i="6" s="1"/>
  <c r="R208" i="6" s="1"/>
  <c r="R209" i="6" s="1"/>
  <c r="L44" i="5"/>
  <c r="L113" i="6"/>
  <c r="L116" i="6" s="1"/>
  <c r="L125" i="6" s="1"/>
  <c r="K44" i="5"/>
  <c r="K113" i="6"/>
  <c r="K116" i="6" s="1"/>
  <c r="K125" i="6" s="1"/>
  <c r="G141" i="6"/>
  <c r="G94" i="6"/>
  <c r="M36" i="6"/>
  <c r="M154" i="6"/>
  <c r="M157" i="6" s="1"/>
  <c r="M166" i="6" s="1"/>
  <c r="F65" i="5"/>
  <c r="F75" i="5"/>
  <c r="F135" i="6" s="1"/>
  <c r="F137" i="6" s="1"/>
  <c r="AL112" i="3"/>
  <c r="AM108" i="3"/>
  <c r="AA112" i="3"/>
  <c r="AM112" i="3"/>
  <c r="AM77" i="3"/>
  <c r="AM80" i="3" s="1"/>
  <c r="AA80" i="3"/>
  <c r="AL86" i="3"/>
  <c r="AM83" i="3"/>
  <c r="AM86" i="3" s="1"/>
  <c r="AA86" i="3"/>
  <c r="AA20" i="3"/>
  <c r="AM16" i="3"/>
  <c r="AM20" i="3" s="1"/>
  <c r="AM64" i="3"/>
  <c r="AM67" i="3" s="1"/>
  <c r="AA67" i="3"/>
  <c r="AM23" i="3"/>
  <c r="AM27" i="3" s="1"/>
  <c r="P7" i="23" s="1"/>
  <c r="AA27" i="3"/>
  <c r="G7" i="23" s="1"/>
  <c r="AL48" i="3"/>
  <c r="AM44" i="3"/>
  <c r="AM48" i="3" s="1"/>
  <c r="AA48" i="3"/>
  <c r="AM51" i="3"/>
  <c r="AM54" i="3" s="1"/>
  <c r="P122" i="23" s="1"/>
  <c r="AA54" i="3"/>
  <c r="G122" i="23" s="1"/>
  <c r="AL20" i="3"/>
  <c r="AL67" i="3"/>
  <c r="AL54" i="3"/>
  <c r="O122" i="23" s="1"/>
  <c r="AL27" i="3"/>
  <c r="O7" i="23" s="1"/>
  <c r="S6" i="5"/>
  <c r="O56" i="6"/>
  <c r="O49" i="6"/>
  <c r="O63" i="6"/>
  <c r="O20" i="6"/>
  <c r="Z128" i="2"/>
  <c r="P109" i="23" s="1"/>
  <c r="Z122" i="2"/>
  <c r="P28" i="23" s="1"/>
  <c r="Z117" i="2"/>
  <c r="P17" i="23" s="1"/>
  <c r="Z113" i="2"/>
  <c r="P13" i="6" s="1"/>
  <c r="G13" i="6"/>
  <c r="Z125" i="2"/>
  <c r="Z120" i="2"/>
  <c r="P98" i="23" s="1"/>
  <c r="Z115" i="2"/>
  <c r="P6" i="23" s="1"/>
  <c r="R207" i="5"/>
  <c r="R208" i="5" s="1"/>
  <c r="Q38" i="6"/>
  <c r="Q67" i="6" s="1"/>
  <c r="Q207" i="5"/>
  <c r="Q208" i="5" s="1"/>
  <c r="AM134" i="3"/>
  <c r="AM136" i="3" s="1"/>
  <c r="P19" i="5" s="1"/>
  <c r="AA136" i="3"/>
  <c r="G19" i="5" s="1"/>
  <c r="AM57" i="3"/>
  <c r="AA61" i="3"/>
  <c r="AM30" i="3"/>
  <c r="AA34" i="3"/>
  <c r="G53" i="23" s="1"/>
  <c r="AM9" i="3"/>
  <c r="AA13" i="3"/>
  <c r="AM115" i="3"/>
  <c r="AA118" i="3"/>
  <c r="AM70" i="3"/>
  <c r="AA74" i="3"/>
  <c r="AM37" i="3"/>
  <c r="AA41" i="3"/>
  <c r="F64" i="6"/>
  <c r="F21" i="6"/>
  <c r="F59" i="6"/>
  <c r="F14" i="6"/>
  <c r="F52" i="6"/>
  <c r="AL136" i="3"/>
  <c r="O19" i="5" s="1"/>
  <c r="AL34" i="3"/>
  <c r="O53" i="23" s="1"/>
  <c r="AL13" i="3"/>
  <c r="O14" i="6"/>
  <c r="AL118" i="3"/>
  <c r="AL74" i="3"/>
  <c r="AL61" i="3"/>
  <c r="AL41" i="3"/>
  <c r="AL83" i="2"/>
  <c r="AP96" i="2"/>
  <c r="AP95" i="2"/>
  <c r="AL96" i="2"/>
  <c r="AP98" i="2"/>
  <c r="AK91" i="2"/>
  <c r="AP87" i="2"/>
  <c r="AM117" i="3"/>
  <c r="AM118" i="3" s="1"/>
  <c r="AM33" i="3"/>
  <c r="AM73" i="3"/>
  <c r="AM60" i="3"/>
  <c r="AM40" i="3"/>
  <c r="AM41" i="3" s="1"/>
  <c r="P18" i="23" s="1"/>
  <c r="O37" i="6"/>
  <c r="AM139" i="3"/>
  <c r="AM140" i="3" s="1"/>
  <c r="P30" i="5" s="1"/>
  <c r="P88" i="6" s="1"/>
  <c r="AA140" i="3"/>
  <c r="G30" i="5" s="1"/>
  <c r="AM121" i="3"/>
  <c r="AM122" i="3" s="1"/>
  <c r="AA122" i="3"/>
  <c r="AM186" i="3"/>
  <c r="AM187" i="3" s="1"/>
  <c r="P190" i="5" s="1"/>
  <c r="AA187" i="3"/>
  <c r="G190" i="5" s="1"/>
  <c r="AM182" i="3"/>
  <c r="AM183" i="3" s="1"/>
  <c r="P180" i="5" s="1"/>
  <c r="P176" i="6" s="1"/>
  <c r="AA183" i="3"/>
  <c r="G180" i="5" s="1"/>
  <c r="AM169" i="3"/>
  <c r="AM170" i="3" s="1"/>
  <c r="P125" i="5" s="1"/>
  <c r="P137" i="5" s="1"/>
  <c r="AA170" i="3"/>
  <c r="G125" i="5" s="1"/>
  <c r="AM190" i="3"/>
  <c r="AM191" i="3" s="1"/>
  <c r="P201" i="5" s="1"/>
  <c r="P195" i="6" s="1"/>
  <c r="AA191" i="3"/>
  <c r="G201" i="5" s="1"/>
  <c r="AL166" i="3"/>
  <c r="F150" i="5"/>
  <c r="F152" i="5" s="1"/>
  <c r="F44" i="5"/>
  <c r="F46" i="5" s="1"/>
  <c r="AM159" i="3"/>
  <c r="AM160" i="3" s="1"/>
  <c r="P105" i="5" s="1"/>
  <c r="AA160" i="3"/>
  <c r="G105" i="5" s="1"/>
  <c r="AM155" i="3"/>
  <c r="AM156" i="3" s="1"/>
  <c r="P95" i="5" s="1"/>
  <c r="AA156" i="3"/>
  <c r="G95" i="5" s="1"/>
  <c r="AM163" i="3"/>
  <c r="AM166" i="3" s="1"/>
  <c r="AA166" i="3"/>
  <c r="AM12" i="3"/>
  <c r="F160" i="5"/>
  <c r="F162" i="5" s="1"/>
  <c r="AJ100" i="2"/>
  <c r="O202" i="5"/>
  <c r="O160" i="5"/>
  <c r="AG79" i="2"/>
  <c r="AJ78" i="2"/>
  <c r="AJ79" i="2"/>
  <c r="G86" i="5"/>
  <c r="G88" i="5" s="1"/>
  <c r="G116" i="5"/>
  <c r="G118" i="5" s="1"/>
  <c r="O106" i="5"/>
  <c r="AL152" i="3"/>
  <c r="O85" i="5" s="1"/>
  <c r="AL144" i="3"/>
  <c r="O53" i="5" s="1"/>
  <c r="AM151" i="3"/>
  <c r="AL148" i="3"/>
  <c r="O64" i="5" s="1"/>
  <c r="AL175" i="3"/>
  <c r="O148" i="5" s="1"/>
  <c r="O155" i="6" s="1"/>
  <c r="AM175" i="3"/>
  <c r="P148" i="5" s="1"/>
  <c r="AA175" i="3"/>
  <c r="G148" i="5" s="1"/>
  <c r="AA179" i="3"/>
  <c r="G159" i="5" s="1"/>
  <c r="AM178" i="3"/>
  <c r="AM179" i="3" s="1"/>
  <c r="P159" i="5" s="1"/>
  <c r="F55" i="5"/>
  <c r="F45" i="55" s="1"/>
  <c r="AL92" i="2"/>
  <c r="AP82" i="2"/>
  <c r="AJ83" i="2"/>
  <c r="AL95" i="2"/>
  <c r="O21" i="5"/>
  <c r="AA148" i="3"/>
  <c r="G64" i="5" s="1"/>
  <c r="AM147" i="3"/>
  <c r="AA127" i="3"/>
  <c r="AM125" i="3"/>
  <c r="AM127" i="3" s="1"/>
  <c r="F32" i="5"/>
  <c r="F34" i="5" s="1"/>
  <c r="AL127" i="3"/>
  <c r="AM130" i="3"/>
  <c r="AM131" i="3" s="1"/>
  <c r="AA131" i="3"/>
  <c r="F21" i="5"/>
  <c r="F23" i="5" s="1"/>
  <c r="AA144" i="3"/>
  <c r="G53" i="5" s="1"/>
  <c r="AM144" i="3"/>
  <c r="P53" i="5" s="1"/>
  <c r="O32" i="5"/>
  <c r="F9" i="5"/>
  <c r="AP80" i="2"/>
  <c r="AP78" i="2"/>
  <c r="AP74" i="2"/>
  <c r="AL94" i="2"/>
  <c r="AJ80" i="2"/>
  <c r="AJ94" i="2"/>
  <c r="AJ75" i="2"/>
  <c r="AL87" i="2"/>
  <c r="AL82" i="2"/>
  <c r="AL88" i="2"/>
  <c r="AL76" i="2"/>
  <c r="AG80" i="2"/>
  <c r="AJ96" i="2"/>
  <c r="AJ99" i="2"/>
  <c r="AJ86" i="2"/>
  <c r="AP76" i="2"/>
  <c r="AP86" i="2"/>
  <c r="AL99" i="2"/>
  <c r="AL84" i="2"/>
  <c r="AL98" i="2"/>
  <c r="AL78" i="2"/>
  <c r="AL74" i="2"/>
  <c r="AL80" i="2"/>
  <c r="AK74" i="2"/>
  <c r="AH88" i="2"/>
  <c r="AG100" i="2"/>
  <c r="AG74" i="2"/>
  <c r="AG75" i="2"/>
  <c r="AJ95" i="2"/>
  <c r="AJ87" i="2"/>
  <c r="AJ84" i="2"/>
  <c r="AK90" i="2"/>
  <c r="AK99" i="2"/>
  <c r="AK82" i="2"/>
  <c r="AK96" i="2"/>
  <c r="AH78" i="2"/>
  <c r="AG90" i="2"/>
  <c r="AG99" i="2"/>
  <c r="AG92" i="2"/>
  <c r="AG86" i="2"/>
  <c r="AP83" i="2"/>
  <c r="AP79" i="2"/>
  <c r="AP84" i="2"/>
  <c r="AP92" i="2"/>
  <c r="AP88" i="2"/>
  <c r="AK94" i="2"/>
  <c r="AK79" i="2"/>
  <c r="AK98" i="2"/>
  <c r="AJ92" i="2"/>
  <c r="AJ76" i="2"/>
  <c r="AJ98" i="2"/>
  <c r="AJ74" i="2"/>
  <c r="AJ90" i="2"/>
  <c r="AJ88" i="2"/>
  <c r="AJ91" i="2"/>
  <c r="AG96" i="2"/>
  <c r="AG83" i="2"/>
  <c r="AL86" i="2"/>
  <c r="AL90" i="2"/>
  <c r="AL79" i="2"/>
  <c r="AG76" i="2"/>
  <c r="AG91" i="2"/>
  <c r="AG87" i="2"/>
  <c r="AG94" i="2"/>
  <c r="AG88" i="2"/>
  <c r="AH80" i="2"/>
  <c r="AK95" i="2"/>
  <c r="AK84" i="2"/>
  <c r="AG84" i="2"/>
  <c r="AG78" i="2"/>
  <c r="AG98" i="2"/>
  <c r="AG82" i="2"/>
  <c r="AG95" i="2"/>
  <c r="AL75" i="2"/>
  <c r="AL91" i="2"/>
  <c r="AK86" i="2"/>
  <c r="AK78" i="2"/>
  <c r="AK83" i="2"/>
  <c r="AK75" i="2"/>
  <c r="AK80" i="2"/>
  <c r="AK88" i="2"/>
  <c r="AK87" i="2"/>
  <c r="AH84" i="2"/>
  <c r="AK100" i="2"/>
  <c r="AH90" i="2"/>
  <c r="AK92" i="2"/>
  <c r="AH100" i="2"/>
  <c r="AH96" i="2"/>
  <c r="AN34" i="2"/>
  <c r="AN63" i="2" s="1"/>
  <c r="AY34" i="2"/>
  <c r="AK76" i="2"/>
  <c r="AH86" i="2"/>
  <c r="AH83" i="2"/>
  <c r="AH95" i="2"/>
  <c r="AH99" i="2"/>
  <c r="AM63" i="2"/>
  <c r="AM53" i="2"/>
  <c r="AM43" i="2"/>
  <c r="AM66" i="2"/>
  <c r="AM56" i="2"/>
  <c r="AM46" i="2"/>
  <c r="AM69" i="2"/>
  <c r="AM61" i="2"/>
  <c r="AM51" i="2"/>
  <c r="AM41" i="2"/>
  <c r="AM64" i="2"/>
  <c r="AM54" i="2"/>
  <c r="AM44" i="2"/>
  <c r="AM67" i="2"/>
  <c r="AM57" i="2"/>
  <c r="AM47" i="2"/>
  <c r="AM39" i="2"/>
  <c r="AM62" i="2"/>
  <c r="AM52" i="2"/>
  <c r="AM42" i="2"/>
  <c r="AM65" i="2"/>
  <c r="AM55" i="2"/>
  <c r="AM45" i="2"/>
  <c r="AM68" i="2"/>
  <c r="AM58" i="2"/>
  <c r="AM50" i="2"/>
  <c r="AM40" i="2"/>
  <c r="AH94" i="2"/>
  <c r="AH79" i="2"/>
  <c r="AH98" i="2"/>
  <c r="AH82" i="2"/>
  <c r="AH87" i="2"/>
  <c r="AH91" i="2"/>
  <c r="AH92" i="2"/>
  <c r="AH75" i="2"/>
  <c r="AH74" i="2"/>
  <c r="AO98" i="2"/>
  <c r="AO90" i="2"/>
  <c r="AO82" i="2"/>
  <c r="AO74" i="2"/>
  <c r="AO94" i="2"/>
  <c r="AO86" i="2"/>
  <c r="AO78" i="2"/>
  <c r="AO95" i="2"/>
  <c r="AO87" i="2"/>
  <c r="AO79" i="2"/>
  <c r="AO99" i="2"/>
  <c r="AO91" i="2"/>
  <c r="AO83" i="2"/>
  <c r="AO75" i="2"/>
  <c r="AI98" i="2"/>
  <c r="AI90" i="2"/>
  <c r="AI82" i="2"/>
  <c r="AI74" i="2"/>
  <c r="AI94" i="2"/>
  <c r="AI86" i="2"/>
  <c r="AI78" i="2"/>
  <c r="AI95" i="2"/>
  <c r="AI87" i="2"/>
  <c r="AI79" i="2"/>
  <c r="AI99" i="2"/>
  <c r="AI91" i="2"/>
  <c r="AI83" i="2"/>
  <c r="AI75" i="2"/>
  <c r="BA69" i="2"/>
  <c r="BA67" i="2"/>
  <c r="BA65" i="2"/>
  <c r="BA63" i="2"/>
  <c r="BA61" i="2"/>
  <c r="BA57" i="2"/>
  <c r="BA55" i="2"/>
  <c r="BA53" i="2"/>
  <c r="BA51" i="2"/>
  <c r="BA47" i="2"/>
  <c r="BA45" i="2"/>
  <c r="BA43" i="2"/>
  <c r="BA41" i="2"/>
  <c r="BA39" i="2"/>
  <c r="BA68" i="2"/>
  <c r="BA66" i="2"/>
  <c r="BA64" i="2"/>
  <c r="BA62" i="2"/>
  <c r="BA58" i="2"/>
  <c r="BA56" i="2"/>
  <c r="BA54" i="2"/>
  <c r="BA52" i="2"/>
  <c r="BA50" i="2"/>
  <c r="BA46" i="2"/>
  <c r="BA44" i="2"/>
  <c r="BA42" i="2"/>
  <c r="BA40" i="2"/>
  <c r="AW68" i="2"/>
  <c r="AW66" i="2"/>
  <c r="AW64" i="2"/>
  <c r="AW62" i="2"/>
  <c r="AW58" i="2"/>
  <c r="AW56" i="2"/>
  <c r="AW54" i="2"/>
  <c r="AW52" i="2"/>
  <c r="AW50" i="2"/>
  <c r="AW46" i="2"/>
  <c r="AW42" i="2"/>
  <c r="AW69" i="2"/>
  <c r="AW67" i="2"/>
  <c r="AW65" i="2"/>
  <c r="AW63" i="2"/>
  <c r="AW61" i="2"/>
  <c r="AW57" i="2"/>
  <c r="AW55" i="2"/>
  <c r="AW53" i="2"/>
  <c r="AW51" i="2"/>
  <c r="AW47" i="2"/>
  <c r="AW43" i="2"/>
  <c r="AW41" i="2"/>
  <c r="AW39" i="2"/>
  <c r="AW44" i="2"/>
  <c r="AW40" i="2"/>
  <c r="AW45" i="2"/>
  <c r="AO96" i="2"/>
  <c r="AO88" i="2"/>
  <c r="AO80" i="2"/>
  <c r="AO100" i="2"/>
  <c r="AO92" i="2"/>
  <c r="AO84" i="2"/>
  <c r="AO76" i="2"/>
  <c r="AV44" i="2"/>
  <c r="AV62" i="2"/>
  <c r="AV52" i="2"/>
  <c r="AV40" i="2"/>
  <c r="AV42" i="2"/>
  <c r="AV54" i="2"/>
  <c r="AV64" i="2"/>
  <c r="AV41" i="2"/>
  <c r="AV47" i="2"/>
  <c r="AV53" i="2"/>
  <c r="AV57" i="2"/>
  <c r="AV63" i="2"/>
  <c r="AV67" i="2"/>
  <c r="AV45" i="2"/>
  <c r="AV66" i="2"/>
  <c r="AV56" i="2"/>
  <c r="AV46" i="2"/>
  <c r="AV50" i="2"/>
  <c r="AV58" i="2"/>
  <c r="AV68" i="2"/>
  <c r="AV39" i="2"/>
  <c r="AV43" i="2"/>
  <c r="AV51" i="2"/>
  <c r="AV55" i="2"/>
  <c r="AV61" i="2"/>
  <c r="AV65" i="2"/>
  <c r="AV69" i="2"/>
  <c r="AT34" i="2"/>
  <c r="AI96" i="2"/>
  <c r="AI88" i="2"/>
  <c r="AI80" i="2"/>
  <c r="AI100" i="2"/>
  <c r="AI92" i="2"/>
  <c r="AI84" i="2"/>
  <c r="AI76" i="2"/>
  <c r="AS68" i="2"/>
  <c r="AS66" i="2"/>
  <c r="AS64" i="2"/>
  <c r="AS69" i="2"/>
  <c r="AS65" i="2"/>
  <c r="AS62" i="2"/>
  <c r="AS58" i="2"/>
  <c r="AS56" i="2"/>
  <c r="AS54" i="2"/>
  <c r="AS52" i="2"/>
  <c r="AS50" i="2"/>
  <c r="AS46" i="2"/>
  <c r="AS42" i="2"/>
  <c r="AS40" i="2"/>
  <c r="AS45" i="2"/>
  <c r="AS67" i="2"/>
  <c r="AS63" i="2"/>
  <c r="AS61" i="2"/>
  <c r="AS57" i="2"/>
  <c r="AS55" i="2"/>
  <c r="AS53" i="2"/>
  <c r="AS51" i="2"/>
  <c r="AS47" i="2"/>
  <c r="AS43" i="2"/>
  <c r="AS41" i="2"/>
  <c r="AS39" i="2"/>
  <c r="AS44" i="2"/>
  <c r="AU68" i="2"/>
  <c r="AU66" i="2"/>
  <c r="AU64" i="2"/>
  <c r="AU62" i="2"/>
  <c r="AU58" i="2"/>
  <c r="AU56" i="2"/>
  <c r="AU54" i="2"/>
  <c r="AU52" i="2"/>
  <c r="AU50" i="2"/>
  <c r="AU46" i="2"/>
  <c r="AU44" i="2"/>
  <c r="AU42" i="2"/>
  <c r="AU40" i="2"/>
  <c r="AU69" i="2"/>
  <c r="AU67" i="2"/>
  <c r="AU65" i="2"/>
  <c r="AU63" i="2"/>
  <c r="AU61" i="2"/>
  <c r="AU57" i="2"/>
  <c r="AU55" i="2"/>
  <c r="AU53" i="2"/>
  <c r="AU51" i="2"/>
  <c r="AU47" i="2"/>
  <c r="AU45" i="2"/>
  <c r="AU43" i="2"/>
  <c r="AU41" i="2"/>
  <c r="AU39" i="2"/>
  <c r="BB69" i="2"/>
  <c r="BB45" i="2"/>
  <c r="BB66" i="2"/>
  <c r="BB62" i="2"/>
  <c r="BB56" i="2"/>
  <c r="BB52" i="2"/>
  <c r="BB46" i="2"/>
  <c r="BB40" i="2"/>
  <c r="BB39" i="2"/>
  <c r="BB43" i="2"/>
  <c r="BB51" i="2"/>
  <c r="BB55" i="2"/>
  <c r="BB57" i="2"/>
  <c r="BB65" i="2"/>
  <c r="BB44" i="2"/>
  <c r="BB68" i="2"/>
  <c r="BB64" i="2"/>
  <c r="BB58" i="2"/>
  <c r="BB54" i="2"/>
  <c r="BB50" i="2"/>
  <c r="BB42" i="2"/>
  <c r="BB41" i="2"/>
  <c r="BB47" i="2"/>
  <c r="BB53" i="2"/>
  <c r="BB61" i="2"/>
  <c r="BB63" i="2"/>
  <c r="BB67" i="2"/>
  <c r="AX45" i="2"/>
  <c r="AX65" i="2"/>
  <c r="AX55" i="2"/>
  <c r="AX43" i="2"/>
  <c r="AX47" i="2"/>
  <c r="AX57" i="2"/>
  <c r="AX67" i="2"/>
  <c r="AX40" i="2"/>
  <c r="AX50" i="2"/>
  <c r="AX52" i="2"/>
  <c r="AX56" i="2"/>
  <c r="AX62" i="2"/>
  <c r="AX66" i="2"/>
  <c r="AX44" i="2"/>
  <c r="AX61" i="2"/>
  <c r="AX51" i="2"/>
  <c r="AX39" i="2"/>
  <c r="AX41" i="2"/>
  <c r="AX53" i="2"/>
  <c r="AX63" i="2"/>
  <c r="AX69" i="2"/>
  <c r="AX42" i="2"/>
  <c r="AX46" i="2"/>
  <c r="AX54" i="2"/>
  <c r="AX58" i="2"/>
  <c r="AX64" i="2"/>
  <c r="AX68" i="2"/>
  <c r="G96" i="5" l="1"/>
  <c r="G98" i="5" s="1"/>
  <c r="F33" i="54"/>
  <c r="F35" i="54" s="1"/>
  <c r="F155" i="6"/>
  <c r="F157" i="6" s="1"/>
  <c r="G176" i="6"/>
  <c r="AM61" i="3"/>
  <c r="AM74" i="3"/>
  <c r="P29" i="23" s="1"/>
  <c r="R37" i="53"/>
  <c r="R38" i="53" s="1"/>
  <c r="P86" i="23"/>
  <c r="P89" i="23" s="1"/>
  <c r="P18" i="54"/>
  <c r="P106" i="55" s="1"/>
  <c r="P155" i="23"/>
  <c r="P30" i="54"/>
  <c r="P125" i="55" s="1"/>
  <c r="S99" i="55"/>
  <c r="S102" i="55" s="1"/>
  <c r="S110" i="55" s="1"/>
  <c r="S21" i="53"/>
  <c r="S37" i="53" s="1"/>
  <c r="S38" i="53" s="1"/>
  <c r="Q39" i="53" s="1"/>
  <c r="P161" i="6"/>
  <c r="P40" i="23"/>
  <c r="P94" i="6" s="1"/>
  <c r="P6" i="54"/>
  <c r="P87" i="55" s="1"/>
  <c r="P54" i="54"/>
  <c r="P151" i="55" s="1"/>
  <c r="P190" i="23"/>
  <c r="P200" i="6" s="1"/>
  <c r="P42" i="54"/>
  <c r="P138" i="55" s="1"/>
  <c r="P178" i="23"/>
  <c r="P181" i="6" s="1"/>
  <c r="G161" i="6"/>
  <c r="G120" i="6"/>
  <c r="F116" i="6"/>
  <c r="O42" i="6"/>
  <c r="O42" i="55"/>
  <c r="O127" i="5"/>
  <c r="G106" i="5"/>
  <c r="G108" i="5" s="1"/>
  <c r="F95" i="6"/>
  <c r="F98" i="6" s="1"/>
  <c r="F105" i="6" s="1"/>
  <c r="O41" i="23"/>
  <c r="O7" i="54"/>
  <c r="P87" i="23"/>
  <c r="P19" i="54"/>
  <c r="P156" i="23"/>
  <c r="P31" i="54"/>
  <c r="O156" i="23"/>
  <c r="O158" i="23" s="1"/>
  <c r="O31" i="54"/>
  <c r="O126" i="55" s="1"/>
  <c r="O128" i="55" s="1"/>
  <c r="G41" i="23"/>
  <c r="G7" i="54"/>
  <c r="G87" i="23"/>
  <c r="G89" i="23" s="1"/>
  <c r="G91" i="23" s="1"/>
  <c r="G19" i="54"/>
  <c r="G156" i="23"/>
  <c r="G158" i="23" s="1"/>
  <c r="G160" i="23" s="1"/>
  <c r="G31" i="54"/>
  <c r="G126" i="55" s="1"/>
  <c r="G128" i="55" s="1"/>
  <c r="O87" i="23"/>
  <c r="O19" i="54"/>
  <c r="P41" i="23"/>
  <c r="P7" i="54"/>
  <c r="F194" i="23"/>
  <c r="F196" i="23" s="1"/>
  <c r="F121" i="6"/>
  <c r="F124" i="6" s="1"/>
  <c r="F162" i="6"/>
  <c r="F165" i="6" s="1"/>
  <c r="F166" i="6" s="1"/>
  <c r="F181" i="23"/>
  <c r="F183" i="23" s="1"/>
  <c r="P133" i="23"/>
  <c r="P135" i="23" s="1"/>
  <c r="G43" i="6"/>
  <c r="G43" i="55"/>
  <c r="G8" i="6"/>
  <c r="G9" i="6" s="1"/>
  <c r="G31" i="53"/>
  <c r="G169" i="5"/>
  <c r="G37" i="55" s="1"/>
  <c r="G8" i="55"/>
  <c r="G9" i="55" s="1"/>
  <c r="G24" i="55" s="1"/>
  <c r="O19" i="53"/>
  <c r="O42" i="5"/>
  <c r="P19" i="53"/>
  <c r="P42" i="5"/>
  <c r="P7" i="5"/>
  <c r="P7" i="53"/>
  <c r="P9" i="53" s="1"/>
  <c r="P167" i="23"/>
  <c r="P169" i="23" s="1"/>
  <c r="O167" i="23"/>
  <c r="O169" i="23" s="1"/>
  <c r="O43" i="23"/>
  <c r="O133" i="23"/>
  <c r="O135" i="23" s="1"/>
  <c r="G64" i="23"/>
  <c r="G66" i="23" s="1"/>
  <c r="G68" i="23" s="1"/>
  <c r="O64" i="23"/>
  <c r="O66" i="23" s="1"/>
  <c r="G144" i="23"/>
  <c r="G147" i="23" s="1"/>
  <c r="G149" i="23" s="1"/>
  <c r="O144" i="23"/>
  <c r="O147" i="23" s="1"/>
  <c r="P75" i="23"/>
  <c r="P78" i="23" s="1"/>
  <c r="O89" i="23"/>
  <c r="G99" i="23"/>
  <c r="G110" i="23"/>
  <c r="G112" i="23" s="1"/>
  <c r="G114" i="23" s="1"/>
  <c r="O99" i="23"/>
  <c r="O110" i="23"/>
  <c r="O112" i="23" s="1"/>
  <c r="L38" i="6"/>
  <c r="L67" i="6" s="1"/>
  <c r="L38" i="55"/>
  <c r="L67" i="55" s="1"/>
  <c r="F100" i="55"/>
  <c r="F102" i="55" s="1"/>
  <c r="F21" i="53"/>
  <c r="F23" i="53" s="1"/>
  <c r="P43" i="6"/>
  <c r="P43" i="55"/>
  <c r="P8" i="6"/>
  <c r="P9" i="6" s="1"/>
  <c r="P8" i="55"/>
  <c r="P9" i="55" s="1"/>
  <c r="P24" i="55" s="1"/>
  <c r="P31" i="53"/>
  <c r="P169" i="5"/>
  <c r="P37" i="55" s="1"/>
  <c r="G42" i="5"/>
  <c r="G19" i="53"/>
  <c r="O43" i="6"/>
  <c r="O43" i="55"/>
  <c r="G7" i="5"/>
  <c r="G7" i="53"/>
  <c r="G9" i="53" s="1"/>
  <c r="O18" i="23"/>
  <c r="O20" i="23" s="1"/>
  <c r="O29" i="23"/>
  <c r="O32" i="23" s="1"/>
  <c r="G18" i="23"/>
  <c r="G20" i="23" s="1"/>
  <c r="G22" i="23" s="1"/>
  <c r="G29" i="23"/>
  <c r="G32" i="23" s="1"/>
  <c r="G34" i="23" s="1"/>
  <c r="G167" i="23"/>
  <c r="G169" i="23" s="1"/>
  <c r="G171" i="23" s="1"/>
  <c r="G43" i="23"/>
  <c r="G45" i="23" s="1"/>
  <c r="P64" i="23"/>
  <c r="P66" i="23" s="1"/>
  <c r="G133" i="23"/>
  <c r="G135" i="23" s="1"/>
  <c r="G137" i="23" s="1"/>
  <c r="P144" i="23"/>
  <c r="P147" i="23" s="1"/>
  <c r="G75" i="23"/>
  <c r="G78" i="23" s="1"/>
  <c r="G80" i="23" s="1"/>
  <c r="P99" i="23"/>
  <c r="P110" i="23"/>
  <c r="P112" i="23" s="1"/>
  <c r="P158" i="23"/>
  <c r="F88" i="55"/>
  <c r="F90" i="55" s="1"/>
  <c r="F91" i="55" s="1"/>
  <c r="F9" i="54"/>
  <c r="F11" i="54" s="1"/>
  <c r="F120" i="55"/>
  <c r="F121" i="55" s="1"/>
  <c r="F32" i="53"/>
  <c r="F34" i="53" s="1"/>
  <c r="F107" i="55"/>
  <c r="F109" i="55" s="1"/>
  <c r="F21" i="54"/>
  <c r="F23" i="54" s="1"/>
  <c r="G33" i="54"/>
  <c r="G35" i="54" s="1"/>
  <c r="O120" i="55"/>
  <c r="O121" i="55" s="1"/>
  <c r="O32" i="53"/>
  <c r="F129" i="55"/>
  <c r="G191" i="23"/>
  <c r="G201" i="6" s="1"/>
  <c r="G204" i="6" s="1"/>
  <c r="G55" i="54"/>
  <c r="O55" i="54"/>
  <c r="O191" i="23"/>
  <c r="O194" i="23" s="1"/>
  <c r="P55" i="54"/>
  <c r="P191" i="23"/>
  <c r="P194" i="23" s="1"/>
  <c r="F152" i="55"/>
  <c r="F155" i="55" s="1"/>
  <c r="F156" i="55" s="1"/>
  <c r="F58" i="54"/>
  <c r="F60" i="54" s="1"/>
  <c r="O179" i="23"/>
  <c r="O43" i="54"/>
  <c r="G179" i="23"/>
  <c r="G182" i="6" s="1"/>
  <c r="G184" i="6" s="1"/>
  <c r="G43" i="54"/>
  <c r="F139" i="55"/>
  <c r="F141" i="55" s="1"/>
  <c r="F142" i="55" s="1"/>
  <c r="F45" i="54"/>
  <c r="F47" i="54" s="1"/>
  <c r="O154" i="6"/>
  <c r="O157" i="6" s="1"/>
  <c r="G134" i="6"/>
  <c r="P158" i="5"/>
  <c r="P189" i="5"/>
  <c r="P191" i="5" s="1"/>
  <c r="P200" i="5"/>
  <c r="P194" i="6" s="1"/>
  <c r="P179" i="5"/>
  <c r="P175" i="6" s="1"/>
  <c r="G42" i="6"/>
  <c r="G113" i="6"/>
  <c r="P147" i="5"/>
  <c r="P150" i="5" s="1"/>
  <c r="P124" i="5"/>
  <c r="P136" i="5" s="1"/>
  <c r="F185" i="6"/>
  <c r="O113" i="6"/>
  <c r="P114" i="5"/>
  <c r="P94" i="5"/>
  <c r="P96" i="5" s="1"/>
  <c r="P18" i="5"/>
  <c r="P63" i="5"/>
  <c r="P74" i="5" s="1"/>
  <c r="P104" i="5"/>
  <c r="P106" i="5" s="1"/>
  <c r="P84" i="5"/>
  <c r="P52" i="5"/>
  <c r="P87" i="6"/>
  <c r="P90" i="6" s="1"/>
  <c r="P196" i="6"/>
  <c r="P177" i="6"/>
  <c r="O134" i="6"/>
  <c r="O175" i="6"/>
  <c r="O177" i="6" s="1"/>
  <c r="G175" i="6"/>
  <c r="G177" i="6" s="1"/>
  <c r="G154" i="6"/>
  <c r="O121" i="6"/>
  <c r="O124" i="6" s="1"/>
  <c r="O55" i="23"/>
  <c r="G55" i="23"/>
  <c r="G57" i="23" s="1"/>
  <c r="G124" i="23"/>
  <c r="G126" i="23" s="1"/>
  <c r="F142" i="6"/>
  <c r="F144" i="6" s="1"/>
  <c r="F145" i="6" s="1"/>
  <c r="F101" i="23"/>
  <c r="F103" i="23" s="1"/>
  <c r="P20" i="23"/>
  <c r="O16" i="6"/>
  <c r="O124" i="23"/>
  <c r="O201" i="6"/>
  <c r="O204" i="6" s="1"/>
  <c r="O205" i="6" s="1"/>
  <c r="P124" i="23"/>
  <c r="P201" i="6"/>
  <c r="P204" i="6" s="1"/>
  <c r="P205" i="6" s="1"/>
  <c r="P32" i="23"/>
  <c r="G95" i="6"/>
  <c r="G98" i="6" s="1"/>
  <c r="G9" i="23"/>
  <c r="G11" i="23" s="1"/>
  <c r="O9" i="23"/>
  <c r="P139" i="5"/>
  <c r="G202" i="5"/>
  <c r="G204" i="5" s="1"/>
  <c r="G195" i="6"/>
  <c r="G196" i="6" s="1"/>
  <c r="G32" i="5"/>
  <c r="G34" i="5" s="1"/>
  <c r="G88" i="6"/>
  <c r="G90" i="6" s="1"/>
  <c r="G105" i="6" s="1"/>
  <c r="P141" i="6"/>
  <c r="P101" i="23"/>
  <c r="P9" i="23"/>
  <c r="S44" i="5"/>
  <c r="S207" i="5" s="1"/>
  <c r="S113" i="6"/>
  <c r="S116" i="6" s="1"/>
  <c r="S125" i="6" s="1"/>
  <c r="S208" i="6" s="1"/>
  <c r="S209" i="6" s="1"/>
  <c r="Q210" i="6" s="1"/>
  <c r="G127" i="5"/>
  <c r="G129" i="5" s="1"/>
  <c r="G141" i="5" s="1"/>
  <c r="G137" i="5"/>
  <c r="G65" i="5"/>
  <c r="G75" i="5"/>
  <c r="G135" i="6" s="1"/>
  <c r="O65" i="5"/>
  <c r="O76" i="5" s="1"/>
  <c r="O75" i="5"/>
  <c r="O135" i="6" s="1"/>
  <c r="O137" i="6" s="1"/>
  <c r="F67" i="5"/>
  <c r="F78" i="5" s="1"/>
  <c r="F76" i="5"/>
  <c r="P20" i="6"/>
  <c r="P63" i="6"/>
  <c r="P49" i="6"/>
  <c r="P56" i="6"/>
  <c r="G20" i="6"/>
  <c r="G63" i="6"/>
  <c r="G49" i="6"/>
  <c r="G56" i="6"/>
  <c r="F16" i="6"/>
  <c r="F45" i="6"/>
  <c r="F57" i="5"/>
  <c r="O21" i="6"/>
  <c r="O64" i="6"/>
  <c r="F23" i="6"/>
  <c r="G50" i="6"/>
  <c r="G57" i="6"/>
  <c r="G14" i="6"/>
  <c r="G21" i="6"/>
  <c r="G64" i="6"/>
  <c r="F66" i="6"/>
  <c r="AM13" i="3"/>
  <c r="AM34" i="3"/>
  <c r="P53" i="23" s="1"/>
  <c r="F170" i="5"/>
  <c r="F38" i="55" s="1"/>
  <c r="F67" i="55" s="1"/>
  <c r="F37" i="6"/>
  <c r="O50" i="6"/>
  <c r="O57" i="6"/>
  <c r="O66" i="6"/>
  <c r="P50" i="6"/>
  <c r="P57" i="6"/>
  <c r="O23" i="6"/>
  <c r="O24" i="6" s="1"/>
  <c r="O55" i="5"/>
  <c r="AN45" i="2"/>
  <c r="G181" i="5"/>
  <c r="G183" i="5" s="1"/>
  <c r="G191" i="5"/>
  <c r="G193" i="5" s="1"/>
  <c r="O9" i="5"/>
  <c r="G9" i="5"/>
  <c r="G150" i="5"/>
  <c r="G152" i="5" s="1"/>
  <c r="P44" i="5"/>
  <c r="P155" i="6"/>
  <c r="O170" i="5"/>
  <c r="G55" i="5"/>
  <c r="G45" i="55" s="1"/>
  <c r="G160" i="5"/>
  <c r="G162" i="5" s="1"/>
  <c r="O150" i="5"/>
  <c r="O86" i="5"/>
  <c r="P55" i="5"/>
  <c r="P181" i="5"/>
  <c r="P202" i="5"/>
  <c r="P160" i="5"/>
  <c r="P116" i="5"/>
  <c r="AM152" i="3"/>
  <c r="P85" i="5" s="1"/>
  <c r="AM148" i="3"/>
  <c r="P64" i="5" s="1"/>
  <c r="P114" i="6" s="1"/>
  <c r="P9" i="5"/>
  <c r="AN61" i="2"/>
  <c r="AN84" i="2" s="1"/>
  <c r="G21" i="5"/>
  <c r="G23" i="5" s="1"/>
  <c r="P21" i="5"/>
  <c r="S9" i="5"/>
  <c r="AN58" i="2"/>
  <c r="AN46" i="2"/>
  <c r="AN39" i="2"/>
  <c r="AN66" i="2"/>
  <c r="AN55" i="2"/>
  <c r="AN68" i="2"/>
  <c r="AN50" i="2"/>
  <c r="AN75" i="2" s="1"/>
  <c r="AN40" i="2"/>
  <c r="AN57" i="2"/>
  <c r="AN56" i="2"/>
  <c r="AN53" i="2"/>
  <c r="AN47" i="2"/>
  <c r="AN64" i="2"/>
  <c r="AN76" i="2" s="1"/>
  <c r="AN54" i="2"/>
  <c r="AN43" i="2"/>
  <c r="AN42" i="2"/>
  <c r="AN51" i="2"/>
  <c r="AN69" i="2"/>
  <c r="AN67" i="2"/>
  <c r="AN62" i="2"/>
  <c r="AN52" i="2"/>
  <c r="AN41" i="2"/>
  <c r="AN44" i="2"/>
  <c r="AN65" i="2"/>
  <c r="AZ34" i="2"/>
  <c r="AM87" i="2"/>
  <c r="AM83" i="2"/>
  <c r="AM79" i="2"/>
  <c r="AM75" i="2"/>
  <c r="AM99" i="2"/>
  <c r="AM95" i="2"/>
  <c r="AM91" i="2"/>
  <c r="AM96" i="2"/>
  <c r="AM92" i="2"/>
  <c r="AM88" i="2"/>
  <c r="AM84" i="2"/>
  <c r="AM80" i="2"/>
  <c r="AM76" i="2"/>
  <c r="AM100" i="2"/>
  <c r="AY66" i="2"/>
  <c r="AY62" i="2"/>
  <c r="AY56" i="2"/>
  <c r="AY52" i="2"/>
  <c r="AY46" i="2"/>
  <c r="AY43" i="2"/>
  <c r="AY39" i="2"/>
  <c r="AY65" i="2"/>
  <c r="AY61" i="2"/>
  <c r="AY55" i="2"/>
  <c r="AY51" i="2"/>
  <c r="AY69" i="2"/>
  <c r="AY42" i="2"/>
  <c r="AY68" i="2"/>
  <c r="AY64" i="2"/>
  <c r="AY58" i="2"/>
  <c r="AY54" i="2"/>
  <c r="AY50" i="2"/>
  <c r="AY45" i="2"/>
  <c r="AY41" i="2"/>
  <c r="AY67" i="2"/>
  <c r="AY63" i="2"/>
  <c r="AY57" i="2"/>
  <c r="AY53" i="2"/>
  <c r="AY47" i="2"/>
  <c r="AY44" i="2"/>
  <c r="AY40" i="2"/>
  <c r="AM82" i="2"/>
  <c r="AM78" i="2"/>
  <c r="AM74" i="2"/>
  <c r="AM98" i="2"/>
  <c r="AM94" i="2"/>
  <c r="AM90" i="2"/>
  <c r="AM86" i="2"/>
  <c r="AX74" i="2"/>
  <c r="AX94" i="2"/>
  <c r="AX86" i="2"/>
  <c r="AX78" i="2"/>
  <c r="AX98" i="2"/>
  <c r="AX90" i="2"/>
  <c r="AX82" i="2"/>
  <c r="AX95" i="2"/>
  <c r="AX91" i="2"/>
  <c r="AX75" i="2"/>
  <c r="AX87" i="2"/>
  <c r="AX99" i="2"/>
  <c r="AX83" i="2"/>
  <c r="AX79" i="2"/>
  <c r="BB100" i="2"/>
  <c r="BB96" i="2"/>
  <c r="BB80" i="2"/>
  <c r="BB84" i="2"/>
  <c r="BB88" i="2"/>
  <c r="BB76" i="2"/>
  <c r="BB92" i="2"/>
  <c r="BB98" i="2"/>
  <c r="BB82" i="2"/>
  <c r="BB94" i="2"/>
  <c r="BB78" i="2"/>
  <c r="BB90" i="2"/>
  <c r="BB74" i="2"/>
  <c r="BB86" i="2"/>
  <c r="AU100" i="2"/>
  <c r="AU92" i="2"/>
  <c r="AU84" i="2"/>
  <c r="AU76" i="2"/>
  <c r="AU96" i="2"/>
  <c r="AU88" i="2"/>
  <c r="AU80" i="2"/>
  <c r="AS95" i="2"/>
  <c r="AS87" i="2"/>
  <c r="AS79" i="2"/>
  <c r="AS99" i="2"/>
  <c r="AS91" i="2"/>
  <c r="AS83" i="2"/>
  <c r="AS75" i="2"/>
  <c r="AV96" i="2"/>
  <c r="AV80" i="2"/>
  <c r="AV100" i="2"/>
  <c r="AV88" i="2"/>
  <c r="AV92" i="2"/>
  <c r="AV84" i="2"/>
  <c r="AV76" i="2"/>
  <c r="AV98" i="2"/>
  <c r="AV90" i="2"/>
  <c r="AV74" i="2"/>
  <c r="AV94" i="2"/>
  <c r="AV82" i="2"/>
  <c r="AV78" i="2"/>
  <c r="AV86" i="2"/>
  <c r="AW95" i="2"/>
  <c r="AW87" i="2"/>
  <c r="AW79" i="2"/>
  <c r="AW99" i="2"/>
  <c r="AW91" i="2"/>
  <c r="AW83" i="2"/>
  <c r="AW75" i="2"/>
  <c r="BA94" i="2"/>
  <c r="BA86" i="2"/>
  <c r="BA78" i="2"/>
  <c r="BA98" i="2"/>
  <c r="BA90" i="2"/>
  <c r="BA82" i="2"/>
  <c r="BA74" i="2"/>
  <c r="AX92" i="2"/>
  <c r="AX84" i="2"/>
  <c r="AX76" i="2"/>
  <c r="AX100" i="2"/>
  <c r="AX88" i="2"/>
  <c r="AX80" i="2"/>
  <c r="AX96" i="2"/>
  <c r="BB99" i="2"/>
  <c r="BB83" i="2"/>
  <c r="BB75" i="2"/>
  <c r="BB87" i="2"/>
  <c r="BB91" i="2"/>
  <c r="BB79" i="2"/>
  <c r="BB95" i="2"/>
  <c r="AU94" i="2"/>
  <c r="AU86" i="2"/>
  <c r="AU78" i="2"/>
  <c r="AU98" i="2"/>
  <c r="AU90" i="2"/>
  <c r="AU82" i="2"/>
  <c r="AU74" i="2"/>
  <c r="AU99" i="2"/>
  <c r="AU91" i="2"/>
  <c r="AU83" i="2"/>
  <c r="AU75" i="2"/>
  <c r="AU95" i="2"/>
  <c r="AU87" i="2"/>
  <c r="AU79" i="2"/>
  <c r="AS94" i="2"/>
  <c r="AS86" i="2"/>
  <c r="AS78" i="2"/>
  <c r="AS98" i="2"/>
  <c r="AS90" i="2"/>
  <c r="AS82" i="2"/>
  <c r="AS74" i="2"/>
  <c r="AS100" i="2"/>
  <c r="AS92" i="2"/>
  <c r="AS84" i="2"/>
  <c r="AS76" i="2"/>
  <c r="AS96" i="2"/>
  <c r="AS88" i="2"/>
  <c r="AS80" i="2"/>
  <c r="AT45" i="2"/>
  <c r="AT69" i="2"/>
  <c r="AT67" i="2"/>
  <c r="AT65" i="2"/>
  <c r="AT63" i="2"/>
  <c r="AT61" i="2"/>
  <c r="AT57" i="2"/>
  <c r="AT55" i="2"/>
  <c r="AT53" i="2"/>
  <c r="AT51" i="2"/>
  <c r="AT47" i="2"/>
  <c r="AT43" i="2"/>
  <c r="AT41" i="2"/>
  <c r="AT39" i="2"/>
  <c r="AT44" i="2"/>
  <c r="AT68" i="2"/>
  <c r="AT66" i="2"/>
  <c r="AT64" i="2"/>
  <c r="AT62" i="2"/>
  <c r="AT58" i="2"/>
  <c r="AT56" i="2"/>
  <c r="AT54" i="2"/>
  <c r="AT52" i="2"/>
  <c r="AT50" i="2"/>
  <c r="AT46" i="2"/>
  <c r="AT42" i="2"/>
  <c r="AT40" i="2"/>
  <c r="AV95" i="2"/>
  <c r="AV87" i="2"/>
  <c r="AV79" i="2"/>
  <c r="AV99" i="2"/>
  <c r="AV91" i="2"/>
  <c r="AV83" i="2"/>
  <c r="AV75" i="2"/>
  <c r="AW98" i="2"/>
  <c r="AW90" i="2"/>
  <c r="AW82" i="2"/>
  <c r="AW74" i="2"/>
  <c r="AW94" i="2"/>
  <c r="AW86" i="2"/>
  <c r="AW78" i="2"/>
  <c r="AW96" i="2"/>
  <c r="AW88" i="2"/>
  <c r="AW80" i="2"/>
  <c r="AW100" i="2"/>
  <c r="AW92" i="2"/>
  <c r="AW84" i="2"/>
  <c r="AW76" i="2"/>
  <c r="BA95" i="2"/>
  <c r="BA87" i="2"/>
  <c r="BA79" i="2"/>
  <c r="BA99" i="2"/>
  <c r="BA91" i="2"/>
  <c r="BA83" i="2"/>
  <c r="BA75" i="2"/>
  <c r="BA100" i="2"/>
  <c r="BA92" i="2"/>
  <c r="BA84" i="2"/>
  <c r="BA76" i="2"/>
  <c r="BA96" i="2"/>
  <c r="BA88" i="2"/>
  <c r="BA80" i="2"/>
  <c r="F110" i="55" l="1"/>
  <c r="P120" i="6"/>
  <c r="O162" i="6"/>
  <c r="O165" i="6" s="1"/>
  <c r="O166" i="6" s="1"/>
  <c r="O95" i="6"/>
  <c r="O98" i="6" s="1"/>
  <c r="O105" i="6" s="1"/>
  <c r="O33" i="54"/>
  <c r="G137" i="6"/>
  <c r="F125" i="6"/>
  <c r="P42" i="6"/>
  <c r="P42" i="55"/>
  <c r="P127" i="5"/>
  <c r="P32" i="5"/>
  <c r="P162" i="6"/>
  <c r="P165" i="6" s="1"/>
  <c r="G194" i="23"/>
  <c r="G196" i="23" s="1"/>
  <c r="S208" i="5"/>
  <c r="Q209" i="5" s="1"/>
  <c r="G205" i="6"/>
  <c r="G162" i="6"/>
  <c r="G165" i="6" s="1"/>
  <c r="G121" i="6"/>
  <c r="G124" i="6" s="1"/>
  <c r="F24" i="6"/>
  <c r="G181" i="23"/>
  <c r="G183" i="23" s="1"/>
  <c r="P45" i="6"/>
  <c r="P45" i="55"/>
  <c r="P95" i="6"/>
  <c r="P98" i="6" s="1"/>
  <c r="P105" i="6" s="1"/>
  <c r="P126" i="55"/>
  <c r="P128" i="55" s="1"/>
  <c r="P33" i="54"/>
  <c r="P107" i="55"/>
  <c r="P109" i="55" s="1"/>
  <c r="P21" i="54"/>
  <c r="G100" i="55"/>
  <c r="G102" i="55" s="1"/>
  <c r="G21" i="53"/>
  <c r="G23" i="53" s="1"/>
  <c r="O107" i="55"/>
  <c r="O109" i="55" s="1"/>
  <c r="O21" i="54"/>
  <c r="P100" i="55"/>
  <c r="P102" i="55" s="1"/>
  <c r="P21" i="53"/>
  <c r="O100" i="55"/>
  <c r="O102" i="55" s="1"/>
  <c r="O21" i="53"/>
  <c r="O38" i="6"/>
  <c r="O38" i="55"/>
  <c r="O45" i="6"/>
  <c r="O45" i="55"/>
  <c r="G88" i="55"/>
  <c r="G90" i="55" s="1"/>
  <c r="G91" i="55" s="1"/>
  <c r="G9" i="54"/>
  <c r="G11" i="54" s="1"/>
  <c r="P120" i="55"/>
  <c r="P121" i="55" s="1"/>
  <c r="P32" i="53"/>
  <c r="G107" i="55"/>
  <c r="G109" i="55" s="1"/>
  <c r="G110" i="55" s="1"/>
  <c r="G21" i="54"/>
  <c r="G23" i="54" s="1"/>
  <c r="O88" i="55"/>
  <c r="O90" i="55" s="1"/>
  <c r="O91" i="55" s="1"/>
  <c r="O9" i="54"/>
  <c r="G120" i="55"/>
  <c r="G121" i="55" s="1"/>
  <c r="G129" i="55" s="1"/>
  <c r="G32" i="53"/>
  <c r="G34" i="53" s="1"/>
  <c r="O129" i="55"/>
  <c r="P152" i="55"/>
  <c r="P155" i="55" s="1"/>
  <c r="P156" i="55" s="1"/>
  <c r="P58" i="54"/>
  <c r="O152" i="55"/>
  <c r="O155" i="55" s="1"/>
  <c r="O156" i="55" s="1"/>
  <c r="O58" i="54"/>
  <c r="G152" i="55"/>
  <c r="G155" i="55" s="1"/>
  <c r="G156" i="55" s="1"/>
  <c r="G58" i="54"/>
  <c r="G60" i="54" s="1"/>
  <c r="P179" i="23"/>
  <c r="P182" i="6" s="1"/>
  <c r="P184" i="6" s="1"/>
  <c r="P185" i="6" s="1"/>
  <c r="P43" i="54"/>
  <c r="G139" i="55"/>
  <c r="G141" i="55" s="1"/>
  <c r="G142" i="55" s="1"/>
  <c r="G45" i="54"/>
  <c r="G47" i="54" s="1"/>
  <c r="O139" i="55"/>
  <c r="O141" i="55" s="1"/>
  <c r="O142" i="55" s="1"/>
  <c r="O45" i="54"/>
  <c r="G185" i="6"/>
  <c r="P134" i="6"/>
  <c r="P113" i="6"/>
  <c r="P116" i="6" s="1"/>
  <c r="P154" i="6"/>
  <c r="P157" i="6" s="1"/>
  <c r="P142" i="6"/>
  <c r="P144" i="6" s="1"/>
  <c r="P121" i="6"/>
  <c r="P124" i="6" s="1"/>
  <c r="P55" i="23"/>
  <c r="O182" i="6"/>
  <c r="O184" i="6" s="1"/>
  <c r="O185" i="6" s="1"/>
  <c r="O181" i="23"/>
  <c r="O142" i="6"/>
  <c r="O144" i="6" s="1"/>
  <c r="O145" i="6" s="1"/>
  <c r="O101" i="23"/>
  <c r="G142" i="6"/>
  <c r="G144" i="6" s="1"/>
  <c r="G101" i="23"/>
  <c r="G103" i="23" s="1"/>
  <c r="P43" i="23"/>
  <c r="G44" i="5"/>
  <c r="G46" i="5" s="1"/>
  <c r="G114" i="6"/>
  <c r="G116" i="6" s="1"/>
  <c r="O44" i="5"/>
  <c r="O114" i="6"/>
  <c r="O116" i="6" s="1"/>
  <c r="O125" i="6" s="1"/>
  <c r="G139" i="5"/>
  <c r="G155" i="6"/>
  <c r="G157" i="6" s="1"/>
  <c r="G166" i="6" s="1"/>
  <c r="P65" i="5"/>
  <c r="P76" i="5" s="1"/>
  <c r="P75" i="5"/>
  <c r="P135" i="6" s="1"/>
  <c r="G67" i="5"/>
  <c r="G78" i="5" s="1"/>
  <c r="G76" i="5"/>
  <c r="G45" i="6"/>
  <c r="G57" i="5"/>
  <c r="F38" i="6"/>
  <c r="F67" i="6" s="1"/>
  <c r="F172" i="5"/>
  <c r="G16" i="6"/>
  <c r="P21" i="6"/>
  <c r="G66" i="6"/>
  <c r="G59" i="6"/>
  <c r="G52" i="6"/>
  <c r="P64" i="6"/>
  <c r="P16" i="6"/>
  <c r="P14" i="6"/>
  <c r="G23" i="6"/>
  <c r="P170" i="5"/>
  <c r="P37" i="6"/>
  <c r="G170" i="5"/>
  <c r="G38" i="55" s="1"/>
  <c r="G67" i="55" s="1"/>
  <c r="G37" i="6"/>
  <c r="P52" i="6"/>
  <c r="O52" i="6"/>
  <c r="P59" i="6"/>
  <c r="O59" i="6"/>
  <c r="AN88" i="2"/>
  <c r="AN100" i="2"/>
  <c r="AN92" i="2"/>
  <c r="AN86" i="2"/>
  <c r="P86" i="5"/>
  <c r="AN78" i="2"/>
  <c r="AN90" i="2"/>
  <c r="AN96" i="2"/>
  <c r="AN98" i="2"/>
  <c r="AN80" i="2"/>
  <c r="AN74" i="2"/>
  <c r="AN95" i="2"/>
  <c r="AN82" i="2"/>
  <c r="AN99" i="2"/>
  <c r="AN79" i="2"/>
  <c r="AN94" i="2"/>
  <c r="AN83" i="2"/>
  <c r="AN87" i="2"/>
  <c r="AN91" i="2"/>
  <c r="AZ68" i="2"/>
  <c r="AZ64" i="2"/>
  <c r="AZ58" i="2"/>
  <c r="AZ54" i="2"/>
  <c r="AZ50" i="2"/>
  <c r="AZ42" i="2"/>
  <c r="AZ69" i="2"/>
  <c r="AZ67" i="2"/>
  <c r="AZ63" i="2"/>
  <c r="AZ57" i="2"/>
  <c r="AZ53" i="2"/>
  <c r="AZ47" i="2"/>
  <c r="AZ41" i="2"/>
  <c r="AZ45" i="2"/>
  <c r="AZ66" i="2"/>
  <c r="AZ62" i="2"/>
  <c r="AZ56" i="2"/>
  <c r="AZ52" i="2"/>
  <c r="AZ46" i="2"/>
  <c r="AZ40" i="2"/>
  <c r="AZ44" i="2"/>
  <c r="AZ65" i="2"/>
  <c r="AZ61" i="2"/>
  <c r="AZ55" i="2"/>
  <c r="AZ51" i="2"/>
  <c r="AZ43" i="2"/>
  <c r="AZ39" i="2"/>
  <c r="AY92" i="2"/>
  <c r="AY76" i="2"/>
  <c r="AY88" i="2"/>
  <c r="AY100" i="2"/>
  <c r="AY84" i="2"/>
  <c r="AY96" i="2"/>
  <c r="AY80" i="2"/>
  <c r="AY98" i="2"/>
  <c r="AY82" i="2"/>
  <c r="AY94" i="2"/>
  <c r="AY78" i="2"/>
  <c r="AY90" i="2"/>
  <c r="AY74" i="2"/>
  <c r="AY86" i="2"/>
  <c r="AY95" i="2"/>
  <c r="AY79" i="2"/>
  <c r="AY91" i="2"/>
  <c r="AY75" i="2"/>
  <c r="AY87" i="2"/>
  <c r="AY99" i="2"/>
  <c r="AY83" i="2"/>
  <c r="AT95" i="2"/>
  <c r="AT87" i="2"/>
  <c r="AT79" i="2"/>
  <c r="AT99" i="2"/>
  <c r="AT91" i="2"/>
  <c r="AT83" i="2"/>
  <c r="AT75" i="2"/>
  <c r="AT94" i="2"/>
  <c r="AT86" i="2"/>
  <c r="AT78" i="2"/>
  <c r="AT98" i="2"/>
  <c r="AT90" i="2"/>
  <c r="AT82" i="2"/>
  <c r="AT74" i="2"/>
  <c r="AT100" i="2"/>
  <c r="AT92" i="2"/>
  <c r="AT84" i="2"/>
  <c r="AT76" i="2"/>
  <c r="AT96" i="2"/>
  <c r="AT88" i="2"/>
  <c r="AT80" i="2"/>
  <c r="G145" i="6" l="1"/>
  <c r="G125" i="6"/>
  <c r="P137" i="6"/>
  <c r="P145" i="6" s="1"/>
  <c r="P166" i="6"/>
  <c r="P181" i="23"/>
  <c r="P38" i="6"/>
  <c r="P38" i="55"/>
  <c r="P67" i="55" s="1"/>
  <c r="P88" i="55"/>
  <c r="P90" i="55" s="1"/>
  <c r="P91" i="55" s="1"/>
  <c r="P9" i="54"/>
  <c r="O67" i="55"/>
  <c r="O110" i="55"/>
  <c r="P110" i="55"/>
  <c r="P129" i="55"/>
  <c r="P139" i="55"/>
  <c r="P141" i="55" s="1"/>
  <c r="P142" i="55" s="1"/>
  <c r="P45" i="54"/>
  <c r="P125" i="6"/>
  <c r="G24" i="6"/>
  <c r="G38" i="6"/>
  <c r="G67" i="6" s="1"/>
  <c r="G172" i="5"/>
  <c r="P66" i="6"/>
  <c r="P23" i="6"/>
  <c r="P24" i="6" s="1"/>
  <c r="O67" i="6"/>
  <c r="AZ94" i="2"/>
  <c r="AZ86" i="2"/>
  <c r="AZ90" i="2"/>
  <c r="AZ98" i="2"/>
  <c r="AZ78" i="2"/>
  <c r="AZ74" i="2"/>
  <c r="AZ82" i="2"/>
  <c r="AZ92" i="2"/>
  <c r="AZ100" i="2"/>
  <c r="AZ96" i="2"/>
  <c r="AZ88" i="2"/>
  <c r="AZ76" i="2"/>
  <c r="AZ84" i="2"/>
  <c r="AZ80" i="2"/>
  <c r="AZ83" i="2"/>
  <c r="AZ91" i="2"/>
  <c r="AZ95" i="2"/>
  <c r="AZ99" i="2"/>
  <c r="AZ75" i="2"/>
  <c r="AZ79" i="2"/>
  <c r="AZ87" i="2"/>
  <c r="P67" i="6" l="1"/>
</calcChain>
</file>

<file path=xl/sharedStrings.xml><?xml version="1.0" encoding="utf-8"?>
<sst xmlns="http://schemas.openxmlformats.org/spreadsheetml/2006/main" count="6562" uniqueCount="662">
  <si>
    <t>Emission Factors</t>
  </si>
  <si>
    <t>Emissions</t>
  </si>
  <si>
    <t>Emission, tons (total)</t>
  </si>
  <si>
    <t>FUEL</t>
  </si>
  <si>
    <t>HP</t>
  </si>
  <si>
    <t>Load Factor</t>
  </si>
  <si>
    <t>ROG (lb/hr)</t>
  </si>
  <si>
    <t>CO (lb/hr)</t>
  </si>
  <si>
    <t>NOX (lb/hr)</t>
  </si>
  <si>
    <t>SOX (lb/hr)</t>
  </si>
  <si>
    <t>PM10 (lb/hr)</t>
  </si>
  <si>
    <t>PM2.5 (lb/hr)</t>
  </si>
  <si>
    <t>CO2  (lb/hr)</t>
  </si>
  <si>
    <t>CH4  (lb/hr)</t>
  </si>
  <si>
    <t>N2O  (lb/hr)</t>
  </si>
  <si>
    <t>No of Equipment</t>
  </si>
  <si>
    <t>Hrs Per Day</t>
  </si>
  <si>
    <t>Days in Service</t>
  </si>
  <si>
    <t>ROG lbs/day</t>
  </si>
  <si>
    <t>CO lbs/day</t>
  </si>
  <si>
    <t>NOX lbs/day</t>
  </si>
  <si>
    <t>SOX lbs/day</t>
  </si>
  <si>
    <t>PM10 lbs/day</t>
  </si>
  <si>
    <t>PM2.5 lbs/day</t>
  </si>
  <si>
    <t>CO2  lbs/day</t>
  </si>
  <si>
    <t>CH4  lbs/day</t>
  </si>
  <si>
    <t>N2O  lbs/day</t>
  </si>
  <si>
    <t>ROG tons (total)</t>
  </si>
  <si>
    <t>CO tons (total)</t>
  </si>
  <si>
    <t>NOX tons (total)</t>
  </si>
  <si>
    <t>SOX tons (total)</t>
  </si>
  <si>
    <t>PM10 tons (total)</t>
  </si>
  <si>
    <t>PM2.5 tons (total)</t>
  </si>
  <si>
    <t>CO2  tons (total)</t>
  </si>
  <si>
    <t>CH4   tons (total)</t>
  </si>
  <si>
    <t>N2O   tons (total)</t>
  </si>
  <si>
    <t>Construction Inspection</t>
  </si>
  <si>
    <t>DIESEL</t>
  </si>
  <si>
    <t>Subtotal</t>
  </si>
  <si>
    <t>KCAPCD</t>
  </si>
  <si>
    <t>Segment</t>
  </si>
  <si>
    <t>Length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</si>
  <si>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</si>
  <si>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</si>
  <si>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</si>
  <si>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</si>
  <si>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</si>
  <si>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</si>
  <si>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</si>
  <si>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</si>
  <si>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</si>
  <si>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AVAQMD</t>
  </si>
  <si>
    <t>SCAQMD</t>
  </si>
  <si>
    <t>Alternative Corridors</t>
  </si>
  <si>
    <t>ACDJK</t>
  </si>
  <si>
    <t>ACEGK</t>
  </si>
  <si>
    <t>ACEFHK</t>
  </si>
  <si>
    <t>ACEFIK</t>
  </si>
  <si>
    <t>ABGK</t>
  </si>
  <si>
    <t>ABFHK</t>
  </si>
  <si>
    <t>ABFIK</t>
  </si>
  <si>
    <t>Dump Trucks</t>
  </si>
  <si>
    <t>CAT 416 Rubber Tire Backhoe</t>
  </si>
  <si>
    <t>Vehicle Class</t>
  </si>
  <si>
    <t>Speed</t>
  </si>
  <si>
    <t>VMT</t>
  </si>
  <si>
    <t>CO</t>
  </si>
  <si>
    <r>
      <t>NO</t>
    </r>
    <r>
      <rPr>
        <b/>
        <vertAlign val="subscript"/>
        <sz val="10"/>
        <rFont val="Arial"/>
        <family val="2"/>
      </rPr>
      <t>X</t>
    </r>
  </si>
  <si>
    <t>ROG</t>
  </si>
  <si>
    <t>SOx</t>
  </si>
  <si>
    <t>PM10</t>
  </si>
  <si>
    <t>PM2.5</t>
  </si>
  <si>
    <t>CO2</t>
  </si>
  <si>
    <t>CH4</t>
  </si>
  <si>
    <t>N2O</t>
  </si>
  <si>
    <t>Emissions, lbs/day</t>
  </si>
  <si>
    <t>Total Emissions, tons</t>
  </si>
  <si>
    <t>Per Construction Phase</t>
  </si>
  <si>
    <t>(mph)</t>
  </si>
  <si>
    <t>(mi/vehicle-day)</t>
  </si>
  <si>
    <t>Running Exhaust (g/mi)</t>
  </si>
  <si>
    <t>Running Evaporative (g/mi)</t>
  </si>
  <si>
    <t>Tire Wear (g/mi)</t>
  </si>
  <si>
    <t>Brake Wear (g/mi)</t>
  </si>
  <si>
    <t>NOx</t>
  </si>
  <si>
    <t>VOCs</t>
  </si>
  <si>
    <t>Paved Road Fugitive Dust PM10</t>
  </si>
  <si>
    <t>Paved Road Fugitive Dust PM2.5</t>
  </si>
  <si>
    <t>Construction Days</t>
  </si>
  <si>
    <t>Assume startup after 8 hours</t>
  </si>
  <si>
    <t>Assume 45 minutes run time total</t>
  </si>
  <si>
    <t xml:space="preserve">2009 Emission Factors from EMFAC2007, average temp 60F; South Coast Air Basin </t>
  </si>
  <si>
    <t>lbs/mile</t>
  </si>
  <si>
    <t>Paved Road Fugitive Dust</t>
  </si>
  <si>
    <t>EPA's AP-42, Section 13.2.1, November 2006</t>
  </si>
  <si>
    <t>E = k(sL/2)^0.65 x (W/3)^1.5 - C</t>
  </si>
  <si>
    <t>For light-duty trucks assume 2 tons/vehicle</t>
  </si>
  <si>
    <t>Assume silt loading for 10,000 ADT roadways = 0.03 g/m3</t>
  </si>
  <si>
    <t>Assume k = 0.016 PM10</t>
  </si>
  <si>
    <t>Assume 6 miles in addition for track-out for PM10</t>
  </si>
  <si>
    <t>Unpaved Road Fugitive Dust</t>
  </si>
  <si>
    <t>EPA's AP-42, Section 13.2.2</t>
  </si>
  <si>
    <t>Industrial Roads</t>
  </si>
  <si>
    <t>E = k (s/12)^a x (W/3)^b</t>
  </si>
  <si>
    <t>Assume 61% control efficiency for watering 3 x daily</t>
  </si>
  <si>
    <t>k = 1.5 for PM10, 0.15 for PM2.5</t>
  </si>
  <si>
    <t>s = 8.5, a = 0.9, b = 0.45</t>
  </si>
  <si>
    <t>Light Duty Truck 1, Diesel</t>
  </si>
  <si>
    <t>For LDT assume 2 tons/vehicle, MDT assume 13 tons/vehicle, HDT assume 20 tons/vehicle</t>
  </si>
  <si>
    <t>PM10, LDT</t>
  </si>
  <si>
    <t>PM10, MDT</t>
  </si>
  <si>
    <t>PM10, HDT</t>
  </si>
  <si>
    <t>Activity Assumptions for Fugitive Dust Sources</t>
  </si>
  <si>
    <t>Vehicle</t>
  </si>
  <si>
    <t>3/4 Ton Truck, Pick-Up</t>
  </si>
  <si>
    <t>No. of Daily Workers</t>
  </si>
  <si>
    <t>Light-Duty Truck, catalyst</t>
  </si>
  <si>
    <t>Total</t>
  </si>
  <si>
    <t>Summary</t>
  </si>
  <si>
    <t>Heavy Construction Equipment</t>
  </si>
  <si>
    <t>Worker Vehicles</t>
  </si>
  <si>
    <t>Construction Trucks</t>
  </si>
  <si>
    <t>Fugitive Dust</t>
  </si>
  <si>
    <t>Total Daily</t>
  </si>
  <si>
    <t>Significance Threshold</t>
  </si>
  <si>
    <t>Above Threshold?</t>
  </si>
  <si>
    <t>N/A</t>
  </si>
  <si>
    <t>No</t>
  </si>
  <si>
    <t>Heavy Duty Truck, Diesel</t>
  </si>
  <si>
    <t>Construction Days/Total Deliveries</t>
  </si>
  <si>
    <t>Peak No. of Trucks per day</t>
  </si>
  <si>
    <t>Equipment/Phase</t>
  </si>
  <si>
    <t>Construction Phase</t>
  </si>
  <si>
    <t>2012 Emission Factors from EMFAC2007, average temp 60F; SCAB</t>
  </si>
  <si>
    <t>cubic yards total</t>
  </si>
  <si>
    <t>cubic yards/day</t>
  </si>
  <si>
    <t>Amount per day</t>
  </si>
  <si>
    <t>Amount total disturbed</t>
  </si>
  <si>
    <r>
      <t>E = (k)(0.0032)[(U/5)</t>
    </r>
    <r>
      <rPr>
        <vertAlign val="superscript"/>
        <sz val="10"/>
        <rFont val="Arial"/>
        <family val="2"/>
      </rPr>
      <t>1.3</t>
    </r>
    <r>
      <rPr>
        <sz val="10"/>
        <rFont val="Arial"/>
        <family val="2"/>
      </rPr>
      <t>]/[(M/2)</t>
    </r>
    <r>
      <rPr>
        <vertAlign val="superscript"/>
        <sz val="10"/>
        <rFont val="Arial"/>
        <family val="2"/>
      </rPr>
      <t>1.4</t>
    </r>
    <r>
      <rPr>
        <sz val="10"/>
        <rFont val="Arial"/>
        <family val="2"/>
      </rPr>
      <t>]</t>
    </r>
  </si>
  <si>
    <t>E = lb/ton</t>
  </si>
  <si>
    <t>k = Particle Size Constant (0.35 for PM10 and 0.11 for PM2.5)</t>
  </si>
  <si>
    <t>U = average wind speed = 25 MPH worst day, 8 MPH avg daytime (engineering assumption)</t>
  </si>
  <si>
    <t>M = moisture content = 10% (mitigated)</t>
  </si>
  <si>
    <t>Three separate drops are assumed</t>
  </si>
  <si>
    <t>Emission Factors and Emissions</t>
  </si>
  <si>
    <t>Material Loading/Handling (AP-42, p. 13.2.4-3)</t>
  </si>
  <si>
    <t>Assume 1.6 tons/cubic yard</t>
  </si>
  <si>
    <t>Emissions, tons/year</t>
  </si>
  <si>
    <t>Maximum Emission Factor, lbs/cubic yard</t>
  </si>
  <si>
    <t>Average Emission Factor, lbs/cubic yard</t>
  </si>
  <si>
    <t>PM10 Daily</t>
  </si>
  <si>
    <t>PM2.5 Daily</t>
  </si>
  <si>
    <t>PM10 Annual Average</t>
  </si>
  <si>
    <t>PM2.5 Annual Average</t>
  </si>
  <si>
    <t>Haul Trucks</t>
  </si>
  <si>
    <t>Drill Rig</t>
  </si>
  <si>
    <t>Skid Steer Loaders</t>
  </si>
  <si>
    <t>Concrete Trucks</t>
  </si>
  <si>
    <t>Ditch Witch</t>
  </si>
  <si>
    <t>Handheld Compactor</t>
  </si>
  <si>
    <t>Capistrano Substation Below Grade - Lower Yard</t>
  </si>
  <si>
    <t>Capistrano Substation Construction - Lower Yard</t>
  </si>
  <si>
    <t>Boom Truck</t>
  </si>
  <si>
    <t>Manlift</t>
  </si>
  <si>
    <t>Rough Terrain Forklifts</t>
  </si>
  <si>
    <t>Cable Dolly</t>
  </si>
  <si>
    <t>Stringing Rigs</t>
  </si>
  <si>
    <t>Oil Rig</t>
  </si>
  <si>
    <t>SF6 Trailer</t>
  </si>
  <si>
    <t>Talega Substation Below Grade</t>
  </si>
  <si>
    <t>Talega Substation Construction</t>
  </si>
  <si>
    <t>Talega Substation - Below Grade</t>
  </si>
  <si>
    <t>Talega Substation - Substation Construction</t>
  </si>
  <si>
    <t>Capistrano Substation - Substation Construction - Lower Yard</t>
  </si>
  <si>
    <t>Capistrano Substation - Below Grade - Lower Yard</t>
  </si>
  <si>
    <t>Capistrano Substation - Below Grade - Upper Yard</t>
  </si>
  <si>
    <t>Capistrano Substation - Substation Construction - Upper Yard</t>
  </si>
  <si>
    <t>Hot-Soak (g/vehicle-day)</t>
  </si>
  <si>
    <t>Diurnal Evaporative (g/vehicle-day)</t>
  </si>
  <si>
    <t>Resting Loss (g/vehicle-day)</t>
  </si>
  <si>
    <t>Start-Up (g/vehicle-day)</t>
  </si>
  <si>
    <t>Substation Grading</t>
  </si>
  <si>
    <t>acres</t>
  </si>
  <si>
    <t>Acres</t>
  </si>
  <si>
    <t>Maximum Emission Factor, lbs/acre-day</t>
  </si>
  <si>
    <t>Average Emission Factor, lbs/acre-day</t>
  </si>
  <si>
    <t>Phase 1 Substation Below Grade</t>
  </si>
  <si>
    <t>Phase 2 Substation Below Grade</t>
  </si>
  <si>
    <t>Amount total import fill material</t>
  </si>
  <si>
    <t>Amount total cut/fill material</t>
  </si>
  <si>
    <t>Control - watering 3 x daily</t>
  </si>
  <si>
    <t>Talega Substation Site Development</t>
  </si>
  <si>
    <t>Air Compressor</t>
  </si>
  <si>
    <t>Bulldozer</t>
  </si>
  <si>
    <t>Road Grader/Blade</t>
  </si>
  <si>
    <t>Scraper</t>
  </si>
  <si>
    <t>Compactor</t>
  </si>
  <si>
    <t>Loader</t>
  </si>
  <si>
    <t>Backhoe</t>
  </si>
  <si>
    <t>Water Truck</t>
  </si>
  <si>
    <t>Dump/Haul Truck</t>
  </si>
  <si>
    <t>Excavator</t>
  </si>
  <si>
    <t>Crane</t>
  </si>
  <si>
    <t>Line Truck</t>
  </si>
  <si>
    <t>Small Crane</t>
  </si>
  <si>
    <t>2-ton Flatbed Truck</t>
  </si>
  <si>
    <t>Puller and Tensioner</t>
  </si>
  <si>
    <t>Reel Trailer</t>
  </si>
  <si>
    <t>Splice Trailer</t>
  </si>
  <si>
    <t>Jackhammer</t>
  </si>
  <si>
    <t>Capistrano Substation Building Removal - Lower Yard</t>
  </si>
  <si>
    <t>Capistrano Substation Site Development - Lower Yard</t>
  </si>
  <si>
    <t>Capistrano Substation Relay Testing - Lower Yard</t>
  </si>
  <si>
    <t>Relay/Telecommunication Van</t>
  </si>
  <si>
    <t>Capistrano Substation Energization - Lower Yard</t>
  </si>
  <si>
    <t>Capistrano Substation Energize Temporary TL 13835 - Lower Yard</t>
  </si>
  <si>
    <t>Capistrano Substation Site Development - 230 kV</t>
  </si>
  <si>
    <t>Capistrano Substation Below Grade - 230 kV</t>
  </si>
  <si>
    <t>Capistrano Substation Construction - 230 kV</t>
  </si>
  <si>
    <t>Capistrano Substation Relay Testing - 230 kV</t>
  </si>
  <si>
    <t>Capistrano Substation Energization - 230 kV</t>
  </si>
  <si>
    <t>Capistrano Substation Remove RFS 138/12kV Equipment - 230 kV</t>
  </si>
  <si>
    <t>Capistrano Substation DeEnergize Temporary TL 13835 - 230 kV</t>
  </si>
  <si>
    <t>Talega Substation - Site Development</t>
  </si>
  <si>
    <t>Capistrano Substation - Building Removal - Lower Yard</t>
  </si>
  <si>
    <t>Capistrano Substation - Site Development - Lower Yard</t>
  </si>
  <si>
    <t>Capistrano Substation - Relay Testing - Lower Yard</t>
  </si>
  <si>
    <t>Capistrano Substation - Energization - Lower Yard</t>
  </si>
  <si>
    <t>Capistrano Substation - Energize Temporary TL13835 - Lower Yard</t>
  </si>
  <si>
    <t>Capistrano Substation - Site Development - 230 kV</t>
  </si>
  <si>
    <t>Capistrano Substation - Below Grade - 230 kV</t>
  </si>
  <si>
    <t>Capistrano Substation - Substation Construction - 230 kV</t>
  </si>
  <si>
    <t>Capistrano Substation - Relay Testing - 230 kV</t>
  </si>
  <si>
    <t>Capistrano Substation - Energization - 230 kV</t>
  </si>
  <si>
    <t>Capistrano Substation - Remove RFS 138/12 kV Equipment - 230 kV</t>
  </si>
  <si>
    <t>Crew Trucks</t>
  </si>
  <si>
    <t>Capistrano Substation - De-energize Temporary TL 13835- 230 kV</t>
  </si>
  <si>
    <t>Trans: Talega Hub to Talega Substation - Site Grading</t>
  </si>
  <si>
    <t>Trans: Talega Hub to Talega Substation - Foundation Installations</t>
  </si>
  <si>
    <t>Trans: Talega Hub to Talega Substation - Steel Structure Installations</t>
  </si>
  <si>
    <t>Trans: Talega Hub to Talega Substation - Cable/Conductor Pulling and Tensioning</t>
  </si>
  <si>
    <t>Trans: Talega Hub to Talega Substation - Removal of Wood Pole Structures</t>
  </si>
  <si>
    <t>Chainsaw</t>
  </si>
  <si>
    <t>Trans: Capistrano Substation Getaways - Foundation Installations</t>
  </si>
  <si>
    <t>Trans: Capistrano Substation Getaways - Underground Trench/Conduit/Substructure</t>
  </si>
  <si>
    <t>Trans: Capistrano Substation Getaways - Steel Structure Installations</t>
  </si>
  <si>
    <t>Trans: Capistrano Substation Getaways - Cable/Conductor Pulling and Tensioning</t>
  </si>
  <si>
    <t>Trans: Capistrano Substation Getaways - Site Development</t>
  </si>
  <si>
    <t>Trans: Capistrano Substation Getaways - Bore Pits</t>
  </si>
  <si>
    <t>Jack-n-Bore Machine</t>
  </si>
  <si>
    <t>Trans: Capistrano Substation Getaways - Removal of Structures</t>
  </si>
  <si>
    <t>Trans: Talega to Rancho San Juan - Site Grading</t>
  </si>
  <si>
    <t>Trans: Talega to Rancho San Juan - Foundation Installations</t>
  </si>
  <si>
    <t>Trans: Talega to Rancho San Juan - Steel Structure Installations</t>
  </si>
  <si>
    <t>Trans: Talega to Rancho San Juan - Cable/Conductor Pulling and Tensioning</t>
  </si>
  <si>
    <t>Trans: Talega to Rancho San Juan - Removal of Wood Pole Structures</t>
  </si>
  <si>
    <t>Trans: Rancho San Juan - Site Grading</t>
  </si>
  <si>
    <t>Trans: Rancho San Juan - Foundation Installations</t>
  </si>
  <si>
    <t>Trans: Rancho San Juan - Underground Trench/Conduit/Substructure</t>
  </si>
  <si>
    <t>Trans: Rancho San Juan - Steel Structure Installations</t>
  </si>
  <si>
    <t>Trans: Rancho San Juan - Cable/Conductor Pulling and Tensioning</t>
  </si>
  <si>
    <t>Trans: Rancho San Juan - Removal of Steel Riser Structures</t>
  </si>
  <si>
    <t>Trans: Rancho San Juan to San Juan Capistrano - Site Grading</t>
  </si>
  <si>
    <t>Trans: Rancho San Juan to San Juan Capistrano - Foundation Installations</t>
  </si>
  <si>
    <t>Trans: Rancho San Juan to San Juan Capistrano - Steel Structure Installations</t>
  </si>
  <si>
    <t>Trans: Rancho San Juan to San Juan Capistrano - Cable/Conductor Pulling and Tensioning</t>
  </si>
  <si>
    <t>Trans: Rancho San Juan to San Juan Capistrano - Removal of Wood Pole Structures</t>
  </si>
  <si>
    <t>Trans: Talega Hub to Talega Substation 230 kV - Site Grading</t>
  </si>
  <si>
    <t>Trans: Talega Hub to Talega Substation 230 kV - Foundation Installations</t>
  </si>
  <si>
    <t>Trans: Talega Hub to Talega Substation 230 kV - Steel Structure Installations</t>
  </si>
  <si>
    <t>Trans: Talega Hub to Talega Substation 230 kV - Cable/Conductor Pulling and Tensioning</t>
  </si>
  <si>
    <t>Trans: Talega Hub to Talega Substation 230 kV - Removal of Wood Pole Structures</t>
  </si>
  <si>
    <t>Trans: Rancho San Juan 138/230 kV - Site Development</t>
  </si>
  <si>
    <t>Trans: Rancho San Juan 138/230 kV - Underground Trench/Conduit/Substructure</t>
  </si>
  <si>
    <t>Trans: Rancho San Juan 138/230 kV - Steel Structure Installations</t>
  </si>
  <si>
    <t>Trans: Rancho San Juan 138/230 kV - Cable/Conductor Pulling and Tensioning</t>
  </si>
  <si>
    <t>Trans: Rancho San Juan 138/230 kV - Removal of Structures</t>
  </si>
  <si>
    <t>Transmission Segment 4 69kV and 138 kV</t>
  </si>
  <si>
    <t>Transmission Segment 1 138 kV</t>
  </si>
  <si>
    <t>Transmission Segment 3: Talega to Rancho San Juan 230 kB</t>
  </si>
  <si>
    <t>Transmission Segment 1: 230 kV</t>
  </si>
  <si>
    <t>Transmission Segment 4: 230 kV</t>
  </si>
  <si>
    <t>Transmission Segment 2: 138/230 kV</t>
  </si>
  <si>
    <t>Transmission Segment 2: Rancho San Juan 230 kV</t>
  </si>
  <si>
    <t>2-ton Flatbed Truck/Water Trucks</t>
  </si>
  <si>
    <t>Emission Categories</t>
  </si>
  <si>
    <t>1) Earthmoving</t>
  </si>
  <si>
    <t>2) Road Dust Paved/Unpaved</t>
  </si>
  <si>
    <t>Emission Types</t>
  </si>
  <si>
    <t>A) Dozing</t>
  </si>
  <si>
    <t>B) Grading</t>
  </si>
  <si>
    <t>C) Material Loading/Handling</t>
  </si>
  <si>
    <t>A) Dozing (AP-42 Section 11.9 for overburden)</t>
  </si>
  <si>
    <r>
      <t>E = k x (s)</t>
    </r>
    <r>
      <rPr>
        <vertAlign val="superscript"/>
        <sz val="10"/>
        <rFont val="Arial"/>
        <family val="2"/>
      </rPr>
      <t>1.5</t>
    </r>
    <r>
      <rPr>
        <sz val="10"/>
        <rFont val="Arial"/>
        <family val="2"/>
      </rPr>
      <t xml:space="preserve"> / (M)</t>
    </r>
    <r>
      <rPr>
        <vertAlign val="superscript"/>
        <sz val="10"/>
        <rFont val="Arial"/>
        <family val="2"/>
      </rPr>
      <t>1.4</t>
    </r>
    <r>
      <rPr>
        <sz val="10"/>
        <rFont val="Arial"/>
        <family val="2"/>
      </rPr>
      <t xml:space="preserve"> For PM10 and k x 5.7 x (s)</t>
    </r>
    <r>
      <rPr>
        <vertAlign val="superscript"/>
        <sz val="10"/>
        <rFont val="Arial"/>
        <family val="2"/>
      </rPr>
      <t>1.2</t>
    </r>
    <r>
      <rPr>
        <sz val="10"/>
        <rFont val="Arial"/>
        <family val="2"/>
      </rPr>
      <t xml:space="preserve"> / (M)</t>
    </r>
    <r>
      <rPr>
        <vertAlign val="superscript"/>
        <sz val="10"/>
        <rFont val="Arial"/>
        <family val="2"/>
      </rPr>
      <t>1.3</t>
    </r>
    <r>
      <rPr>
        <sz val="10"/>
        <rFont val="Arial"/>
        <family val="2"/>
      </rPr>
      <t xml:space="preserve"> for PM2.5</t>
    </r>
  </si>
  <si>
    <t>E = lb/hr</t>
  </si>
  <si>
    <t>k = Scaling Constant (0.75 for PM10 and 0.105 for PM2.5)</t>
  </si>
  <si>
    <t>s = Silt Content (assumed to be 16% - SCAQMD Handbook for Farm Roads)</t>
  </si>
  <si>
    <t>M = Moisture Content = 10% (assumes watering when necessary for mitigation)</t>
  </si>
  <si>
    <t>PM10 Emission Factor</t>
  </si>
  <si>
    <t>lb/hr</t>
  </si>
  <si>
    <t>PM2.5 Emission Factor</t>
  </si>
  <si>
    <t>Maximum Daily Dozer Use</t>
  </si>
  <si>
    <t>Hrs/day</t>
  </si>
  <si>
    <t>Dozer Emissions</t>
  </si>
  <si>
    <t xml:space="preserve">Lbs/Day </t>
  </si>
  <si>
    <r>
      <t>E = k x 0.051 x (S)</t>
    </r>
    <r>
      <rPr>
        <vertAlign val="superscript"/>
        <sz val="10"/>
        <rFont val="Arial"/>
        <family val="2"/>
      </rPr>
      <t>2.0</t>
    </r>
    <r>
      <rPr>
        <sz val="10"/>
        <rFont val="Arial"/>
        <family val="2"/>
      </rPr>
      <t xml:space="preserve"> for PM10 and k x 0.040 x (S)</t>
    </r>
    <r>
      <rPr>
        <vertAlign val="superscript"/>
        <sz val="10"/>
        <rFont val="Arial"/>
        <family val="2"/>
      </rPr>
      <t>2.5</t>
    </r>
    <r>
      <rPr>
        <sz val="10"/>
        <rFont val="Arial"/>
        <family val="2"/>
      </rPr>
      <t xml:space="preserve"> for PM2.5</t>
    </r>
  </si>
  <si>
    <t>E = lb/VMT</t>
  </si>
  <si>
    <t>k = Scaling Constant (0.60 for PM10 and 0.031 for PM2.5)</t>
  </si>
  <si>
    <t>S = Mean Vehicle Speed assumed to be 3 mph</t>
  </si>
  <si>
    <t>Assumes VMT = 3 x hours in use</t>
  </si>
  <si>
    <t>lb/VMT</t>
  </si>
  <si>
    <t>Maximum Daily Grader VMT</t>
  </si>
  <si>
    <t>VMT/day</t>
  </si>
  <si>
    <t>Grading Emissions</t>
  </si>
  <si>
    <t>C) Material Loading/Handling (AP-42, p. 13.2.4-3)</t>
  </si>
  <si>
    <t>U = average wind speed = 26.5 MPH worst day, 6.4 MPH avg from Norco Met File</t>
  </si>
  <si>
    <t>Max Daily</t>
  </si>
  <si>
    <t>Maximum daily tons</t>
  </si>
  <si>
    <t>Emissions lbs/day</t>
  </si>
  <si>
    <t>Assumption</t>
  </si>
  <si>
    <t>Fugitive Dust Emission Totals</t>
  </si>
  <si>
    <t>Maximum Day</t>
  </si>
  <si>
    <t>PM10 lb/day</t>
  </si>
  <si>
    <t>PM2.5 lb/day</t>
  </si>
  <si>
    <t>Dozer</t>
  </si>
  <si>
    <t>Grading</t>
  </si>
  <si>
    <t>Soil Handling</t>
  </si>
  <si>
    <t>Wind Blown Dust</t>
  </si>
  <si>
    <t>Totals</t>
  </si>
  <si>
    <t>Fugitive Dust Emissions - Maximum Daily, Transmission Line Construction</t>
  </si>
  <si>
    <t>2) Disturbed Area Windblown Emissions</t>
  </si>
  <si>
    <t>Fugitive Dust Grading Emission Totals</t>
  </si>
  <si>
    <t>Ton/year</t>
  </si>
  <si>
    <t>Talega Substation</t>
  </si>
  <si>
    <t>Capistrano Substation Lower Yard</t>
  </si>
  <si>
    <t>Capistrano Substation Upper Yard</t>
  </si>
  <si>
    <t>Maximum Daily</t>
  </si>
  <si>
    <t>Total, tons/year</t>
  </si>
  <si>
    <t>Maximum Daily Emissions - Simultaneous Emission Calculations</t>
  </si>
  <si>
    <t>Transmission Segment 4</t>
  </si>
  <si>
    <t>Simultaneous Construction, April 2014</t>
  </si>
  <si>
    <t>San Juan Capistrano Substation</t>
  </si>
  <si>
    <t>Transmission Segment 3</t>
  </si>
  <si>
    <t>Transmission Segment 1</t>
  </si>
  <si>
    <t>Significance Thresholds</t>
  </si>
  <si>
    <t>NA</t>
  </si>
  <si>
    <t>Simultaneous Construction, July 2014</t>
  </si>
  <si>
    <t>Total GHG Emissions, metric tons</t>
  </si>
  <si>
    <t>Total GHG Emissions, metric tons CO2e</t>
  </si>
  <si>
    <t>Metric tons CO2e</t>
  </si>
  <si>
    <t>Operations</t>
  </si>
  <si>
    <t>Inspection and Maintenance</t>
  </si>
  <si>
    <t>Work Days</t>
  </si>
  <si>
    <t>Operational Vehicles</t>
  </si>
  <si>
    <t>Support/Delivery Vehicles</t>
  </si>
  <si>
    <t>Support Days</t>
  </si>
  <si>
    <t>Heavy Lift Helicopter</t>
  </si>
  <si>
    <t>Jet A</t>
  </si>
  <si>
    <t>(tons)</t>
  </si>
  <si>
    <t>SOX</t>
  </si>
  <si>
    <t>PM</t>
  </si>
  <si>
    <t>VOC/ROG</t>
  </si>
  <si>
    <t>NOX</t>
  </si>
  <si>
    <t>Total Flight Cycles</t>
  </si>
  <si>
    <t>Refuel Flight Cycles/ Day</t>
  </si>
  <si>
    <t>Work Flight Cycles/ Day</t>
  </si>
  <si>
    <t>Duration of Use
(Hours/ Day)</t>
  </si>
  <si>
    <t>Activity
Schedule Estimate (Days)</t>
  </si>
  <si>
    <t>HP Estimate</t>
  </si>
  <si>
    <t>Primary Equipment Description</t>
  </si>
  <si>
    <t>Structures</t>
  </si>
  <si>
    <t xml:space="preserve">Light Duty/Crew Helicopter </t>
  </si>
  <si>
    <t>Fuel 
Type</t>
  </si>
  <si>
    <t xml:space="preserve"> hours per structure</t>
  </si>
  <si>
    <t>- light lift helicopter</t>
  </si>
  <si>
    <t>- heavy lift helicopter</t>
  </si>
  <si>
    <t>1 structure/day</t>
  </si>
  <si>
    <t>Helicopter Emissions Calculation</t>
  </si>
  <si>
    <t>Taxi In</t>
  </si>
  <si>
    <t xml:space="preserve">Approach </t>
  </si>
  <si>
    <t>Climbout</t>
  </si>
  <si>
    <t>Takeoff</t>
  </si>
  <si>
    <t>TPE 331-3 (PM)</t>
  </si>
  <si>
    <t>one 450</t>
  </si>
  <si>
    <t>Allison 250-C20B/R</t>
  </si>
  <si>
    <t>Hughes 500E</t>
  </si>
  <si>
    <t>Taxi Out</t>
  </si>
  <si>
    <t xml:space="preserve">PW PT6A-42 / </t>
  </si>
  <si>
    <t>one 1875</t>
  </si>
  <si>
    <t>PW PT6T6</t>
  </si>
  <si>
    <t>Sikorsky S-58T</t>
  </si>
  <si>
    <t>two 4500</t>
  </si>
  <si>
    <t>PW JFTD12A-4</t>
  </si>
  <si>
    <t>Sikorsky S-64E</t>
  </si>
  <si>
    <t>T56-A7 (PM)</t>
  </si>
  <si>
    <t>two 4800</t>
  </si>
  <si>
    <t>PW JFTD12A-5A</t>
  </si>
  <si>
    <t>Sikorsky S-64F</t>
  </si>
  <si>
    <t>T64-GE-413 /</t>
  </si>
  <si>
    <t>two 4200</t>
  </si>
  <si>
    <t>Avro Lycoming AL5512</t>
  </si>
  <si>
    <t>Boeing 234 UT</t>
  </si>
  <si>
    <t>VOC</t>
  </si>
  <si>
    <t>Emissions Per Mode, lbs/cycle</t>
  </si>
  <si>
    <t>Emissions Per Mode, lbs/engine-cycle</t>
  </si>
  <si>
    <t>Emission Indices, g/kg fuel</t>
  </si>
  <si>
    <t>Time in Mode per Cycle, min</t>
  </si>
  <si>
    <t>Fuel Flow, kg/s</t>
  </si>
  <si>
    <t>Operating Mode</t>
  </si>
  <si>
    <t>Model Engine HP</t>
  </si>
  <si>
    <t>Model Engine</t>
  </si>
  <si>
    <t>Actual Engine HP</t>
  </si>
  <si>
    <t>Actual Engine</t>
  </si>
  <si>
    <t>Helicopter Model</t>
  </si>
  <si>
    <t>g/kg jet fuel @ 15C</t>
  </si>
  <si>
    <t>9.57 kg CO2/gal jet fuel</t>
  </si>
  <si>
    <t>CO2 emission factor</t>
  </si>
  <si>
    <t>.8 kg/L</t>
  </si>
  <si>
    <r>
      <t xml:space="preserve">Density Jet A </t>
    </r>
    <r>
      <rPr>
        <sz val="11"/>
        <color theme="1"/>
        <rFont val="Calibri"/>
        <family val="2"/>
      </rPr>
      <t/>
    </r>
  </si>
  <si>
    <t>Approach/Cruising</t>
  </si>
  <si>
    <t>Helicopter operating modes, as percentages of total engine run time, are estimated as follows:</t>
  </si>
  <si>
    <t>Flight cycles based on estimates from Sargent &amp; Lundy and calculated to: 16.43 minutes for heavy lift, 16.43 minutes for medium lift, and 9.92 minutes for light lift helicopters.</t>
  </si>
  <si>
    <t>CO2 helicopter emissions are calculated using CCAR reccomended factor 9.57 kg CO2/gallon jet fuel.</t>
  </si>
  <si>
    <t>CH4, N2O emissions are from Table 13.6 in the Climate Action Registry's General Reporting Protocol</t>
  </si>
  <si>
    <r>
      <t xml:space="preserve">PM helicopter emissions are calculated using factors provided in </t>
    </r>
    <r>
      <rPr>
        <i/>
        <sz val="10"/>
        <rFont val="Calibri"/>
        <family val="2"/>
        <scheme val="minor"/>
      </rPr>
      <t>Volume 4, Procedures for Emissions Inventory Preparation, EPA420R-92-009.</t>
    </r>
  </si>
  <si>
    <t>CO, VOC, NOx, and Sox helicopter emissions are calculated using EDMS 5.1 emission factors.</t>
  </si>
  <si>
    <t>Helicopter Emission Factors</t>
  </si>
  <si>
    <t>Transmission Line</t>
  </si>
  <si>
    <t>Approach /Work</t>
  </si>
  <si>
    <t>Assumptions</t>
  </si>
  <si>
    <t>(lbs/day)</t>
  </si>
  <si>
    <t>(lbs)</t>
  </si>
  <si>
    <t>Transmission Grading</t>
  </si>
  <si>
    <t>Transmission Earthmoving</t>
  </si>
  <si>
    <t>Amount total import/export fill material</t>
  </si>
  <si>
    <t xml:space="preserve">ARB and USEPA Off-Road Compression-Ignition (Diesel) Engine Standards (NMHC+NOx/CO/PM in g/bhp-hr).  When ARB and USEPA standards differ, the standards shown here represent the more stringent of the two. </t>
  </si>
  <si>
    <t>TIER 2 
Emission Factors</t>
  </si>
  <si>
    <t>TIER 3
Emission Factors</t>
  </si>
  <si>
    <t>% reduction from TIER 2 to TIER 3</t>
  </si>
  <si>
    <t>Maximum horsepower</t>
  </si>
  <si>
    <t>2015+</t>
  </si>
  <si>
    <t>g/bhp-hr</t>
  </si>
  <si>
    <t>lb/bhp-hr</t>
  </si>
  <si>
    <t>&lt;11</t>
  </si>
  <si>
    <t>See Table 2 footnote (a)</t>
  </si>
  <si>
    <t>7.8 / 6.0 / 0.75</t>
  </si>
  <si>
    <t>5.6 / 6.0 / 0.6</t>
  </si>
  <si>
    <r>
      <t>5.6 / 6.0 / 0.30</t>
    </r>
    <r>
      <rPr>
        <vertAlign val="superscript"/>
        <sz val="10"/>
        <rFont val="Calibri"/>
        <family val="2"/>
        <scheme val="minor"/>
      </rPr>
      <t>a</t>
    </r>
  </si>
  <si>
    <t xml:space="preserve">11hp&lt;25 </t>
  </si>
  <si>
    <t>7.1 / 4.9 / 0.60</t>
  </si>
  <si>
    <t>5.6 / 4.9 / 0.60</t>
  </si>
  <si>
    <t>5.6 / 4.9 / 0.30</t>
  </si>
  <si>
    <t xml:space="preserve">25hp&lt;50 </t>
  </si>
  <si>
    <t xml:space="preserve"> -</t>
  </si>
  <si>
    <t>7.1 /4.1 / 0.60</t>
  </si>
  <si>
    <t>5.6 / 4.1 / 0.45</t>
  </si>
  <si>
    <t>5.6 / 4.1 / 0.22</t>
  </si>
  <si>
    <t>3.5 / 4.1 / 0.02</t>
  </si>
  <si>
    <t>50hp&lt; 75</t>
  </si>
  <si>
    <t>5.6 / 3.7 / 0.30</t>
  </si>
  <si>
    <r>
      <t>3.5 / 3.7 / 0.22</t>
    </r>
    <r>
      <rPr>
        <vertAlign val="superscript"/>
        <sz val="10"/>
        <rFont val="Calibri"/>
        <family val="2"/>
        <scheme val="minor"/>
      </rPr>
      <t>c</t>
    </r>
  </si>
  <si>
    <r>
      <t>3.5 / 3.7 / 0.02</t>
    </r>
    <r>
      <rPr>
        <vertAlign val="superscript"/>
        <sz val="10"/>
        <rFont val="Calibri"/>
        <family val="2"/>
        <scheme val="minor"/>
      </rPr>
      <t>c</t>
    </r>
  </si>
  <si>
    <t>75hp&lt;100</t>
  </si>
  <si>
    <r>
      <t xml:space="preserve"> - / 6.9 / - / - </t>
    </r>
    <r>
      <rPr>
        <vertAlign val="superscript"/>
        <sz val="10"/>
        <rFont val="Calibri"/>
        <family val="2"/>
        <scheme val="minor"/>
      </rPr>
      <t>b</t>
    </r>
  </si>
  <si>
    <t>3.5 / 3.7 / 0.30</t>
  </si>
  <si>
    <r>
      <t>0.14 / 2.5 / 3.7 / 0.015</t>
    </r>
    <r>
      <rPr>
        <vertAlign val="superscript"/>
        <sz val="10"/>
        <rFont val="Calibri"/>
        <family val="2"/>
        <scheme val="minor"/>
      </rPr>
      <t>b,d</t>
    </r>
  </si>
  <si>
    <r>
      <t>0.14 / 0.30 / 3.7 / 0.015</t>
    </r>
    <r>
      <rPr>
        <vertAlign val="superscript"/>
        <sz val="10"/>
        <rFont val="Calibri"/>
        <family val="2"/>
        <scheme val="minor"/>
      </rPr>
      <t>b</t>
    </r>
  </si>
  <si>
    <t>100hp&lt;175</t>
  </si>
  <si>
    <t>4.9 / 3.7 / 0.22</t>
  </si>
  <si>
    <t>3.0 / 3.7 / 0.22</t>
  </si>
  <si>
    <t>175hp&lt;300</t>
  </si>
  <si>
    <t>4.9 / 2.6 / 0.15</t>
  </si>
  <si>
    <r>
      <t>3.0 / 2.6 / 0.15</t>
    </r>
    <r>
      <rPr>
        <vertAlign val="superscript"/>
        <sz val="10"/>
        <rFont val="Calibri"/>
        <family val="2"/>
        <scheme val="minor"/>
      </rPr>
      <t>e</t>
    </r>
  </si>
  <si>
    <r>
      <t>0.14 / 1.5 / 2.6 / 0.015</t>
    </r>
    <r>
      <rPr>
        <vertAlign val="superscript"/>
        <sz val="10"/>
        <rFont val="Calibri"/>
        <family val="2"/>
        <scheme val="minor"/>
      </rPr>
      <t>b,d</t>
    </r>
  </si>
  <si>
    <r>
      <t>0.14 / 0.30 / 2.2 / 0.015</t>
    </r>
    <r>
      <rPr>
        <vertAlign val="superscript"/>
        <sz val="10"/>
        <rFont val="Calibri"/>
        <family val="2"/>
        <scheme val="minor"/>
      </rPr>
      <t>b</t>
    </r>
  </si>
  <si>
    <t>300hp&lt;600</t>
  </si>
  <si>
    <r>
      <t>1.0 / 6.9 / 8.5 / 0.40</t>
    </r>
    <r>
      <rPr>
        <vertAlign val="superscript"/>
        <sz val="10"/>
        <rFont val="Calibri"/>
        <family val="2"/>
        <scheme val="minor"/>
      </rPr>
      <t>b</t>
    </r>
  </si>
  <si>
    <t>4.8 / 2.6 / 0.15</t>
  </si>
  <si>
    <t>600hp750</t>
  </si>
  <si>
    <t>Mobile Machines          &gt; 750hp</t>
  </si>
  <si>
    <r>
      <t>0.30 / 2.6 / 2.6 / 0.07</t>
    </r>
    <r>
      <rPr>
        <vertAlign val="superscript"/>
        <sz val="10"/>
        <rFont val="Calibri"/>
        <family val="2"/>
        <scheme val="minor"/>
      </rPr>
      <t>b</t>
    </r>
  </si>
  <si>
    <r>
      <t>0.14 / 2.6 / 2.6 / 0.03</t>
    </r>
    <r>
      <rPr>
        <vertAlign val="superscript"/>
        <sz val="10"/>
        <rFont val="Calibri"/>
        <family val="2"/>
        <scheme val="minor"/>
      </rPr>
      <t>b</t>
    </r>
  </si>
  <si>
    <t>750hp&lt;GEN 1200hp</t>
  </si>
  <si>
    <r>
      <t>0.14 / 0.50 / 2.6 / 0.02</t>
    </r>
    <r>
      <rPr>
        <vertAlign val="superscript"/>
        <sz val="10"/>
        <rFont val="Calibri"/>
        <family val="2"/>
        <scheme val="minor"/>
      </rPr>
      <t>b</t>
    </r>
  </si>
  <si>
    <t>GEN&gt;1200 hp</t>
  </si>
  <si>
    <r>
      <t>0.30 / 0.50 / 2.6 / 0.07</t>
    </r>
    <r>
      <rPr>
        <vertAlign val="superscript"/>
        <sz val="10"/>
        <rFont val="Calibri"/>
        <family val="2"/>
        <scheme val="minor"/>
      </rPr>
      <t>b</t>
    </r>
  </si>
  <si>
    <t>a) The PM standard for hand-start, air cooled, direct injection engines below 11 hp may be delayed until 2010 and be set at 0.45 g/bhp-hr.</t>
  </si>
  <si>
    <t>b) Standards given are NMHC/NOx/CO/PM in g/bhp-hr.</t>
  </si>
  <si>
    <t>c) Engine families in this power category may alternately meet Tier 3 PM standards (0.30 g/bhp-hr) from 2008-2011 in exchange for introducing final PM standards in 2012.</t>
  </si>
  <si>
    <t>d) The implementation schedule shown is the three-year alternate NOx approach.  Other schedules are available.</t>
  </si>
  <si>
    <t>e) Certain manufacturers have agreed to comply with these standards by 2005.</t>
  </si>
  <si>
    <t>: Tier 1</t>
  </si>
  <si>
    <t>: Tier 2</t>
  </si>
  <si>
    <t>: Tier 3</t>
  </si>
  <si>
    <t>: Tier 4 Interim / Final</t>
  </si>
  <si>
    <t>TIER 4 interim
Emission Factors</t>
  </si>
  <si>
    <t>TIER 4 final
Emission Factors</t>
  </si>
  <si>
    <t>NMHC</t>
  </si>
  <si>
    <t>SCAB Fleet Average Emission Factors (Diesel)</t>
  </si>
  <si>
    <t>Air Basin</t>
  </si>
  <si>
    <t>SC</t>
  </si>
  <si>
    <t>(lb/hr)</t>
  </si>
  <si>
    <t>Equipment</t>
  </si>
  <si>
    <t>MaxHP</t>
  </si>
  <si>
    <t>Aerial Lifts</t>
  </si>
  <si>
    <t>Aerial Lifts Total</t>
  </si>
  <si>
    <t>Air Compressors</t>
  </si>
  <si>
    <t>Air Compressors Total</t>
  </si>
  <si>
    <t>Bore/Drill Rigs</t>
  </si>
  <si>
    <t>Bore/Drill Rigs Total</t>
  </si>
  <si>
    <t>Cement and Mortar Mixers</t>
  </si>
  <si>
    <t>Cement and Mortar Mixers Total</t>
  </si>
  <si>
    <t>Concrete/Industrial Saws</t>
  </si>
  <si>
    <t>Concrete/Industrial Saws Total</t>
  </si>
  <si>
    <t>Cranes</t>
  </si>
  <si>
    <t>Cranes Total</t>
  </si>
  <si>
    <t>Crawler Tractors</t>
  </si>
  <si>
    <t>Crawler Tractors Total</t>
  </si>
  <si>
    <t>Crushing/Proc. Equipment</t>
  </si>
  <si>
    <t>Crushing/Proc. Equipment Total</t>
  </si>
  <si>
    <t>Dumpers/Tenders</t>
  </si>
  <si>
    <t>Dumpers/Tenders Total</t>
  </si>
  <si>
    <t>Excavators</t>
  </si>
  <si>
    <t>Excavators Total</t>
  </si>
  <si>
    <t>Forklifts</t>
  </si>
  <si>
    <t>Forklifts Total</t>
  </si>
  <si>
    <t>Generator Sets</t>
  </si>
  <si>
    <t>Generator Sets Total</t>
  </si>
  <si>
    <t>Graders</t>
  </si>
  <si>
    <t>Graders Total</t>
  </si>
  <si>
    <t>Off-Highway Tractors</t>
  </si>
  <si>
    <t>Off-Highway Tractors Total</t>
  </si>
  <si>
    <t>Off-Highway Trucks</t>
  </si>
  <si>
    <t>Off-Highway Trucks Total</t>
  </si>
  <si>
    <t>Other Construction Equipment</t>
  </si>
  <si>
    <t>Other Construction Equipment Total</t>
  </si>
  <si>
    <t>Other General Industrial Equipmen</t>
  </si>
  <si>
    <t>Other General Industrial Equipmen Total</t>
  </si>
  <si>
    <t>Other Material Handling Equipment</t>
  </si>
  <si>
    <t>Other Material Handling Equipment Total</t>
  </si>
  <si>
    <t>Pavers</t>
  </si>
  <si>
    <t>Pavers Total</t>
  </si>
  <si>
    <t>Paving Equipment</t>
  </si>
  <si>
    <t>Paving Equipment Total</t>
  </si>
  <si>
    <t>Plate Compactors</t>
  </si>
  <si>
    <t>Plate Compactors Total</t>
  </si>
  <si>
    <t>Pressure Washers</t>
  </si>
  <si>
    <t>Pressure Washers Total</t>
  </si>
  <si>
    <t>Pumps</t>
  </si>
  <si>
    <t>Pumps Total</t>
  </si>
  <si>
    <t>Rollers</t>
  </si>
  <si>
    <t>Rollers Total</t>
  </si>
  <si>
    <t>Rough Terrain Forklifts Total</t>
  </si>
  <si>
    <t>Rubber Tired Dozers</t>
  </si>
  <si>
    <t>Rubber Tired Dozers Total</t>
  </si>
  <si>
    <t>Rubber Tired Loaders</t>
  </si>
  <si>
    <t>Rubber Tired Loaders Total</t>
  </si>
  <si>
    <t>Scrapers</t>
  </si>
  <si>
    <t>Scrapers Total</t>
  </si>
  <si>
    <t>Signal Boards</t>
  </si>
  <si>
    <t>Signal Boards Total</t>
  </si>
  <si>
    <t>Skid Steer Loaders Total</t>
  </si>
  <si>
    <t>Surfacing Equipment</t>
  </si>
  <si>
    <t>Surfacing Equipment Total</t>
  </si>
  <si>
    <t>Sweepers/Scrubbers</t>
  </si>
  <si>
    <t>Sweepers/Scrubbers Total</t>
  </si>
  <si>
    <t>Tractors/Loaders/Backhoes</t>
  </si>
  <si>
    <t>Tractors/Loaders/Backhoes Total</t>
  </si>
  <si>
    <t>Trenchers</t>
  </si>
  <si>
    <t>Trenchers Total</t>
  </si>
  <si>
    <t>Welders</t>
  </si>
  <si>
    <t>Welders Total</t>
  </si>
  <si>
    <t>hp</t>
  </si>
  <si>
    <t>Tier 4 Interim</t>
  </si>
  <si>
    <t>Tier 4 Final</t>
  </si>
  <si>
    <t>Year</t>
  </si>
  <si>
    <t>Reroute 2-12kV circuits to temporary position</t>
  </si>
  <si>
    <t>Total Hours</t>
  </si>
  <si>
    <t xml:space="preserve">Undergrounding 1: Construction 800' of UG </t>
  </si>
  <si>
    <t>Concrete Saws</t>
  </si>
  <si>
    <t>Sprayer</t>
  </si>
  <si>
    <t>Grinder</t>
  </si>
  <si>
    <t>Spreader</t>
  </si>
  <si>
    <t>Signal Board</t>
  </si>
  <si>
    <t>Conductor Pulling</t>
  </si>
  <si>
    <t>Cable Poles Foundation</t>
  </si>
  <si>
    <t>Construct 4 Foundations</t>
  </si>
  <si>
    <t>Construct Foundations</t>
  </si>
  <si>
    <t>Set Poles</t>
  </si>
  <si>
    <t>Bucket Truck</t>
  </si>
  <si>
    <t>Stringing Conductor</t>
  </si>
  <si>
    <t>Undergrounding 2</t>
  </si>
  <si>
    <t>Conductor Pulling - UG2</t>
  </si>
  <si>
    <t>Conductor Pulling - Rancho Viejo</t>
  </si>
  <si>
    <t>Conductor Pulling - La Pata</t>
  </si>
  <si>
    <t>Wood-Steel Structures</t>
  </si>
  <si>
    <t>Construct New Poles</t>
  </si>
  <si>
    <t>Stringing (OH)</t>
  </si>
  <si>
    <t>Conductor Pulling (UG) - La Pata &amp; Montana</t>
  </si>
  <si>
    <t>Remove Poles and Conductor - La Pata</t>
  </si>
  <si>
    <t>Undergrounding Talega</t>
  </si>
  <si>
    <t>Conductor Pulling (UG) - Talega</t>
  </si>
  <si>
    <t>Undergrounding 1</t>
  </si>
  <si>
    <t>Cable Poles</t>
  </si>
  <si>
    <t>Wood to Steel - Construct New Poles</t>
  </si>
  <si>
    <t>Remove Poles and Conductor La Pata</t>
  </si>
  <si>
    <t>Conductor Pulling - Talega</t>
  </si>
  <si>
    <t>TOTAL</t>
  </si>
  <si>
    <t>Foreman Truck, Pick-Up</t>
  </si>
  <si>
    <t>Crew Truck, Pick-Up</t>
  </si>
  <si>
    <t>1 Ton Truck, Pick-Up</t>
  </si>
  <si>
    <t>Construct 12 kV Distribution Circuits</t>
  </si>
  <si>
    <t>Handheld compactor</t>
  </si>
  <si>
    <t>Segment 3: Overhead Double-Circuit 230-kV Transmission Line South of Vista Montana Road to structure 42</t>
  </si>
  <si>
    <t>Segment 2: Underground 230-kV Transmission Lines Along Vista Montana Road (South)</t>
  </si>
  <si>
    <t>Segment 4: Talega Hub 138-kV and 69-kV Transmission Lines</t>
  </si>
  <si>
    <t>Segment 1a: Underground 138-kV Getaways from San Juan Capistrano Substation</t>
  </si>
  <si>
    <t>Segment 1b: Overhead Double-Circuit 230-kV Transmission Line from Capistrano Substation to Vista Montana Rd. and 138-kV Getaways East of San Juan Capistrano Substation to Vista Montana Road</t>
  </si>
  <si>
    <t>Segment 4: Talega Hub/Corridor 230-kV from structure 42 to Talega Substation</t>
  </si>
  <si>
    <t>Segment 2: Underground 230-kV Transmission Lines Along Vista Montana Road (North w/138kV )</t>
  </si>
  <si>
    <t>Capistrano Substation 138 kV</t>
  </si>
  <si>
    <t>Capistrano Substation 230 kV</t>
  </si>
  <si>
    <t>Distribution Reroute 2-12kV circuits to temporary position</t>
  </si>
  <si>
    <t>Distribution - Construct 4 Foundation Poles for I -5 Crossing</t>
  </si>
  <si>
    <t>Distribution Undergrounding</t>
  </si>
  <si>
    <t>EMFAC2011 emission factors for 2015 - 2020</t>
  </si>
  <si>
    <t>Capistrano Substation - Substation Construction - Testing/Energization</t>
  </si>
  <si>
    <t>Total GHG Emissions, tons</t>
  </si>
  <si>
    <t>2020 Total</t>
  </si>
  <si>
    <t>2019 Total</t>
  </si>
  <si>
    <t>2015 Total</t>
  </si>
  <si>
    <t>2016 Total</t>
  </si>
  <si>
    <t>2018 Total</t>
  </si>
  <si>
    <t>2017 Total</t>
  </si>
  <si>
    <t>Total 2015</t>
  </si>
  <si>
    <t>Total 2016</t>
  </si>
  <si>
    <t>Total 2018</t>
  </si>
  <si>
    <t>Total 2019</t>
  </si>
  <si>
    <t>Total 2020</t>
  </si>
  <si>
    <t>Total 2017</t>
  </si>
  <si>
    <t>Substation Construction</t>
  </si>
  <si>
    <t>Transmission Line Construction</t>
  </si>
  <si>
    <t>Distribution Line Construction</t>
  </si>
  <si>
    <t>Total Daily, 2015</t>
  </si>
  <si>
    <t>Maximum Daily Emissions occur in 2015 - assume all 2015 activity could be simultaneous except building removal, and distribution maximum is undergrounding.</t>
  </si>
  <si>
    <t>Total Daily, 2016</t>
  </si>
  <si>
    <t>Total Daily, 2017</t>
  </si>
  <si>
    <t>Talega Substation Emissions - San Diego County</t>
  </si>
  <si>
    <t>Capistrano and Talega Substation Emissions - South Coast</t>
  </si>
  <si>
    <t>Summary - Maximum Emissions, San Diego County</t>
  </si>
  <si>
    <t>Summary - Maximum Emissions, South Coast</t>
  </si>
  <si>
    <t>Total Daily, 2018</t>
  </si>
  <si>
    <t>Total Daily, 2019</t>
  </si>
  <si>
    <t>Total Daily, 2020</t>
  </si>
  <si>
    <t xml:space="preserve">Transmission Segment 4: 230 kV </t>
  </si>
  <si>
    <t>Helicopter</t>
  </si>
  <si>
    <t>Helicopters</t>
  </si>
  <si>
    <t>Total CO2e, metric tons</t>
  </si>
  <si>
    <t>Capistrano Substation - Site Development</t>
  </si>
  <si>
    <t>Capistrano Substation Lower Yard Maximum Daily</t>
  </si>
  <si>
    <t>Capistrano Substation Lower Yard Grading (6.4 acres)</t>
  </si>
  <si>
    <t xml:space="preserve">Capistrano Substation Lower Yard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</si>
</sst>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000E+00"/>
    <numFmt numFmtId="165" formatCode="0.000"/>
    <numFmt numFmtId="166" formatCode="0.0000"/>
    <numFmt numFmtId="167" formatCode="0.0"/>
    <numFmt numFmtId="168" formatCode="0.00000"/>
    <numFmt numFmtId="169" formatCode="0.0%"/>
    <numFmt numFmtId="170" formatCode="_(* #,##0_);_(* \(#,##0\);_(* &quot;-&quot;??_);_(@_)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vertAlign val="subscript"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336699"/>
      <name val="Calibri"/>
      <family val="2"/>
      <scheme val="minor"/>
    </font>
    <font>
      <b/>
      <sz val="11"/>
      <color rgb="FF33669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33669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3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tted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2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1" fillId="0" borderId="0"/>
    <xf numFmtId="0" fontId="2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4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7" fillId="25" borderId="0" applyNumberFormat="0" applyBorder="0" applyAlignment="0" applyProtection="0"/>
    <xf numFmtId="0" fontId="57" fillId="29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41" borderId="0" applyNumberFormat="0" applyBorder="0" applyAlignment="0" applyProtection="0"/>
    <xf numFmtId="0" fontId="57" fillId="45" borderId="0" applyNumberFormat="0" applyBorder="0" applyAlignment="0" applyProtection="0"/>
    <xf numFmtId="0" fontId="57" fillId="22" borderId="0" applyNumberFormat="0" applyBorder="0" applyAlignment="0" applyProtection="0"/>
    <xf numFmtId="0" fontId="57" fillId="26" borderId="0" applyNumberFormat="0" applyBorder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42" borderId="0" applyNumberFormat="0" applyBorder="0" applyAlignment="0" applyProtection="0"/>
    <xf numFmtId="0" fontId="48" fillId="16" borderId="0" applyNumberFormat="0" applyBorder="0" applyAlignment="0" applyProtection="0"/>
    <xf numFmtId="0" fontId="52" fillId="19" borderId="92" applyNumberFormat="0" applyAlignment="0" applyProtection="0"/>
    <xf numFmtId="0" fontId="54" fillId="20" borderId="95" applyNumberFormat="0" applyAlignment="0" applyProtection="0"/>
    <xf numFmtId="43" fontId="5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44" fillId="0" borderId="89" applyNumberFormat="0" applyFill="0" applyAlignment="0" applyProtection="0"/>
    <xf numFmtId="0" fontId="45" fillId="0" borderId="90" applyNumberFormat="0" applyFill="0" applyAlignment="0" applyProtection="0"/>
    <xf numFmtId="0" fontId="46" fillId="0" borderId="91" applyNumberFormat="0" applyFill="0" applyAlignment="0" applyProtection="0"/>
    <xf numFmtId="0" fontId="46" fillId="0" borderId="0" applyNumberFormat="0" applyFill="0" applyBorder="0" applyAlignment="0" applyProtection="0"/>
    <xf numFmtId="0" fontId="50" fillId="18" borderId="92" applyNumberFormat="0" applyAlignment="0" applyProtection="0"/>
    <xf numFmtId="0" fontId="53" fillId="0" borderId="94" applyNumberFormat="0" applyFill="0" applyAlignment="0" applyProtection="0"/>
    <xf numFmtId="0" fontId="49" fillId="17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8" fillId="0" borderId="0"/>
    <xf numFmtId="0" fontId="58" fillId="21" borderId="96" applyNumberFormat="0" applyFont="0" applyAlignment="0" applyProtection="0"/>
    <xf numFmtId="0" fontId="51" fillId="19" borderId="93" applyNumberFormat="0" applyAlignment="0" applyProtection="0"/>
    <xf numFmtId="0" fontId="43" fillId="0" borderId="0" applyNumberFormat="0" applyFill="0" applyBorder="0" applyAlignment="0" applyProtection="0"/>
    <xf numFmtId="0" fontId="19" fillId="0" borderId="97" applyNumberFormat="0" applyFill="0" applyAlignment="0" applyProtection="0"/>
    <xf numFmtId="0" fontId="55" fillId="0" borderId="0" applyNumberFormat="0" applyFill="0" applyBorder="0" applyAlignment="0" applyProtection="0"/>
  </cellStyleXfs>
  <cellXfs count="754">
    <xf numFmtId="0" fontId="0" fillId="0" borderId="0" xfId="0"/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3" fillId="0" borderId="0" xfId="0" applyFont="1"/>
    <xf numFmtId="2" fontId="4" fillId="0" borderId="0" xfId="0" applyNumberFormat="1" applyFont="1"/>
    <xf numFmtId="1" fontId="4" fillId="0" borderId="0" xfId="0" applyNumberFormat="1" applyFont="1"/>
    <xf numFmtId="165" fontId="4" fillId="0" borderId="0" xfId="0" applyNumberFormat="1" applyFont="1"/>
    <xf numFmtId="1" fontId="0" fillId="0" borderId="0" xfId="0" applyNumberFormat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2" fontId="3" fillId="0" borderId="0" xfId="0" applyNumberFormat="1" applyFont="1" applyFill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wrapText="1"/>
    </xf>
    <xf numFmtId="165" fontId="3" fillId="0" borderId="1" xfId="0" applyNumberFormat="1" applyFont="1" applyFill="1" applyBorder="1" applyAlignment="1">
      <alignment horizontal="center" wrapText="1"/>
    </xf>
    <xf numFmtId="0" fontId="3" fillId="0" borderId="1" xfId="0" applyFont="1" applyBorder="1"/>
    <xf numFmtId="0" fontId="3" fillId="0" borderId="1" xfId="0" applyFont="1" applyBorder="1" applyAlignment="1">
      <alignment horizontal="center" wrapText="1"/>
    </xf>
    <xf numFmtId="166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/>
    <xf numFmtId="1" fontId="3" fillId="0" borderId="1" xfId="0" applyNumberFormat="1" applyFont="1" applyBorder="1"/>
    <xf numFmtId="165" fontId="3" fillId="0" borderId="1" xfId="0" applyNumberFormat="1" applyFont="1" applyBorder="1"/>
    <xf numFmtId="0" fontId="4" fillId="0" borderId="1" xfId="0" applyFont="1" applyBorder="1" applyAlignment="1">
      <alignment horizontal="center" wrapText="1"/>
    </xf>
    <xf numFmtId="166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167" fontId="4" fillId="0" borderId="1" xfId="0" applyNumberFormat="1" applyFont="1" applyBorder="1" applyAlignment="1">
      <alignment horizontal="center"/>
    </xf>
    <xf numFmtId="2" fontId="4" fillId="0" borderId="1" xfId="0" applyNumberFormat="1" applyFont="1" applyFill="1" applyBorder="1"/>
    <xf numFmtId="165" fontId="4" fillId="0" borderId="1" xfId="0" applyNumberFormat="1" applyFont="1" applyBorder="1"/>
    <xf numFmtId="2" fontId="3" fillId="0" borderId="1" xfId="0" applyNumberFormat="1" applyFont="1" applyFill="1" applyBorder="1"/>
    <xf numFmtId="0" fontId="0" fillId="0" borderId="0" xfId="0" applyFill="1"/>
    <xf numFmtId="1" fontId="3" fillId="0" borderId="1" xfId="0" applyNumberFormat="1" applyFont="1" applyFill="1" applyBorder="1"/>
    <xf numFmtId="0" fontId="4" fillId="0" borderId="2" xfId="0" applyFont="1" applyFill="1" applyBorder="1" applyAlignment="1">
      <alignment horizontal="center" wrapText="1"/>
    </xf>
    <xf numFmtId="0" fontId="3" fillId="0" borderId="3" xfId="0" applyFont="1" applyBorder="1"/>
    <xf numFmtId="0" fontId="3" fillId="0" borderId="2" xfId="0" applyFont="1" applyBorder="1" applyAlignment="1">
      <alignment horizontal="center" wrapText="1"/>
    </xf>
    <xf numFmtId="0" fontId="12" fillId="0" borderId="1" xfId="0" applyFont="1" applyBorder="1"/>
    <xf numFmtId="166" fontId="4" fillId="0" borderId="4" xfId="0" applyNumberFormat="1" applyFont="1" applyBorder="1" applyAlignment="1">
      <alignment horizontal="center"/>
    </xf>
    <xf numFmtId="2" fontId="4" fillId="0" borderId="2" xfId="0" applyNumberFormat="1" applyFont="1" applyFill="1" applyBorder="1"/>
    <xf numFmtId="0" fontId="3" fillId="0" borderId="0" xfId="2" applyFont="1"/>
    <xf numFmtId="0" fontId="4" fillId="0" borderId="0" xfId="2"/>
    <xf numFmtId="0" fontId="4" fillId="0" borderId="0" xfId="2" applyFont="1"/>
    <xf numFmtId="1" fontId="4" fillId="0" borderId="0" xfId="2" applyNumberFormat="1"/>
    <xf numFmtId="0" fontId="3" fillId="0" borderId="6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1" xfId="2" applyFont="1" applyBorder="1" applyAlignment="1">
      <alignment horizontal="center" wrapText="1"/>
    </xf>
    <xf numFmtId="0" fontId="4" fillId="0" borderId="1" xfId="2" applyBorder="1" applyAlignment="1">
      <alignment horizontal="center"/>
    </xf>
    <xf numFmtId="0" fontId="4" fillId="0" borderId="1" xfId="2" applyBorder="1"/>
    <xf numFmtId="0" fontId="3" fillId="0" borderId="5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1" fontId="3" fillId="0" borderId="1" xfId="2" applyNumberFormat="1" applyFont="1" applyBorder="1" applyAlignment="1">
      <alignment horizontal="center" wrapText="1"/>
    </xf>
    <xf numFmtId="0" fontId="4" fillId="0" borderId="5" xfId="2" applyFont="1" applyBorder="1" applyAlignment="1">
      <alignment vertical="top" wrapText="1"/>
    </xf>
    <xf numFmtId="0" fontId="4" fillId="0" borderId="7" xfId="2" applyFont="1" applyBorder="1" applyAlignment="1">
      <alignment vertical="top" wrapText="1"/>
    </xf>
    <xf numFmtId="0" fontId="4" fillId="0" borderId="7" xfId="2" applyFont="1" applyBorder="1" applyAlignment="1">
      <alignment horizontal="center" vertical="top" wrapText="1"/>
    </xf>
    <xf numFmtId="0" fontId="4" fillId="0" borderId="1" xfId="2" applyFont="1" applyBorder="1" applyAlignment="1">
      <alignment horizontal="center" vertical="top" wrapText="1"/>
    </xf>
    <xf numFmtId="0" fontId="4" fillId="0" borderId="2" xfId="2" applyFont="1" applyBorder="1" applyAlignment="1">
      <alignment horizontal="center" vertical="top" wrapText="1"/>
    </xf>
    <xf numFmtId="2" fontId="4" fillId="0" borderId="1" xfId="2" applyNumberFormat="1" applyFont="1" applyBorder="1" applyAlignment="1">
      <alignment horizontal="center" vertical="top" wrapText="1"/>
    </xf>
    <xf numFmtId="2" fontId="4" fillId="0" borderId="1" xfId="2" applyNumberFormat="1" applyFont="1" applyBorder="1"/>
    <xf numFmtId="0" fontId="4" fillId="0" borderId="1" xfId="2" applyFont="1" applyBorder="1"/>
    <xf numFmtId="168" fontId="4" fillId="0" borderId="1" xfId="2" applyNumberFormat="1" applyFont="1" applyBorder="1"/>
    <xf numFmtId="11" fontId="4" fillId="0" borderId="1" xfId="2" applyNumberFormat="1" applyFont="1" applyBorder="1"/>
    <xf numFmtId="1" fontId="4" fillId="0" borderId="1" xfId="2" applyNumberFormat="1" applyFont="1" applyBorder="1"/>
    <xf numFmtId="2" fontId="8" fillId="0" borderId="1" xfId="2" applyNumberFormat="1" applyFont="1" applyBorder="1"/>
    <xf numFmtId="0" fontId="4" fillId="0" borderId="0" xfId="2" applyFont="1" applyBorder="1" applyAlignment="1">
      <alignment vertical="top" wrapText="1"/>
    </xf>
    <xf numFmtId="0" fontId="4" fillId="0" borderId="0" xfId="2" applyFont="1" applyBorder="1" applyAlignment="1">
      <alignment horizontal="center" vertical="top" wrapText="1"/>
    </xf>
    <xf numFmtId="0" fontId="9" fillId="0" borderId="0" xfId="2" applyFont="1" applyBorder="1" applyAlignment="1">
      <alignment horizontal="center" vertical="top" wrapText="1"/>
    </xf>
    <xf numFmtId="0" fontId="4" fillId="0" borderId="0" xfId="2" applyFont="1" applyFill="1" applyBorder="1" applyAlignment="1">
      <alignment vertical="top" wrapText="1"/>
    </xf>
    <xf numFmtId="1" fontId="4" fillId="0" borderId="1" xfId="2" applyNumberFormat="1" applyBorder="1"/>
    <xf numFmtId="0" fontId="4" fillId="0" borderId="0" xfId="2" applyBorder="1"/>
    <xf numFmtId="0" fontId="4" fillId="0" borderId="0" xfId="2" applyFont="1" applyBorder="1"/>
    <xf numFmtId="2" fontId="3" fillId="0" borderId="0" xfId="2" applyNumberFormat="1" applyFont="1" applyBorder="1"/>
    <xf numFmtId="1" fontId="3" fillId="0" borderId="0" xfId="2" applyNumberFormat="1" applyFont="1" applyBorder="1"/>
    <xf numFmtId="0" fontId="3" fillId="0" borderId="1" xfId="2" applyFont="1" applyBorder="1"/>
    <xf numFmtId="0" fontId="3" fillId="0" borderId="1" xfId="2" applyFont="1" applyBorder="1" applyAlignment="1">
      <alignment wrapText="1"/>
    </xf>
    <xf numFmtId="1" fontId="3" fillId="0" borderId="1" xfId="2" applyNumberFormat="1" applyFont="1" applyBorder="1"/>
    <xf numFmtId="1" fontId="4" fillId="0" borderId="0" xfId="2" applyNumberFormat="1" applyFont="1" applyFill="1"/>
    <xf numFmtId="2" fontId="4" fillId="0" borderId="0" xfId="2" applyNumberFormat="1" applyFont="1" applyFill="1"/>
    <xf numFmtId="0" fontId="5" fillId="0" borderId="0" xfId="2" applyFont="1" applyFill="1" applyAlignment="1"/>
    <xf numFmtId="0" fontId="3" fillId="0" borderId="0" xfId="2" applyFont="1" applyFill="1"/>
    <xf numFmtId="0" fontId="4" fillId="0" borderId="0" xfId="2" applyFill="1"/>
    <xf numFmtId="0" fontId="3" fillId="0" borderId="0" xfId="2" applyFont="1" applyFill="1" applyAlignment="1"/>
    <xf numFmtId="2" fontId="4" fillId="0" borderId="0" xfId="2" applyNumberFormat="1" applyFont="1"/>
    <xf numFmtId="0" fontId="4" fillId="0" borderId="0" xfId="2" applyFont="1" applyFill="1" applyAlignment="1"/>
    <xf numFmtId="0" fontId="3" fillId="0" borderId="0" xfId="2" applyFont="1" applyFill="1" applyAlignment="1">
      <alignment vertical="center"/>
    </xf>
    <xf numFmtId="0" fontId="10" fillId="0" borderId="6" xfId="2" applyFont="1" applyBorder="1" applyAlignment="1">
      <alignment horizontal="center" wrapText="1"/>
    </xf>
    <xf numFmtId="0" fontId="10" fillId="0" borderId="7" xfId="2" applyFont="1" applyBorder="1" applyAlignment="1">
      <alignment horizontal="center" wrapText="1"/>
    </xf>
    <xf numFmtId="0" fontId="10" fillId="0" borderId="5" xfId="2" applyFont="1" applyBorder="1" applyAlignment="1">
      <alignment vertical="top" wrapText="1"/>
    </xf>
    <xf numFmtId="0" fontId="9" fillId="0" borderId="7" xfId="2" applyFont="1" applyBorder="1" applyAlignment="1">
      <alignment vertical="top" wrapText="1"/>
    </xf>
    <xf numFmtId="0" fontId="9" fillId="0" borderId="7" xfId="2" applyFont="1" applyBorder="1" applyAlignment="1">
      <alignment horizontal="center" vertical="top" wrapText="1"/>
    </xf>
    <xf numFmtId="0" fontId="9" fillId="0" borderId="5" xfId="2" applyFont="1" applyBorder="1" applyAlignment="1">
      <alignment vertical="top" wrapText="1"/>
    </xf>
    <xf numFmtId="0" fontId="9" fillId="0" borderId="1" xfId="2" applyFont="1" applyBorder="1" applyAlignment="1">
      <alignment horizontal="center" vertical="top" wrapText="1"/>
    </xf>
    <xf numFmtId="2" fontId="4" fillId="0" borderId="1" xfId="2" applyNumberFormat="1" applyFont="1" applyBorder="1" applyAlignment="1">
      <alignment horizontal="center" wrapText="1"/>
    </xf>
    <xf numFmtId="2" fontId="3" fillId="0" borderId="1" xfId="2" applyNumberFormat="1" applyFont="1" applyBorder="1"/>
    <xf numFmtId="168" fontId="3" fillId="0" borderId="1" xfId="2" applyNumberFormat="1" applyFont="1" applyBorder="1"/>
    <xf numFmtId="0" fontId="9" fillId="0" borderId="0" xfId="2" applyFont="1" applyFill="1" applyBorder="1" applyAlignment="1">
      <alignment vertical="top" wrapText="1"/>
    </xf>
    <xf numFmtId="0" fontId="4" fillId="0" borderId="0" xfId="0" applyFont="1"/>
    <xf numFmtId="2" fontId="0" fillId="0" borderId="0" xfId="0" applyNumberFormat="1"/>
    <xf numFmtId="0" fontId="4" fillId="0" borderId="0" xfId="0" applyFont="1" applyFill="1" applyBorder="1"/>
    <xf numFmtId="1" fontId="4" fillId="0" borderId="0" xfId="2" applyNumberFormat="1" applyBorder="1"/>
    <xf numFmtId="0" fontId="3" fillId="0" borderId="0" xfId="2" applyFont="1" applyBorder="1"/>
    <xf numFmtId="2" fontId="4" fillId="0" borderId="0" xfId="2" applyNumberFormat="1" applyFont="1" applyBorder="1"/>
    <xf numFmtId="2" fontId="3" fillId="0" borderId="0" xfId="0" applyNumberFormat="1" applyFont="1"/>
    <xf numFmtId="165" fontId="3" fillId="0" borderId="2" xfId="0" applyNumberFormat="1" applyFont="1" applyFill="1" applyBorder="1" applyAlignment="1">
      <alignment horizontal="center" wrapText="1"/>
    </xf>
    <xf numFmtId="0" fontId="0" fillId="0" borderId="10" xfId="0" applyBorder="1"/>
    <xf numFmtId="2" fontId="0" fillId="0" borderId="10" xfId="0" applyNumberFormat="1" applyBorder="1"/>
    <xf numFmtId="0" fontId="4" fillId="0" borderId="10" xfId="0" applyFont="1" applyBorder="1"/>
    <xf numFmtId="0" fontId="12" fillId="0" borderId="4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4" xfId="0" applyFont="1" applyBorder="1"/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166" fontId="3" fillId="0" borderId="4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5" xfId="2" applyFont="1" applyBorder="1" applyAlignment="1">
      <alignment horizontal="left" vertical="top" wrapText="1"/>
    </xf>
    <xf numFmtId="0" fontId="3" fillId="0" borderId="1" xfId="2" applyFont="1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4" fillId="0" borderId="0" xfId="0" applyFont="1" applyFill="1"/>
    <xf numFmtId="0" fontId="4" fillId="0" borderId="0" xfId="0" applyNumberFormat="1" applyFont="1" applyFill="1" applyAlignment="1"/>
    <xf numFmtId="168" fontId="4" fillId="0" borderId="0" xfId="0" applyNumberFormat="1" applyFont="1" applyFill="1" applyAlignment="1">
      <alignment horizontal="center"/>
    </xf>
    <xf numFmtId="168" fontId="4" fillId="0" borderId="0" xfId="0" applyNumberFormat="1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4" fillId="0" borderId="1" xfId="2" applyBorder="1" applyAlignment="1">
      <alignment horizontal="center"/>
    </xf>
    <xf numFmtId="0" fontId="13" fillId="0" borderId="0" xfId="0" applyFont="1" applyBorder="1"/>
    <xf numFmtId="0" fontId="4" fillId="0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166" fontId="4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2" fontId="3" fillId="0" borderId="0" xfId="0" applyNumberFormat="1" applyFont="1" applyBorder="1"/>
    <xf numFmtId="166" fontId="4" fillId="0" borderId="14" xfId="0" applyNumberFormat="1" applyFont="1" applyBorder="1" applyAlignment="1">
      <alignment horizontal="center"/>
    </xf>
    <xf numFmtId="0" fontId="4" fillId="0" borderId="14" xfId="0" applyFont="1" applyBorder="1"/>
    <xf numFmtId="167" fontId="4" fillId="0" borderId="14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4" fillId="0" borderId="1" xfId="0" applyFont="1" applyFill="1" applyBorder="1"/>
    <xf numFmtId="2" fontId="3" fillId="0" borderId="2" xfId="0" applyNumberFormat="1" applyFont="1" applyFill="1" applyBorder="1"/>
    <xf numFmtId="2" fontId="8" fillId="0" borderId="2" xfId="2" applyNumberFormat="1" applyFont="1" applyBorder="1"/>
    <xf numFmtId="166" fontId="4" fillId="0" borderId="1" xfId="0" applyNumberFormat="1" applyFont="1" applyFill="1" applyBorder="1" applyAlignment="1">
      <alignment horizontal="center"/>
    </xf>
    <xf numFmtId="167" fontId="4" fillId="0" borderId="1" xfId="0" applyNumberFormat="1" applyFont="1" applyFill="1" applyBorder="1" applyAlignment="1">
      <alignment horizontal="center"/>
    </xf>
    <xf numFmtId="166" fontId="4" fillId="0" borderId="4" xfId="0" applyNumberFormat="1" applyFont="1" applyFill="1" applyBorder="1" applyAlignment="1">
      <alignment horizontal="center"/>
    </xf>
    <xf numFmtId="0" fontId="3" fillId="0" borderId="13" xfId="0" applyFont="1" applyFill="1" applyBorder="1"/>
    <xf numFmtId="0" fontId="3" fillId="0" borderId="3" xfId="0" applyFont="1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2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166" fontId="4" fillId="0" borderId="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1" xfId="2" applyFont="1" applyBorder="1" applyAlignment="1">
      <alignment horizontal="center" wrapText="1"/>
    </xf>
    <xf numFmtId="0" fontId="3" fillId="0" borderId="1" xfId="2" applyFont="1" applyBorder="1" applyAlignment="1">
      <alignment horizontal="center"/>
    </xf>
    <xf numFmtId="0" fontId="4" fillId="0" borderId="1" xfId="2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166" fontId="4" fillId="0" borderId="1" xfId="0" applyNumberFormat="1" applyFont="1" applyBorder="1" applyAlignment="1">
      <alignment horizontal="center" wrapText="1"/>
    </xf>
    <xf numFmtId="0" fontId="4" fillId="0" borderId="3" xfId="0" applyFont="1" applyBorder="1"/>
    <xf numFmtId="1" fontId="15" fillId="0" borderId="11" xfId="0" applyNumberFormat="1" applyFont="1" applyBorder="1" applyAlignment="1">
      <alignment horizontal="center"/>
    </xf>
    <xf numFmtId="166" fontId="15" fillId="0" borderId="8" xfId="0" applyNumberFormat="1" applyFont="1" applyBorder="1" applyAlignment="1">
      <alignment horizontal="center"/>
    </xf>
    <xf numFmtId="166" fontId="15" fillId="0" borderId="5" xfId="0" applyNumberFormat="1" applyFont="1" applyBorder="1" applyAlignment="1">
      <alignment horizontal="center"/>
    </xf>
    <xf numFmtId="0" fontId="4" fillId="0" borderId="7" xfId="2" applyBorder="1" applyAlignment="1"/>
    <xf numFmtId="0" fontId="4" fillId="0" borderId="5" xfId="2" applyBorder="1" applyAlignment="1">
      <alignment horizontal="center"/>
    </xf>
    <xf numFmtId="0" fontId="4" fillId="0" borderId="7" xfId="2" applyBorder="1" applyAlignment="1">
      <alignment horizontal="center"/>
    </xf>
    <xf numFmtId="2" fontId="8" fillId="0" borderId="7" xfId="2" applyNumberFormat="1" applyFont="1" applyBorder="1"/>
    <xf numFmtId="165" fontId="3" fillId="0" borderId="0" xfId="0" applyNumberFormat="1" applyFont="1"/>
    <xf numFmtId="0" fontId="3" fillId="0" borderId="1" xfId="2" applyFont="1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12" fillId="0" borderId="1" xfId="0" applyFont="1" applyFill="1" applyBorder="1"/>
    <xf numFmtId="0" fontId="3" fillId="0" borderId="10" xfId="2" applyFont="1" applyBorder="1" applyAlignment="1">
      <alignment horizontal="center" wrapText="1"/>
    </xf>
    <xf numFmtId="0" fontId="3" fillId="0" borderId="5" xfId="2" applyFont="1" applyBorder="1" applyAlignment="1">
      <alignment vertical="top" wrapText="1"/>
    </xf>
    <xf numFmtId="0" fontId="3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5" fontId="3" fillId="0" borderId="3" xfId="0" applyNumberFormat="1" applyFont="1" applyBorder="1"/>
    <xf numFmtId="0" fontId="4" fillId="0" borderId="6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66" fontId="4" fillId="0" borderId="3" xfId="0" applyNumberFormat="1" applyFont="1" applyBorder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166" fontId="4" fillId="0" borderId="13" xfId="0" applyNumberFormat="1" applyFont="1" applyBorder="1" applyAlignment="1">
      <alignment horizontal="center"/>
    </xf>
    <xf numFmtId="2" fontId="3" fillId="0" borderId="6" xfId="0" applyNumberFormat="1" applyFont="1" applyFill="1" applyBorder="1"/>
    <xf numFmtId="0" fontId="13" fillId="0" borderId="1" xfId="0" applyFont="1" applyBorder="1"/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/>
    <xf numFmtId="0" fontId="4" fillId="0" borderId="1" xfId="0" applyFont="1" applyFill="1" applyBorder="1" applyAlignment="1">
      <alignment horizontal="center"/>
    </xf>
    <xf numFmtId="17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2" fontId="4" fillId="0" borderId="1" xfId="0" applyNumberFormat="1" applyFont="1" applyFill="1" applyBorder="1" applyAlignment="1">
      <alignment horizontal="center"/>
    </xf>
    <xf numFmtId="166" fontId="4" fillId="0" borderId="0" xfId="0" applyNumberFormat="1" applyFont="1" applyFill="1" applyAlignment="1"/>
    <xf numFmtId="2" fontId="4" fillId="0" borderId="0" xfId="0" applyNumberFormat="1" applyFont="1" applyFill="1" applyAlignment="1"/>
    <xf numFmtId="169" fontId="4" fillId="0" borderId="0" xfId="0" applyNumberFormat="1" applyFont="1" applyFill="1" applyAlignment="1"/>
    <xf numFmtId="168" fontId="4" fillId="0" borderId="0" xfId="0" applyNumberFormat="1" applyFont="1" applyFill="1" applyAlignment="1"/>
    <xf numFmtId="0" fontId="4" fillId="0" borderId="0" xfId="0" applyNumberFormat="1" applyFont="1" applyFill="1" applyAlignment="1">
      <alignment horizontal="right"/>
    </xf>
    <xf numFmtId="0" fontId="4" fillId="0" borderId="4" xfId="0" applyFont="1" applyFill="1" applyBorder="1"/>
    <xf numFmtId="0" fontId="4" fillId="0" borderId="2" xfId="0" applyFont="1" applyFill="1" applyBorder="1"/>
    <xf numFmtId="168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center"/>
    </xf>
    <xf numFmtId="0" fontId="17" fillId="0" borderId="0" xfId="0" applyNumberFormat="1" applyFont="1" applyFill="1" applyAlignment="1"/>
    <xf numFmtId="2" fontId="4" fillId="0" borderId="0" xfId="0" applyNumberFormat="1" applyFont="1" applyFill="1" applyAlignment="1">
      <alignment horizontal="left"/>
    </xf>
    <xf numFmtId="17" fontId="0" fillId="0" borderId="0" xfId="0" applyNumberFormat="1"/>
    <xf numFmtId="2" fontId="7" fillId="0" borderId="0" xfId="0" applyNumberFormat="1" applyFont="1"/>
    <xf numFmtId="2" fontId="7" fillId="0" borderId="10" xfId="0" applyNumberFormat="1" applyFont="1" applyBorder="1"/>
    <xf numFmtId="2" fontId="4" fillId="0" borderId="10" xfId="0" applyNumberFormat="1" applyFont="1" applyBorder="1"/>
    <xf numFmtId="1" fontId="3" fillId="0" borderId="0" xfId="0" applyNumberFormat="1" applyFont="1"/>
    <xf numFmtId="0" fontId="0" fillId="0" borderId="1" xfId="0" applyBorder="1"/>
    <xf numFmtId="1" fontId="0" fillId="0" borderId="1" xfId="0" applyNumberFormat="1" applyBorder="1"/>
    <xf numFmtId="2" fontId="0" fillId="0" borderId="1" xfId="0" applyNumberFormat="1" applyBorder="1"/>
    <xf numFmtId="0" fontId="7" fillId="0" borderId="1" xfId="0" applyFont="1" applyBorder="1"/>
    <xf numFmtId="1" fontId="7" fillId="0" borderId="1" xfId="0" applyNumberFormat="1" applyFont="1" applyBorder="1"/>
    <xf numFmtId="1" fontId="4" fillId="0" borderId="1" xfId="0" applyNumberFormat="1" applyFont="1" applyBorder="1"/>
    <xf numFmtId="166" fontId="4" fillId="0" borderId="1" xfId="2" applyNumberFormat="1" applyFont="1" applyBorder="1"/>
    <xf numFmtId="0" fontId="2" fillId="0" borderId="0" xfId="4" applyFont="1"/>
    <xf numFmtId="0" fontId="2" fillId="2" borderId="0" xfId="4" applyFont="1" applyFill="1"/>
    <xf numFmtId="0" fontId="20" fillId="2" borderId="0" xfId="0" applyFont="1" applyFill="1"/>
    <xf numFmtId="4" fontId="20" fillId="2" borderId="0" xfId="0" applyNumberFormat="1" applyFont="1" applyFill="1"/>
    <xf numFmtId="0" fontId="21" fillId="2" borderId="0" xfId="0" applyFont="1" applyFill="1"/>
    <xf numFmtId="3" fontId="20" fillId="2" borderId="0" xfId="4" applyNumberFormat="1" applyFont="1" applyFill="1" applyBorder="1" applyAlignment="1">
      <alignment horizontal="center"/>
    </xf>
    <xf numFmtId="0" fontId="2" fillId="3" borderId="0" xfId="4" applyFont="1" applyFill="1"/>
    <xf numFmtId="3" fontId="20" fillId="3" borderId="0" xfId="4" applyNumberFormat="1" applyFont="1" applyFill="1" applyBorder="1" applyAlignment="1">
      <alignment horizontal="center"/>
    </xf>
    <xf numFmtId="0" fontId="22" fillId="3" borderId="0" xfId="4" applyFont="1" applyFill="1" applyBorder="1" applyAlignment="1">
      <alignment horizontal="center" wrapText="1"/>
    </xf>
    <xf numFmtId="0" fontId="22" fillId="3" borderId="0" xfId="4" applyFont="1" applyFill="1" applyBorder="1" applyAlignment="1">
      <alignment horizontal="left" wrapText="1"/>
    </xf>
    <xf numFmtId="0" fontId="2" fillId="0" borderId="0" xfId="4" applyFont="1" applyFill="1"/>
    <xf numFmtId="166" fontId="2" fillId="0" borderId="15" xfId="4" applyNumberFormat="1" applyFont="1" applyFill="1" applyBorder="1"/>
    <xf numFmtId="166" fontId="2" fillId="0" borderId="16" xfId="4" applyNumberFormat="1" applyFont="1" applyFill="1" applyBorder="1"/>
    <xf numFmtId="166" fontId="2" fillId="0" borderId="17" xfId="4" applyNumberFormat="1" applyFont="1" applyFill="1" applyBorder="1"/>
    <xf numFmtId="166" fontId="2" fillId="0" borderId="18" xfId="4" applyNumberFormat="1" applyFont="1" applyFill="1" applyBorder="1"/>
    <xf numFmtId="3" fontId="20" fillId="0" borderId="0" xfId="4" applyNumberFormat="1" applyFont="1" applyFill="1" applyBorder="1" applyAlignment="1">
      <alignment horizontal="center"/>
    </xf>
    <xf numFmtId="170" fontId="22" fillId="0" borderId="15" xfId="1" applyNumberFormat="1" applyFont="1" applyFill="1" applyBorder="1" applyAlignment="1">
      <alignment horizontal="center" wrapText="1"/>
    </xf>
    <xf numFmtId="0" fontId="22" fillId="0" borderId="19" xfId="4" applyFont="1" applyFill="1" applyBorder="1" applyAlignment="1">
      <alignment horizontal="center" wrapText="1"/>
    </xf>
    <xf numFmtId="0" fontId="22" fillId="0" borderId="17" xfId="4" applyFont="1" applyFill="1" applyBorder="1" applyAlignment="1">
      <alignment horizontal="center" wrapText="1"/>
    </xf>
    <xf numFmtId="0" fontId="2" fillId="0" borderId="17" xfId="4" applyFont="1" applyFill="1" applyBorder="1" applyAlignment="1">
      <alignment wrapText="1"/>
    </xf>
    <xf numFmtId="0" fontId="22" fillId="0" borderId="18" xfId="4" applyFont="1" applyFill="1" applyBorder="1" applyAlignment="1">
      <alignment horizontal="left" wrapText="1"/>
    </xf>
    <xf numFmtId="166" fontId="2" fillId="0" borderId="20" xfId="4" applyNumberFormat="1" applyFont="1" applyFill="1" applyBorder="1"/>
    <xf numFmtId="166" fontId="2" fillId="0" borderId="21" xfId="4" applyNumberFormat="1" applyFont="1" applyFill="1" applyBorder="1"/>
    <xf numFmtId="166" fontId="2" fillId="0" borderId="22" xfId="4" applyNumberFormat="1" applyFont="1" applyFill="1" applyBorder="1"/>
    <xf numFmtId="166" fontId="2" fillId="0" borderId="23" xfId="4" applyNumberFormat="1" applyFont="1" applyFill="1" applyBorder="1"/>
    <xf numFmtId="170" fontId="22" fillId="0" borderId="20" xfId="1" applyNumberFormat="1" applyFont="1" applyFill="1" applyBorder="1" applyAlignment="1">
      <alignment horizontal="center" wrapText="1"/>
    </xf>
    <xf numFmtId="0" fontId="22" fillId="0" borderId="24" xfId="4" applyFont="1" applyFill="1" applyBorder="1" applyAlignment="1">
      <alignment horizontal="center" wrapText="1"/>
    </xf>
    <xf numFmtId="0" fontId="22" fillId="0" borderId="22" xfId="4" applyFont="1" applyFill="1" applyBorder="1" applyAlignment="1">
      <alignment horizontal="center" wrapText="1"/>
    </xf>
    <xf numFmtId="3" fontId="2" fillId="4" borderId="15" xfId="4" applyNumberFormat="1" applyFont="1" applyFill="1" applyBorder="1" applyAlignment="1">
      <alignment horizontal="center" wrapText="1"/>
    </xf>
    <xf numFmtId="0" fontId="24" fillId="4" borderId="20" xfId="4" applyFont="1" applyFill="1" applyBorder="1" applyAlignment="1">
      <alignment horizontal="center" vertical="center" wrapText="1"/>
    </xf>
    <xf numFmtId="0" fontId="20" fillId="2" borderId="0" xfId="4" applyFont="1" applyFill="1" applyAlignment="1">
      <alignment horizontal="center"/>
    </xf>
    <xf numFmtId="0" fontId="20" fillId="2" borderId="0" xfId="4" applyFont="1" applyFill="1" applyBorder="1" applyAlignment="1">
      <alignment horizontal="center"/>
    </xf>
    <xf numFmtId="0" fontId="21" fillId="2" borderId="0" xfId="4" applyFont="1" applyFill="1" applyAlignment="1">
      <alignment horizontal="center"/>
    </xf>
    <xf numFmtId="166" fontId="2" fillId="3" borderId="0" xfId="4" applyNumberFormat="1" applyFont="1" applyFill="1"/>
    <xf numFmtId="3" fontId="21" fillId="0" borderId="0" xfId="4" applyNumberFormat="1" applyFont="1" applyFill="1" applyBorder="1" applyAlignment="1">
      <alignment horizontal="center"/>
    </xf>
    <xf numFmtId="0" fontId="22" fillId="0" borderId="30" xfId="4" applyFont="1" applyFill="1" applyBorder="1" applyAlignment="1">
      <alignment horizontal="center" wrapText="1"/>
    </xf>
    <xf numFmtId="0" fontId="2" fillId="0" borderId="31" xfId="4" applyFont="1" applyFill="1" applyBorder="1" applyAlignment="1">
      <alignment wrapText="1"/>
    </xf>
    <xf numFmtId="0" fontId="22" fillId="0" borderId="32" xfId="4" applyFont="1" applyFill="1" applyBorder="1" applyAlignment="1">
      <alignment horizontal="left" wrapText="1"/>
    </xf>
    <xf numFmtId="0" fontId="19" fillId="4" borderId="25" xfId="4" applyFont="1" applyFill="1" applyBorder="1" applyAlignment="1">
      <alignment horizontal="center"/>
    </xf>
    <xf numFmtId="0" fontId="19" fillId="4" borderId="6" xfId="4" applyFont="1" applyFill="1" applyBorder="1" applyAlignment="1">
      <alignment horizontal="center"/>
    </xf>
    <xf numFmtId="0" fontId="19" fillId="4" borderId="3" xfId="4" applyFont="1" applyFill="1" applyBorder="1" applyAlignment="1">
      <alignment horizontal="center"/>
    </xf>
    <xf numFmtId="2" fontId="25" fillId="4" borderId="20" xfId="0" applyNumberFormat="1" applyFont="1" applyFill="1" applyBorder="1" applyAlignment="1">
      <alignment horizontal="center"/>
    </xf>
    <xf numFmtId="2" fontId="25" fillId="4" borderId="21" xfId="0" applyNumberFormat="1" applyFont="1" applyFill="1" applyBorder="1" applyAlignment="1">
      <alignment horizontal="center"/>
    </xf>
    <xf numFmtId="2" fontId="25" fillId="4" borderId="22" xfId="0" applyNumberFormat="1" applyFont="1" applyFill="1" applyBorder="1" applyAlignment="1">
      <alignment horizontal="center"/>
    </xf>
    <xf numFmtId="2" fontId="25" fillId="4" borderId="22" xfId="0" applyNumberFormat="1" applyFont="1" applyFill="1" applyBorder="1" applyAlignment="1">
      <alignment horizontal="center" wrapText="1"/>
    </xf>
    <xf numFmtId="2" fontId="25" fillId="4" borderId="23" xfId="0" applyNumberFormat="1" applyFont="1" applyFill="1" applyBorder="1" applyAlignment="1">
      <alignment horizontal="center"/>
    </xf>
    <xf numFmtId="3" fontId="21" fillId="2" borderId="0" xfId="4" applyNumberFormat="1" applyFont="1" applyFill="1" applyAlignment="1">
      <alignment horizontal="center"/>
    </xf>
    <xf numFmtId="3" fontId="21" fillId="2" borderId="0" xfId="4" applyNumberFormat="1" applyFont="1" applyFill="1" applyBorder="1" applyAlignment="1">
      <alignment horizontal="center"/>
    </xf>
    <xf numFmtId="0" fontId="21" fillId="2" borderId="0" xfId="4" applyFont="1" applyFill="1" applyAlignment="1">
      <alignment horizontal="center" wrapText="1"/>
    </xf>
    <xf numFmtId="0" fontId="21" fillId="2" borderId="0" xfId="4" applyFont="1" applyFill="1" applyAlignment="1">
      <alignment horizontal="left"/>
    </xf>
    <xf numFmtId="0" fontId="2" fillId="2" borderId="0" xfId="4" applyFont="1" applyFill="1" applyAlignment="1">
      <alignment horizontal="center"/>
    </xf>
    <xf numFmtId="0" fontId="20" fillId="2" borderId="0" xfId="4" applyFont="1" applyFill="1" applyAlignment="1">
      <alignment horizontal="left" wrapText="1"/>
    </xf>
    <xf numFmtId="0" fontId="2" fillId="2" borderId="0" xfId="4" applyFont="1" applyFill="1" applyBorder="1"/>
    <xf numFmtId="0" fontId="26" fillId="2" borderId="0" xfId="4" applyFont="1" applyFill="1"/>
    <xf numFmtId="0" fontId="26" fillId="2" borderId="0" xfId="4" applyFont="1" applyFill="1" applyAlignment="1">
      <alignment horizontal="left"/>
    </xf>
    <xf numFmtId="0" fontId="27" fillId="2" borderId="1" xfId="4" applyFont="1" applyFill="1" applyBorder="1" applyAlignment="1">
      <alignment horizontal="center"/>
    </xf>
    <xf numFmtId="0" fontId="26" fillId="2" borderId="0" xfId="4" quotePrefix="1" applyFont="1" applyFill="1" applyAlignment="1">
      <alignment horizontal="right" indent="1"/>
    </xf>
    <xf numFmtId="166" fontId="28" fillId="2" borderId="34" xfId="4" applyNumberFormat="1" applyFont="1" applyFill="1" applyBorder="1"/>
    <xf numFmtId="166" fontId="28" fillId="2" borderId="35" xfId="4" applyNumberFormat="1" applyFont="1" applyFill="1" applyBorder="1"/>
    <xf numFmtId="166" fontId="28" fillId="2" borderId="36" xfId="4" applyNumberFormat="1" applyFont="1" applyFill="1" applyBorder="1"/>
    <xf numFmtId="0" fontId="29" fillId="4" borderId="37" xfId="4" applyFont="1" applyFill="1" applyBorder="1" applyAlignment="1">
      <alignment horizontal="center"/>
    </xf>
    <xf numFmtId="0" fontId="29" fillId="4" borderId="10" xfId="4" applyFont="1" applyFill="1" applyBorder="1" applyAlignment="1">
      <alignment horizontal="center"/>
    </xf>
    <xf numFmtId="0" fontId="29" fillId="4" borderId="38" xfId="4" applyFont="1" applyFill="1" applyBorder="1" applyAlignment="1">
      <alignment horizontal="center"/>
    </xf>
    <xf numFmtId="0" fontId="29" fillId="4" borderId="8" xfId="4" applyFont="1" applyFill="1" applyBorder="1" applyAlignment="1">
      <alignment horizontal="center"/>
    </xf>
    <xf numFmtId="0" fontId="29" fillId="4" borderId="0" xfId="4" applyFont="1" applyFill="1" applyBorder="1" applyAlignment="1">
      <alignment horizontal="center"/>
    </xf>
    <xf numFmtId="0" fontId="29" fillId="4" borderId="39" xfId="4" applyFont="1" applyFill="1" applyBorder="1" applyAlignment="1">
      <alignment horizontal="center"/>
    </xf>
    <xf numFmtId="0" fontId="20" fillId="2" borderId="0" xfId="5" applyFont="1" applyFill="1" applyBorder="1"/>
    <xf numFmtId="2" fontId="30" fillId="4" borderId="40" xfId="0" applyNumberFormat="1" applyFont="1" applyFill="1" applyBorder="1" applyAlignment="1">
      <alignment horizontal="center"/>
    </xf>
    <xf numFmtId="2" fontId="30" fillId="4" borderId="41" xfId="0" applyNumberFormat="1" applyFont="1" applyFill="1" applyBorder="1" applyAlignment="1">
      <alignment horizontal="center"/>
    </xf>
    <xf numFmtId="2" fontId="30" fillId="4" borderId="42" xfId="0" applyNumberFormat="1" applyFont="1" applyFill="1" applyBorder="1" applyAlignment="1">
      <alignment horizontal="center"/>
    </xf>
    <xf numFmtId="2" fontId="30" fillId="4" borderId="33" xfId="0" applyNumberFormat="1" applyFont="1" applyFill="1" applyBorder="1" applyAlignment="1">
      <alignment horizontal="center"/>
    </xf>
    <xf numFmtId="2" fontId="30" fillId="4" borderId="43" xfId="0" applyNumberFormat="1" applyFont="1" applyFill="1" applyBorder="1" applyAlignment="1">
      <alignment horizontal="center"/>
    </xf>
    <xf numFmtId="2" fontId="30" fillId="4" borderId="43" xfId="0" applyNumberFormat="1" applyFont="1" applyFill="1" applyBorder="1" applyAlignment="1">
      <alignment horizontal="center" wrapText="1"/>
    </xf>
    <xf numFmtId="2" fontId="30" fillId="4" borderId="44" xfId="0" applyNumberFormat="1" applyFont="1" applyFill="1" applyBorder="1" applyAlignment="1">
      <alignment horizontal="center"/>
    </xf>
    <xf numFmtId="0" fontId="19" fillId="2" borderId="0" xfId="4" applyFont="1" applyFill="1"/>
    <xf numFmtId="0" fontId="2" fillId="0" borderId="0" xfId="4" applyFont="1" applyFill="1" applyBorder="1"/>
    <xf numFmtId="0" fontId="32" fillId="0" borderId="0" xfId="4" applyFont="1" applyFill="1"/>
    <xf numFmtId="165" fontId="33" fillId="0" borderId="45" xfId="4" applyNumberFormat="1" applyFont="1" applyFill="1" applyBorder="1"/>
    <xf numFmtId="165" fontId="33" fillId="0" borderId="46" xfId="4" applyNumberFormat="1" applyFont="1" applyFill="1" applyBorder="1"/>
    <xf numFmtId="165" fontId="33" fillId="0" borderId="29" xfId="4" applyNumberFormat="1" applyFont="1" applyFill="1" applyBorder="1"/>
    <xf numFmtId="165" fontId="32" fillId="0" borderId="45" xfId="4" applyNumberFormat="1" applyFont="1" applyFill="1" applyBorder="1"/>
    <xf numFmtId="165" fontId="32" fillId="0" borderId="46" xfId="4" applyNumberFormat="1" applyFont="1" applyFill="1" applyBorder="1"/>
    <xf numFmtId="165" fontId="32" fillId="0" borderId="29" xfId="4" applyNumberFormat="1" applyFont="1" applyFill="1" applyBorder="1"/>
    <xf numFmtId="2" fontId="34" fillId="0" borderId="46" xfId="4" applyNumberFormat="1" applyFont="1" applyFill="1" applyBorder="1"/>
    <xf numFmtId="0" fontId="32" fillId="0" borderId="46" xfId="4" applyFont="1" applyFill="1" applyBorder="1"/>
    <xf numFmtId="0" fontId="32" fillId="0" borderId="46" xfId="4" applyFont="1" applyFill="1" applyBorder="1" applyAlignment="1">
      <alignment wrapText="1"/>
    </xf>
    <xf numFmtId="0" fontId="33" fillId="0" borderId="29" xfId="4" applyFont="1" applyFill="1" applyBorder="1"/>
    <xf numFmtId="165" fontId="32" fillId="0" borderId="38" xfId="4" applyNumberFormat="1" applyFont="1" applyFill="1" applyBorder="1"/>
    <xf numFmtId="165" fontId="32" fillId="0" borderId="0" xfId="4" applyNumberFormat="1" applyFont="1" applyFill="1" applyBorder="1"/>
    <xf numFmtId="165" fontId="32" fillId="0" borderId="47" xfId="4" applyNumberFormat="1" applyFont="1" applyFill="1" applyBorder="1"/>
    <xf numFmtId="165" fontId="35" fillId="0" borderId="0" xfId="0" applyNumberFormat="1" applyFont="1" applyFill="1" applyBorder="1"/>
    <xf numFmtId="165" fontId="35" fillId="0" borderId="38" xfId="0" applyNumberFormat="1" applyFont="1" applyFill="1" applyBorder="1"/>
    <xf numFmtId="2" fontId="32" fillId="0" borderId="0" xfId="4" applyNumberFormat="1" applyFont="1" applyFill="1" applyBorder="1"/>
    <xf numFmtId="0" fontId="32" fillId="0" borderId="0" xfId="4" applyFont="1" applyFill="1" applyBorder="1"/>
    <xf numFmtId="0" fontId="32" fillId="0" borderId="0" xfId="4" applyFont="1" applyFill="1" applyBorder="1" applyAlignment="1">
      <alignment wrapText="1"/>
    </xf>
    <xf numFmtId="0" fontId="32" fillId="0" borderId="47" xfId="4" applyFont="1" applyFill="1" applyBorder="1"/>
    <xf numFmtId="165" fontId="32" fillId="0" borderId="42" xfId="4" applyNumberFormat="1" applyFont="1" applyFill="1" applyBorder="1"/>
    <xf numFmtId="165" fontId="32" fillId="0" borderId="43" xfId="4" applyNumberFormat="1" applyFont="1" applyFill="1" applyBorder="1"/>
    <xf numFmtId="165" fontId="32" fillId="0" borderId="28" xfId="4" applyNumberFormat="1" applyFont="1" applyFill="1" applyBorder="1"/>
    <xf numFmtId="0" fontId="32" fillId="0" borderId="43" xfId="4" applyFont="1" applyFill="1" applyBorder="1"/>
    <xf numFmtId="0" fontId="32" fillId="0" borderId="43" xfId="4" applyFont="1" applyFill="1" applyBorder="1" applyAlignment="1">
      <alignment wrapText="1"/>
    </xf>
    <xf numFmtId="0" fontId="36" fillId="0" borderId="48" xfId="4" applyFont="1" applyFill="1" applyBorder="1" applyAlignment="1">
      <alignment horizontal="left"/>
    </xf>
    <xf numFmtId="0" fontId="36" fillId="0" borderId="1" xfId="4" applyFont="1" applyFill="1" applyBorder="1" applyAlignment="1">
      <alignment horizontal="left"/>
    </xf>
    <xf numFmtId="165" fontId="35" fillId="0" borderId="47" xfId="0" applyNumberFormat="1" applyFont="1" applyFill="1" applyBorder="1"/>
    <xf numFmtId="2" fontId="35" fillId="0" borderId="0" xfId="0" applyNumberFormat="1" applyFont="1" applyFill="1" applyBorder="1"/>
    <xf numFmtId="0" fontId="35" fillId="0" borderId="0" xfId="0" applyFont="1" applyFill="1" applyBorder="1"/>
    <xf numFmtId="0" fontId="35" fillId="0" borderId="0" xfId="0" applyFont="1" applyFill="1" applyBorder="1" applyAlignment="1">
      <alignment wrapText="1"/>
    </xf>
    <xf numFmtId="0" fontId="32" fillId="0" borderId="42" xfId="4" applyFont="1" applyFill="1" applyBorder="1"/>
    <xf numFmtId="0" fontId="33" fillId="0" borderId="42" xfId="4" applyFont="1" applyFill="1" applyBorder="1" applyAlignment="1">
      <alignment wrapText="1"/>
    </xf>
    <xf numFmtId="0" fontId="33" fillId="0" borderId="43" xfId="4" applyFont="1" applyFill="1" applyBorder="1" applyAlignment="1">
      <alignment wrapText="1"/>
    </xf>
    <xf numFmtId="0" fontId="33" fillId="0" borderId="28" xfId="4" applyFont="1" applyFill="1" applyBorder="1" applyAlignment="1">
      <alignment wrapText="1"/>
    </xf>
    <xf numFmtId="0" fontId="32" fillId="0" borderId="0" xfId="4" applyFont="1" applyBorder="1" applyAlignment="1">
      <alignment wrapText="1"/>
    </xf>
    <xf numFmtId="0" fontId="33" fillId="0" borderId="0" xfId="4" applyFont="1" applyBorder="1" applyAlignment="1">
      <alignment horizontal="center" wrapText="1"/>
    </xf>
    <xf numFmtId="0" fontId="33" fillId="0" borderId="0" xfId="4" applyFont="1" applyBorder="1" applyAlignment="1">
      <alignment horizontal="center"/>
    </xf>
    <xf numFmtId="0" fontId="32" fillId="0" borderId="0" xfId="4" applyFont="1" applyBorder="1" applyAlignment="1"/>
    <xf numFmtId="0" fontId="26" fillId="0" borderId="0" xfId="4" applyFont="1" applyFill="1"/>
    <xf numFmtId="0" fontId="29" fillId="4" borderId="15" xfId="4" applyFont="1" applyFill="1" applyBorder="1" applyAlignment="1">
      <alignment horizontal="center" wrapText="1"/>
    </xf>
    <xf numFmtId="0" fontId="29" fillId="4" borderId="16" xfId="4" applyFont="1" applyFill="1" applyBorder="1" applyAlignment="1">
      <alignment horizontal="center" wrapText="1"/>
    </xf>
    <xf numFmtId="0" fontId="29" fillId="4" borderId="17" xfId="4" applyFont="1" applyFill="1" applyBorder="1" applyAlignment="1">
      <alignment horizontal="center" wrapText="1"/>
    </xf>
    <xf numFmtId="0" fontId="29" fillId="4" borderId="18" xfId="4" applyFont="1" applyFill="1" applyBorder="1" applyAlignment="1">
      <alignment horizontal="center" wrapText="1"/>
    </xf>
    <xf numFmtId="0" fontId="29" fillId="4" borderId="25" xfId="4" applyFont="1" applyFill="1" applyBorder="1" applyAlignment="1">
      <alignment horizontal="center" wrapText="1"/>
    </xf>
    <xf numFmtId="0" fontId="29" fillId="4" borderId="6" xfId="4" applyFont="1" applyFill="1" applyBorder="1" applyAlignment="1">
      <alignment horizontal="center" wrapText="1"/>
    </xf>
    <xf numFmtId="0" fontId="29" fillId="4" borderId="13" xfId="4" applyFont="1" applyFill="1" applyBorder="1" applyAlignment="1">
      <alignment horizontal="center" wrapText="1"/>
    </xf>
    <xf numFmtId="0" fontId="29" fillId="4" borderId="3" xfId="4" applyFont="1" applyFill="1" applyBorder="1" applyAlignment="1">
      <alignment horizontal="center" wrapText="1"/>
    </xf>
    <xf numFmtId="0" fontId="29" fillId="4" borderId="26" xfId="4" applyFont="1" applyFill="1" applyBorder="1" applyAlignment="1">
      <alignment horizontal="center" wrapText="1"/>
    </xf>
    <xf numFmtId="0" fontId="26" fillId="0" borderId="0" xfId="4" applyFont="1"/>
    <xf numFmtId="0" fontId="29" fillId="4" borderId="20" xfId="4" applyFont="1" applyFill="1" applyBorder="1" applyAlignment="1">
      <alignment horizontal="center"/>
    </xf>
    <xf numFmtId="0" fontId="29" fillId="4" borderId="21" xfId="4" applyFont="1" applyFill="1" applyBorder="1" applyAlignment="1">
      <alignment horizontal="center"/>
    </xf>
    <xf numFmtId="0" fontId="29" fillId="4" borderId="43" xfId="4" applyFont="1" applyFill="1" applyBorder="1" applyAlignment="1">
      <alignment horizontal="center"/>
    </xf>
    <xf numFmtId="0" fontId="19" fillId="2" borderId="0" xfId="4" applyFont="1" applyFill="1" applyBorder="1"/>
    <xf numFmtId="0" fontId="37" fillId="2" borderId="0" xfId="4" applyFont="1" applyFill="1"/>
    <xf numFmtId="0" fontId="4" fillId="2" borderId="0" xfId="0" applyFont="1" applyFill="1" applyBorder="1"/>
    <xf numFmtId="2" fontId="4" fillId="2" borderId="0" xfId="0" applyNumberFormat="1" applyFont="1" applyFill="1" applyBorder="1"/>
    <xf numFmtId="0" fontId="26" fillId="0" borderId="0" xfId="4" applyFont="1" applyFill="1" applyBorder="1" applyAlignment="1">
      <alignment horizontal="left"/>
    </xf>
    <xf numFmtId="0" fontId="26" fillId="2" borderId="0" xfId="4" applyFont="1" applyFill="1" applyBorder="1"/>
    <xf numFmtId="0" fontId="26" fillId="2" borderId="0" xfId="4" applyFont="1" applyFill="1" applyBorder="1" applyAlignment="1">
      <alignment horizontal="left"/>
    </xf>
    <xf numFmtId="9" fontId="28" fillId="2" borderId="1" xfId="4" applyNumberFormat="1" applyFont="1" applyFill="1" applyBorder="1" applyAlignment="1">
      <alignment horizontal="center"/>
    </xf>
    <xf numFmtId="0" fontId="20" fillId="2" borderId="0" xfId="5" applyFont="1" applyFill="1" applyBorder="1" applyAlignment="1">
      <alignment horizontal="right" indent="1"/>
    </xf>
    <xf numFmtId="0" fontId="2" fillId="2" borderId="0" xfId="4" quotePrefix="1" applyFont="1" applyFill="1"/>
    <xf numFmtId="0" fontId="20" fillId="0" borderId="0" xfId="4" applyFont="1" applyFill="1" applyBorder="1" applyAlignment="1">
      <alignment horizontal="left"/>
    </xf>
    <xf numFmtId="2" fontId="25" fillId="4" borderId="44" xfId="0" applyNumberFormat="1" applyFont="1" applyFill="1" applyBorder="1" applyAlignment="1">
      <alignment horizontal="center"/>
    </xf>
    <xf numFmtId="2" fontId="25" fillId="4" borderId="33" xfId="0" applyNumberFormat="1" applyFont="1" applyFill="1" applyBorder="1" applyAlignment="1">
      <alignment horizontal="center" wrapText="1"/>
    </xf>
    <xf numFmtId="2" fontId="25" fillId="4" borderId="33" xfId="0" applyNumberFormat="1" applyFont="1" applyFill="1" applyBorder="1" applyAlignment="1">
      <alignment horizontal="center"/>
    </xf>
    <xf numFmtId="2" fontId="25" fillId="4" borderId="40" xfId="0" applyNumberFormat="1" applyFont="1" applyFill="1" applyBorder="1" applyAlignment="1">
      <alignment horizontal="center"/>
    </xf>
    <xf numFmtId="166" fontId="2" fillId="0" borderId="53" xfId="4" applyNumberFormat="1" applyFont="1" applyFill="1" applyBorder="1"/>
    <xf numFmtId="166" fontId="2" fillId="0" borderId="5" xfId="4" applyNumberFormat="1" applyFont="1" applyFill="1" applyBorder="1"/>
    <xf numFmtId="166" fontId="2" fillId="0" borderId="54" xfId="4" applyNumberFormat="1" applyFont="1" applyFill="1" applyBorder="1"/>
    <xf numFmtId="0" fontId="19" fillId="4" borderId="18" xfId="4" applyFont="1" applyFill="1" applyBorder="1" applyAlignment="1">
      <alignment horizontal="center"/>
    </xf>
    <xf numFmtId="0" fontId="19" fillId="4" borderId="17" xfId="4" applyFont="1" applyFill="1" applyBorder="1" applyAlignment="1">
      <alignment horizontal="center"/>
    </xf>
    <xf numFmtId="0" fontId="19" fillId="4" borderId="15" xfId="4" applyFont="1" applyFill="1" applyBorder="1" applyAlignment="1">
      <alignment horizontal="center"/>
    </xf>
    <xf numFmtId="0" fontId="29" fillId="4" borderId="49" xfId="4" applyFont="1" applyFill="1" applyBorder="1" applyAlignment="1">
      <alignment horizontal="center"/>
    </xf>
    <xf numFmtId="0" fontId="29" fillId="4" borderId="27" xfId="4" applyFont="1" applyFill="1" applyBorder="1" applyAlignment="1">
      <alignment horizontal="center"/>
    </xf>
    <xf numFmtId="0" fontId="29" fillId="4" borderId="55" xfId="4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2" fontId="4" fillId="0" borderId="11" xfId="0" applyNumberFormat="1" applyFont="1" applyFill="1" applyBorder="1" applyAlignment="1">
      <alignment horizontal="center"/>
    </xf>
    <xf numFmtId="0" fontId="0" fillId="0" borderId="1" xfId="0" applyFill="1" applyBorder="1"/>
    <xf numFmtId="2" fontId="4" fillId="0" borderId="0" xfId="0" applyNumberFormat="1" applyFont="1" applyFill="1" applyBorder="1"/>
    <xf numFmtId="0" fontId="4" fillId="0" borderId="1" xfId="2" applyFont="1" applyBorder="1" applyAlignment="1">
      <alignment vertical="top" wrapText="1"/>
    </xf>
    <xf numFmtId="0" fontId="40" fillId="0" borderId="0" xfId="7" applyFont="1"/>
    <xf numFmtId="0" fontId="40" fillId="0" borderId="28" xfId="7" applyFont="1" applyBorder="1"/>
    <xf numFmtId="0" fontId="40" fillId="0" borderId="0" xfId="7" applyFont="1" applyBorder="1"/>
    <xf numFmtId="0" fontId="20" fillId="0" borderId="0" xfId="7" applyFont="1"/>
    <xf numFmtId="0" fontId="41" fillId="0" borderId="0" xfId="7" applyFont="1"/>
    <xf numFmtId="0" fontId="35" fillId="0" borderId="47" xfId="7" applyFont="1" applyBorder="1"/>
    <xf numFmtId="0" fontId="35" fillId="0" borderId="0" xfId="7" applyFont="1" applyBorder="1" applyAlignment="1">
      <alignment vertical="center" wrapText="1"/>
    </xf>
    <xf numFmtId="0" fontId="35" fillId="0" borderId="0" xfId="7" applyFont="1"/>
    <xf numFmtId="0" fontId="20" fillId="5" borderId="60" xfId="7" applyFont="1" applyFill="1" applyBorder="1" applyAlignment="1">
      <alignment horizontal="center" vertical="center" wrapText="1"/>
    </xf>
    <xf numFmtId="0" fontId="20" fillId="6" borderId="61" xfId="7" applyFont="1" applyFill="1" applyBorder="1" applyAlignment="1">
      <alignment horizontal="center" vertical="center" wrapText="1"/>
    </xf>
    <xf numFmtId="0" fontId="20" fillId="6" borderId="62" xfId="7" applyFont="1" applyFill="1" applyBorder="1" applyAlignment="1">
      <alignment horizontal="center" vertical="center" wrapText="1"/>
    </xf>
    <xf numFmtId="0" fontId="20" fillId="6" borderId="63" xfId="7" applyFont="1" applyFill="1" applyBorder="1" applyAlignment="1">
      <alignment horizontal="center" vertical="center" wrapText="1"/>
    </xf>
    <xf numFmtId="0" fontId="20" fillId="0" borderId="0" xfId="7" applyFont="1" applyAlignment="1">
      <alignment horizontal="center" vertical="center" wrapText="1"/>
    </xf>
    <xf numFmtId="0" fontId="35" fillId="5" borderId="64" xfId="7" applyFont="1" applyFill="1" applyBorder="1" applyAlignment="1">
      <alignment horizontal="center" vertical="center" wrapText="1"/>
    </xf>
    <xf numFmtId="0" fontId="35" fillId="4" borderId="16" xfId="7" applyFont="1" applyFill="1" applyBorder="1" applyAlignment="1">
      <alignment horizontal="center" vertical="center" wrapText="1"/>
    </xf>
    <xf numFmtId="0" fontId="35" fillId="4" borderId="17" xfId="7" applyFont="1" applyFill="1" applyBorder="1" applyAlignment="1">
      <alignment horizontal="center" vertical="center" wrapText="1"/>
    </xf>
    <xf numFmtId="0" fontId="35" fillId="4" borderId="15" xfId="7" applyFont="1" applyFill="1" applyBorder="1" applyAlignment="1">
      <alignment horizontal="center" vertical="center" wrapText="1"/>
    </xf>
    <xf numFmtId="0" fontId="35" fillId="0" borderId="0" xfId="7" applyFont="1" applyBorder="1" applyAlignment="1">
      <alignment horizontal="center" vertical="center" wrapText="1"/>
    </xf>
    <xf numFmtId="0" fontId="35" fillId="4" borderId="18" xfId="7" applyFont="1" applyFill="1" applyBorder="1" applyAlignment="1">
      <alignment horizontal="center" vertical="center" wrapText="1"/>
    </xf>
    <xf numFmtId="0" fontId="35" fillId="0" borderId="0" xfId="7" applyFont="1" applyAlignment="1">
      <alignment horizontal="center" vertical="center" wrapText="1"/>
    </xf>
    <xf numFmtId="0" fontId="20" fillId="5" borderId="65" xfId="7" applyFont="1" applyFill="1" applyBorder="1" applyAlignment="1">
      <alignment horizontal="center" vertical="center" wrapText="1"/>
    </xf>
    <xf numFmtId="0" fontId="41" fillId="0" borderId="0" xfId="7" applyFont="1" applyAlignment="1">
      <alignment vertical="center" wrapText="1"/>
    </xf>
    <xf numFmtId="0" fontId="35" fillId="5" borderId="67" xfId="7" applyFont="1" applyFill="1" applyBorder="1" applyAlignment="1">
      <alignment horizontal="center" vertical="center" wrapText="1"/>
    </xf>
    <xf numFmtId="0" fontId="35" fillId="11" borderId="7" xfId="7" applyFont="1" applyFill="1" applyBorder="1" applyAlignment="1">
      <alignment vertical="center" wrapText="1"/>
    </xf>
    <xf numFmtId="0" fontId="35" fillId="11" borderId="5" xfId="7" applyFont="1" applyFill="1" applyBorder="1" applyAlignment="1">
      <alignment vertical="center" wrapText="1"/>
    </xf>
    <xf numFmtId="0" fontId="35" fillId="11" borderId="54" xfId="7" applyFont="1" applyFill="1" applyBorder="1" applyAlignment="1">
      <alignment vertical="center" wrapText="1"/>
    </xf>
    <xf numFmtId="0" fontId="35" fillId="11" borderId="53" xfId="7" applyFont="1" applyFill="1" applyBorder="1" applyAlignment="1">
      <alignment vertical="center" wrapText="1"/>
    </xf>
    <xf numFmtId="0" fontId="35" fillId="0" borderId="0" xfId="7" applyFont="1" applyAlignment="1">
      <alignment vertical="center" wrapText="1"/>
    </xf>
    <xf numFmtId="10" fontId="35" fillId="3" borderId="53" xfId="8" applyNumberFormat="1" applyFont="1" applyFill="1" applyBorder="1" applyAlignment="1">
      <alignment vertical="center" wrapText="1"/>
    </xf>
    <xf numFmtId="10" fontId="35" fillId="3" borderId="5" xfId="8" applyNumberFormat="1" applyFont="1" applyFill="1" applyBorder="1" applyAlignment="1">
      <alignment vertical="center" wrapText="1"/>
    </xf>
    <xf numFmtId="10" fontId="35" fillId="3" borderId="54" xfId="8" applyNumberFormat="1" applyFont="1" applyFill="1" applyBorder="1" applyAlignment="1">
      <alignment vertical="center" wrapText="1"/>
    </xf>
    <xf numFmtId="0" fontId="20" fillId="5" borderId="68" xfId="7" applyFont="1" applyFill="1" applyBorder="1" applyAlignment="1">
      <alignment horizontal="center" vertical="center" wrapText="1"/>
    </xf>
    <xf numFmtId="0" fontId="35" fillId="11" borderId="2" xfId="7" applyFont="1" applyFill="1" applyBorder="1" applyAlignment="1">
      <alignment vertical="center" wrapText="1"/>
    </xf>
    <xf numFmtId="0" fontId="35" fillId="11" borderId="1" xfId="7" applyFont="1" applyFill="1" applyBorder="1" applyAlignment="1">
      <alignment vertical="center" wrapText="1"/>
    </xf>
    <xf numFmtId="0" fontId="35" fillId="11" borderId="57" xfId="7" applyFont="1" applyFill="1" applyBorder="1" applyAlignment="1">
      <alignment vertical="center" wrapText="1"/>
    </xf>
    <xf numFmtId="0" fontId="35" fillId="11" borderId="56" xfId="7" applyFont="1" applyFill="1" applyBorder="1" applyAlignment="1">
      <alignment vertical="center" wrapText="1"/>
    </xf>
    <xf numFmtId="10" fontId="35" fillId="3" borderId="56" xfId="8" applyNumberFormat="1" applyFont="1" applyFill="1" applyBorder="1" applyAlignment="1">
      <alignment vertical="center" wrapText="1"/>
    </xf>
    <xf numFmtId="10" fontId="35" fillId="3" borderId="1" xfId="8" applyNumberFormat="1" applyFont="1" applyFill="1" applyBorder="1" applyAlignment="1">
      <alignment vertical="center" wrapText="1"/>
    </xf>
    <xf numFmtId="10" fontId="35" fillId="3" borderId="57" xfId="8" applyNumberFormat="1" applyFont="1" applyFill="1" applyBorder="1" applyAlignment="1">
      <alignment vertical="center" wrapText="1"/>
    </xf>
    <xf numFmtId="0" fontId="20" fillId="5" borderId="71" xfId="7" applyFont="1" applyFill="1" applyBorder="1" applyAlignment="1">
      <alignment horizontal="center" vertical="center" wrapText="1"/>
    </xf>
    <xf numFmtId="0" fontId="20" fillId="0" borderId="47" xfId="7" applyFont="1" applyBorder="1" applyAlignment="1">
      <alignment horizontal="center" vertical="center" wrapText="1"/>
    </xf>
    <xf numFmtId="0" fontId="20" fillId="0" borderId="0" xfId="7" applyFont="1" applyBorder="1" applyAlignment="1">
      <alignment horizontal="center" vertical="center" wrapText="1"/>
    </xf>
    <xf numFmtId="0" fontId="20" fillId="8" borderId="72" xfId="7" applyFont="1" applyFill="1" applyBorder="1" applyAlignment="1">
      <alignment vertical="center" wrapText="1"/>
    </xf>
    <xf numFmtId="0" fontId="20" fillId="8" borderId="13" xfId="7" applyFont="1" applyFill="1" applyBorder="1" applyAlignment="1">
      <alignment vertical="center" wrapText="1"/>
    </xf>
    <xf numFmtId="0" fontId="20" fillId="8" borderId="0" xfId="7" applyFont="1" applyFill="1" applyBorder="1" applyAlignment="1">
      <alignment vertical="center" wrapText="1"/>
    </xf>
    <xf numFmtId="0" fontId="20" fillId="8" borderId="11" xfId="7" applyFont="1" applyFill="1" applyBorder="1" applyAlignment="1">
      <alignment vertical="center" wrapText="1"/>
    </xf>
    <xf numFmtId="0" fontId="35" fillId="14" borderId="56" xfId="7" applyFont="1" applyFill="1" applyBorder="1" applyAlignment="1">
      <alignment vertical="center" wrapText="1"/>
    </xf>
    <xf numFmtId="0" fontId="35" fillId="14" borderId="1" xfId="7" applyFont="1" applyFill="1" applyBorder="1" applyAlignment="1">
      <alignment vertical="center" wrapText="1"/>
    </xf>
    <xf numFmtId="0" fontId="35" fillId="14" borderId="57" xfId="7" applyFont="1" applyFill="1" applyBorder="1" applyAlignment="1">
      <alignment vertical="center" wrapText="1"/>
    </xf>
    <xf numFmtId="0" fontId="20" fillId="8" borderId="4" xfId="7" applyFont="1" applyFill="1" applyBorder="1" applyAlignment="1">
      <alignment vertical="center" wrapText="1"/>
    </xf>
    <xf numFmtId="0" fontId="20" fillId="8" borderId="12" xfId="7" applyFont="1" applyFill="1" applyBorder="1" applyAlignment="1">
      <alignment vertical="center" wrapText="1"/>
    </xf>
    <xf numFmtId="0" fontId="20" fillId="8" borderId="7" xfId="7" applyFont="1" applyFill="1" applyBorder="1" applyAlignment="1">
      <alignment vertical="center" wrapText="1"/>
    </xf>
    <xf numFmtId="0" fontId="20" fillId="0" borderId="0" xfId="7" applyFont="1" applyBorder="1" applyAlignment="1">
      <alignment vertical="center" wrapText="1"/>
    </xf>
    <xf numFmtId="0" fontId="20" fillId="10" borderId="0" xfId="7" applyFont="1" applyFill="1" applyBorder="1" applyAlignment="1">
      <alignment vertical="center" wrapText="1"/>
    </xf>
    <xf numFmtId="0" fontId="20" fillId="5" borderId="75" xfId="7" applyFont="1" applyFill="1" applyBorder="1" applyAlignment="1">
      <alignment horizontal="center" vertical="center" wrapText="1"/>
    </xf>
    <xf numFmtId="0" fontId="20" fillId="8" borderId="0" xfId="7" applyFont="1" applyFill="1" applyBorder="1" applyAlignment="1">
      <alignment horizontal="center" vertical="center"/>
    </xf>
    <xf numFmtId="0" fontId="20" fillId="8" borderId="10" xfId="7" applyFont="1" applyFill="1" applyBorder="1" applyAlignment="1">
      <alignment vertical="center" wrapText="1"/>
    </xf>
    <xf numFmtId="0" fontId="20" fillId="9" borderId="4" xfId="7" applyFont="1" applyFill="1" applyBorder="1" applyAlignment="1">
      <alignment vertical="center" wrapText="1"/>
    </xf>
    <xf numFmtId="0" fontId="20" fillId="9" borderId="14" xfId="7" applyFont="1" applyFill="1" applyBorder="1" applyAlignment="1">
      <alignment vertical="center" wrapText="1"/>
    </xf>
    <xf numFmtId="0" fontId="20" fillId="9" borderId="14" xfId="7" applyFont="1" applyFill="1" applyBorder="1" applyAlignment="1">
      <alignment horizontal="left"/>
    </xf>
    <xf numFmtId="0" fontId="20" fillId="10" borderId="0" xfId="7" applyFont="1" applyFill="1" applyBorder="1" applyAlignment="1">
      <alignment vertical="center"/>
    </xf>
    <xf numFmtId="0" fontId="20" fillId="5" borderId="77" xfId="7" applyFont="1" applyFill="1" applyBorder="1" applyAlignment="1">
      <alignment horizontal="center" vertical="center" wrapText="1"/>
    </xf>
    <xf numFmtId="0" fontId="20" fillId="9" borderId="72" xfId="7" applyFont="1" applyFill="1" applyBorder="1" applyAlignment="1">
      <alignment vertical="center" wrapText="1"/>
    </xf>
    <xf numFmtId="0" fontId="20" fillId="9" borderId="12" xfId="7" applyFont="1" applyFill="1" applyBorder="1" applyAlignment="1">
      <alignment vertical="center" wrapText="1"/>
    </xf>
    <xf numFmtId="0" fontId="20" fillId="9" borderId="7" xfId="7" applyFont="1" applyFill="1" applyBorder="1" applyAlignment="1">
      <alignment vertical="center" wrapText="1"/>
    </xf>
    <xf numFmtId="0" fontId="20" fillId="5" borderId="80" xfId="7" applyFont="1" applyFill="1" applyBorder="1" applyAlignment="1">
      <alignment horizontal="center" vertical="center" wrapText="1"/>
    </xf>
    <xf numFmtId="0" fontId="35" fillId="5" borderId="88" xfId="7" applyFont="1" applyFill="1" applyBorder="1" applyAlignment="1">
      <alignment horizontal="center" vertical="center" wrapText="1"/>
    </xf>
    <xf numFmtId="0" fontId="35" fillId="11" borderId="16" xfId="7" applyFont="1" applyFill="1" applyBorder="1" applyAlignment="1">
      <alignment vertical="center" wrapText="1"/>
    </xf>
    <xf numFmtId="0" fontId="35" fillId="11" borderId="17" xfId="7" applyFont="1" applyFill="1" applyBorder="1" applyAlignment="1">
      <alignment vertical="center" wrapText="1"/>
    </xf>
    <xf numFmtId="0" fontId="35" fillId="11" borderId="15" xfId="7" applyFont="1" applyFill="1" applyBorder="1" applyAlignment="1">
      <alignment vertical="center" wrapText="1"/>
    </xf>
    <xf numFmtId="0" fontId="35" fillId="11" borderId="18" xfId="7" applyFont="1" applyFill="1" applyBorder="1" applyAlignment="1">
      <alignment vertical="center" wrapText="1"/>
    </xf>
    <xf numFmtId="10" fontId="35" fillId="3" borderId="18" xfId="8" applyNumberFormat="1" applyFont="1" applyFill="1" applyBorder="1" applyAlignment="1">
      <alignment vertical="center" wrapText="1"/>
    </xf>
    <xf numFmtId="10" fontId="35" fillId="3" borderId="17" xfId="8" applyNumberFormat="1" applyFont="1" applyFill="1" applyBorder="1" applyAlignment="1">
      <alignment vertical="center" wrapText="1"/>
    </xf>
    <xf numFmtId="10" fontId="35" fillId="3" borderId="15" xfId="8" applyNumberFormat="1" applyFont="1" applyFill="1" applyBorder="1" applyAlignment="1">
      <alignment vertical="center" wrapText="1"/>
    </xf>
    <xf numFmtId="0" fontId="20" fillId="0" borderId="0" xfId="7" applyFont="1" applyAlignment="1"/>
    <xf numFmtId="0" fontId="20" fillId="0" borderId="0" xfId="7" applyFont="1" applyAlignment="1">
      <alignment horizontal="left" vertical="center"/>
    </xf>
    <xf numFmtId="0" fontId="41" fillId="0" borderId="0" xfId="7" applyFont="1" applyAlignment="1"/>
    <xf numFmtId="0" fontId="20" fillId="8" borderId="3" xfId="7" applyFont="1" applyFill="1" applyBorder="1"/>
    <xf numFmtId="0" fontId="41" fillId="9" borderId="3" xfId="7" applyFont="1" applyFill="1" applyBorder="1" applyAlignment="1"/>
    <xf numFmtId="0" fontId="41" fillId="13" borderId="3" xfId="7" applyFont="1" applyFill="1" applyBorder="1" applyAlignment="1"/>
    <xf numFmtId="0" fontId="41" fillId="12" borderId="13" xfId="7" applyFont="1" applyFill="1" applyBorder="1" applyAlignment="1"/>
    <xf numFmtId="0" fontId="41" fillId="10" borderId="6" xfId="7" applyFont="1" applyFill="1" applyBorder="1" applyAlignment="1"/>
    <xf numFmtId="0" fontId="41" fillId="0" borderId="11" xfId="7" applyFont="1" applyBorder="1" applyAlignment="1">
      <alignment horizontal="left" vertical="center"/>
    </xf>
    <xf numFmtId="0" fontId="41" fillId="8" borderId="5" xfId="7" applyFont="1" applyFill="1" applyBorder="1" applyAlignment="1"/>
    <xf numFmtId="0" fontId="41" fillId="9" borderId="5" xfId="7" applyFont="1" applyFill="1" applyBorder="1" applyAlignment="1"/>
    <xf numFmtId="0" fontId="41" fillId="13" borderId="5" xfId="7" applyFont="1" applyFill="1" applyBorder="1" applyAlignment="1"/>
    <xf numFmtId="0" fontId="41" fillId="12" borderId="72" xfId="7" applyFont="1" applyFill="1" applyBorder="1" applyAlignment="1"/>
    <xf numFmtId="0" fontId="41" fillId="10" borderId="7" xfId="7" applyFont="1" applyFill="1" applyBorder="1" applyAlignment="1"/>
    <xf numFmtId="0" fontId="20" fillId="0" borderId="11" xfId="7" applyFont="1" applyBorder="1" applyAlignment="1">
      <alignment horizontal="left" vertical="center"/>
    </xf>
    <xf numFmtId="0" fontId="20" fillId="0" borderId="0" xfId="7" applyFont="1" applyAlignment="1">
      <alignment wrapText="1"/>
    </xf>
    <xf numFmtId="0" fontId="41" fillId="0" borderId="0" xfId="7" applyFont="1" applyAlignment="1">
      <alignment wrapText="1"/>
    </xf>
    <xf numFmtId="0" fontId="4" fillId="0" borderId="1" xfId="2" applyBorder="1" applyAlignment="1">
      <alignment horizontal="center"/>
    </xf>
    <xf numFmtId="0" fontId="40" fillId="0" borderId="0" xfId="7" applyFont="1" applyFill="1" applyBorder="1" applyAlignment="1">
      <alignment horizontal="center"/>
    </xf>
    <xf numFmtId="0" fontId="35" fillId="0" borderId="0" xfId="7" applyFont="1" applyFill="1" applyBorder="1" applyAlignment="1">
      <alignment horizontal="center" vertical="center" wrapText="1"/>
    </xf>
    <xf numFmtId="0" fontId="35" fillId="0" borderId="0" xfId="7" applyFont="1" applyFill="1" applyBorder="1" applyAlignment="1">
      <alignment vertical="center" wrapText="1"/>
    </xf>
    <xf numFmtId="0" fontId="20" fillId="0" borderId="0" xfId="7" applyFont="1" applyFill="1" applyAlignment="1"/>
    <xf numFmtId="0" fontId="20" fillId="0" borderId="0" xfId="7" applyFont="1" applyFill="1"/>
    <xf numFmtId="0" fontId="41" fillId="0" borderId="0" xfId="7" applyFont="1" applyFill="1" applyAlignment="1"/>
    <xf numFmtId="0" fontId="41" fillId="0" borderId="0" xfId="7" applyFont="1" applyFill="1" applyAlignment="1">
      <alignment wrapText="1"/>
    </xf>
    <xf numFmtId="0" fontId="41" fillId="0" borderId="0" xfId="7" applyFont="1" applyFill="1"/>
    <xf numFmtId="0" fontId="35" fillId="46" borderId="56" xfId="7" applyFont="1" applyFill="1" applyBorder="1" applyAlignment="1">
      <alignment vertical="center" wrapText="1"/>
    </xf>
    <xf numFmtId="0" fontId="35" fillId="46" borderId="1" xfId="7" applyFont="1" applyFill="1" applyBorder="1" applyAlignment="1">
      <alignment vertical="center" wrapText="1"/>
    </xf>
    <xf numFmtId="0" fontId="35" fillId="46" borderId="57" xfId="7" applyFont="1" applyFill="1" applyBorder="1" applyAlignment="1">
      <alignment vertical="center" wrapText="1"/>
    </xf>
    <xf numFmtId="0" fontId="35" fillId="46" borderId="18" xfId="7" applyFont="1" applyFill="1" applyBorder="1" applyAlignment="1">
      <alignment vertical="center" wrapText="1"/>
    </xf>
    <xf numFmtId="0" fontId="35" fillId="46" borderId="17" xfId="7" applyFont="1" applyFill="1" applyBorder="1" applyAlignment="1">
      <alignment vertical="center" wrapText="1"/>
    </xf>
    <xf numFmtId="0" fontId="35" fillId="46" borderId="15" xfId="7" applyFont="1" applyFill="1" applyBorder="1" applyAlignment="1">
      <alignment vertical="center" wrapText="1"/>
    </xf>
    <xf numFmtId="0" fontId="35" fillId="47" borderId="53" xfId="7" applyFont="1" applyFill="1" applyBorder="1" applyAlignment="1">
      <alignment vertical="center" wrapText="1"/>
    </xf>
    <xf numFmtId="0" fontId="35" fillId="47" borderId="5" xfId="7" applyFont="1" applyFill="1" applyBorder="1" applyAlignment="1">
      <alignment vertical="center" wrapText="1"/>
    </xf>
    <xf numFmtId="0" fontId="35" fillId="47" borderId="54" xfId="7" applyFont="1" applyFill="1" applyBorder="1" applyAlignment="1">
      <alignment vertical="center" wrapText="1"/>
    </xf>
    <xf numFmtId="0" fontId="35" fillId="47" borderId="56" xfId="7" applyFont="1" applyFill="1" applyBorder="1" applyAlignment="1">
      <alignment vertical="center" wrapText="1"/>
    </xf>
    <xf numFmtId="0" fontId="35" fillId="47" borderId="1" xfId="7" applyFont="1" applyFill="1" applyBorder="1" applyAlignment="1">
      <alignment vertical="center" wrapText="1"/>
    </xf>
    <xf numFmtId="0" fontId="35" fillId="47" borderId="57" xfId="7" applyFont="1" applyFill="1" applyBorder="1" applyAlignment="1">
      <alignment vertical="center" wrapText="1"/>
    </xf>
    <xf numFmtId="0" fontId="35" fillId="47" borderId="18" xfId="7" applyFont="1" applyFill="1" applyBorder="1" applyAlignment="1">
      <alignment vertical="center" wrapText="1"/>
    </xf>
    <xf numFmtId="0" fontId="35" fillId="47" borderId="17" xfId="7" applyFont="1" applyFill="1" applyBorder="1" applyAlignment="1">
      <alignment vertical="center" wrapText="1"/>
    </xf>
    <xf numFmtId="0" fontId="35" fillId="47" borderId="15" xfId="7" applyFont="1" applyFill="1" applyBorder="1" applyAlignment="1">
      <alignment vertical="center" wrapText="1"/>
    </xf>
    <xf numFmtId="0" fontId="35" fillId="46" borderId="23" xfId="7" applyFont="1" applyFill="1" applyBorder="1" applyAlignment="1">
      <alignment vertical="center" wrapText="1"/>
    </xf>
    <xf numFmtId="0" fontId="35" fillId="46" borderId="22" xfId="7" applyFont="1" applyFill="1" applyBorder="1" applyAlignment="1">
      <alignment vertical="center" wrapText="1"/>
    </xf>
    <xf numFmtId="0" fontId="35" fillId="46" borderId="20" xfId="7" applyFont="1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0" fontId="59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60" fillId="0" borderId="98" xfId="0" applyFont="1" applyBorder="1" applyAlignment="1">
      <alignment horizontal="center"/>
    </xf>
    <xf numFmtId="0" fontId="0" fillId="0" borderId="0" xfId="0"/>
    <xf numFmtId="0" fontId="61" fillId="0" borderId="99" xfId="0" applyFont="1" applyBorder="1"/>
    <xf numFmtId="0" fontId="61" fillId="0" borderId="100" xfId="0" applyFont="1" applyBorder="1" applyAlignment="1">
      <alignment horizontal="center"/>
    </xf>
    <xf numFmtId="0" fontId="15" fillId="0" borderId="43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61" fillId="0" borderId="0" xfId="0" applyFont="1" applyAlignment="1">
      <alignment horizontal="center"/>
    </xf>
    <xf numFmtId="0" fontId="61" fillId="48" borderId="36" xfId="0" applyFont="1" applyFill="1" applyBorder="1"/>
    <xf numFmtId="0" fontId="61" fillId="48" borderId="101" xfId="0" applyFont="1" applyFill="1" applyBorder="1" applyAlignment="1">
      <alignment horizontal="center"/>
    </xf>
    <xf numFmtId="2" fontId="61" fillId="48" borderId="101" xfId="0" applyNumberFormat="1" applyFont="1" applyFill="1" applyBorder="1" applyAlignment="1">
      <alignment horizontal="center"/>
    </xf>
    <xf numFmtId="2" fontId="61" fillId="48" borderId="102" xfId="0" applyNumberFormat="1" applyFont="1" applyFill="1" applyBorder="1" applyAlignment="1">
      <alignment horizontal="center"/>
    </xf>
    <xf numFmtId="2" fontId="61" fillId="48" borderId="34" xfId="0" applyNumberFormat="1" applyFont="1" applyFill="1" applyBorder="1" applyAlignment="1">
      <alignment horizontal="center"/>
    </xf>
    <xf numFmtId="0" fontId="15" fillId="0" borderId="39" xfId="0" applyFont="1" applyBorder="1"/>
    <xf numFmtId="0" fontId="15" fillId="0" borderId="8" xfId="0" applyFont="1" applyBorder="1" applyAlignment="1">
      <alignment horizontal="center"/>
    </xf>
    <xf numFmtId="167" fontId="15" fillId="0" borderId="11" xfId="0" applyNumberFormat="1" applyFont="1" applyBorder="1" applyAlignment="1">
      <alignment horizontal="center"/>
    </xf>
    <xf numFmtId="166" fontId="15" fillId="0" borderId="37" xfId="0" applyNumberFormat="1" applyFont="1" applyBorder="1" applyAlignment="1">
      <alignment horizontal="center"/>
    </xf>
    <xf numFmtId="0" fontId="15" fillId="0" borderId="56" xfId="0" applyFont="1" applyBorder="1"/>
    <xf numFmtId="0" fontId="15" fillId="0" borderId="1" xfId="0" applyFont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7" fontId="15" fillId="0" borderId="4" xfId="0" applyNumberFormat="1" applyFont="1" applyBorder="1" applyAlignment="1">
      <alignment horizontal="center"/>
    </xf>
    <xf numFmtId="166" fontId="15" fillId="0" borderId="57" xfId="0" applyNumberFormat="1" applyFont="1" applyBorder="1" applyAlignment="1">
      <alignment horizontal="center"/>
    </xf>
    <xf numFmtId="1" fontId="15" fillId="0" borderId="4" xfId="0" applyNumberFormat="1" applyFont="1" applyBorder="1" applyAlignment="1">
      <alignment horizontal="center"/>
    </xf>
    <xf numFmtId="3" fontId="15" fillId="0" borderId="11" xfId="0" applyNumberFormat="1" applyFont="1" applyBorder="1" applyAlignment="1">
      <alignment horizontal="center"/>
    </xf>
    <xf numFmtId="0" fontId="15" fillId="0" borderId="18" xfId="0" applyFont="1" applyBorder="1"/>
    <xf numFmtId="0" fontId="15" fillId="0" borderId="17" xfId="0" applyFont="1" applyBorder="1" applyAlignment="1">
      <alignment horizontal="center"/>
    </xf>
    <xf numFmtId="166" fontId="15" fillId="0" borderId="17" xfId="0" applyNumberFormat="1" applyFont="1" applyBorder="1" applyAlignment="1">
      <alignment horizontal="center"/>
    </xf>
    <xf numFmtId="167" fontId="15" fillId="0" borderId="19" xfId="0" applyNumberFormat="1" applyFont="1" applyBorder="1" applyAlignment="1">
      <alignment horizontal="center"/>
    </xf>
    <xf numFmtId="166" fontId="15" fillId="0" borderId="15" xfId="0" applyNumberFormat="1" applyFont="1" applyBorder="1" applyAlignment="1">
      <alignment horizontal="center"/>
    </xf>
    <xf numFmtId="0" fontId="62" fillId="0" borderId="1" xfId="0" applyFont="1" applyBorder="1"/>
    <xf numFmtId="0" fontId="63" fillId="0" borderId="1" xfId="0" applyFont="1" applyBorder="1"/>
    <xf numFmtId="0" fontId="4" fillId="0" borderId="8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166" fontId="4" fillId="0" borderId="0" xfId="0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6" fontId="4" fillId="0" borderId="1" xfId="0" applyNumberFormat="1" applyFont="1" applyFill="1" applyBorder="1"/>
    <xf numFmtId="166" fontId="4" fillId="0" borderId="1" xfId="0" applyNumberFormat="1" applyFont="1" applyBorder="1"/>
    <xf numFmtId="0" fontId="4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166" fontId="4" fillId="0" borderId="2" xfId="0" applyNumberFormat="1" applyFont="1" applyFill="1" applyBorder="1" applyAlignment="1">
      <alignment horizontal="center"/>
    </xf>
    <xf numFmtId="166" fontId="4" fillId="0" borderId="9" xfId="0" applyNumberFormat="1" applyFont="1" applyFill="1" applyBorder="1" applyAlignment="1">
      <alignment horizontal="center"/>
    </xf>
    <xf numFmtId="166" fontId="4" fillId="0" borderId="9" xfId="0" applyNumberFormat="1" applyFont="1" applyBorder="1" applyAlignment="1">
      <alignment horizontal="center"/>
    </xf>
    <xf numFmtId="166" fontId="20" fillId="0" borderId="3" xfId="61" applyNumberFormat="1" applyFont="1" applyFill="1" applyBorder="1" applyAlignment="1">
      <alignment horizontal="center"/>
    </xf>
    <xf numFmtId="0" fontId="4" fillId="0" borderId="8" xfId="0" applyFont="1" applyBorder="1"/>
    <xf numFmtId="167" fontId="4" fillId="0" borderId="8" xfId="0" applyNumberFormat="1" applyFont="1" applyBorder="1" applyAlignment="1">
      <alignment horizontal="center"/>
    </xf>
    <xf numFmtId="166" fontId="0" fillId="0" borderId="1" xfId="0" applyNumberFormat="1" applyBorder="1" applyAlignment="1">
      <alignment horizontal="center" wrapText="1"/>
    </xf>
    <xf numFmtId="167" fontId="0" fillId="0" borderId="0" xfId="0" applyNumberFormat="1" applyAlignment="1">
      <alignment horizontal="center" wrapText="1"/>
    </xf>
    <xf numFmtId="167" fontId="3" fillId="0" borderId="1" xfId="0" applyNumberFormat="1" applyFon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3" fillId="0" borderId="1" xfId="0" applyNumberFormat="1" applyFont="1" applyFill="1" applyBorder="1" applyAlignment="1">
      <alignment horizontal="center" wrapText="1"/>
    </xf>
    <xf numFmtId="167" fontId="4" fillId="0" borderId="1" xfId="0" applyNumberFormat="1" applyFont="1" applyBorder="1"/>
    <xf numFmtId="167" fontId="3" fillId="0" borderId="1" xfId="0" applyNumberFormat="1" applyFont="1" applyBorder="1"/>
    <xf numFmtId="167" fontId="3" fillId="0" borderId="3" xfId="0" applyNumberFormat="1" applyFont="1" applyBorder="1"/>
    <xf numFmtId="0" fontId="0" fillId="0" borderId="0" xfId="0" applyAlignment="1">
      <alignment horizontal="center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1" xfId="2" applyFont="1" applyBorder="1" applyAlignment="1">
      <alignment horizontal="center" wrapText="1"/>
    </xf>
    <xf numFmtId="0" fontId="3" fillId="0" borderId="1" xfId="2" applyFont="1" applyBorder="1" applyAlignment="1">
      <alignment horizontal="center"/>
    </xf>
    <xf numFmtId="0" fontId="4" fillId="0" borderId="1" xfId="2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2" fontId="3" fillId="0" borderId="0" xfId="0" applyNumberFormat="1" applyFont="1" applyFill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0" fontId="3" fillId="0" borderId="5" xfId="2" applyFont="1" applyBorder="1" applyAlignment="1">
      <alignment horizontal="center" wrapText="1"/>
    </xf>
    <xf numFmtId="0" fontId="4" fillId="0" borderId="1" xfId="2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2" xfId="0" applyBorder="1" applyAlignment="1"/>
    <xf numFmtId="0" fontId="0" fillId="0" borderId="0" xfId="0"/>
    <xf numFmtId="0" fontId="0" fillId="0" borderId="0" xfId="0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3" fillId="0" borderId="5" xfId="2" applyFont="1" applyBorder="1" applyAlignment="1">
      <alignment horizontal="left" vertical="top" wrapText="1"/>
    </xf>
    <xf numFmtId="2" fontId="7" fillId="0" borderId="1" xfId="0" applyNumberFormat="1" applyFont="1" applyBorder="1"/>
    <xf numFmtId="2" fontId="4" fillId="0" borderId="1" xfId="0" applyNumberFormat="1" applyFont="1" applyBorder="1"/>
    <xf numFmtId="0" fontId="0" fillId="0" borderId="0" xfId="0"/>
    <xf numFmtId="0" fontId="64" fillId="0" borderId="0" xfId="0" applyFont="1" applyFill="1"/>
    <xf numFmtId="0" fontId="3" fillId="0" borderId="7" xfId="2" applyFont="1" applyBorder="1" applyAlignment="1">
      <alignment horizontal="center"/>
    </xf>
    <xf numFmtId="0" fontId="0" fillId="0" borderId="2" xfId="0" applyBorder="1" applyAlignment="1">
      <alignment horizontal="center" vertical="top"/>
    </xf>
    <xf numFmtId="0" fontId="4" fillId="0" borderId="7" xfId="2" applyFont="1" applyFill="1" applyBorder="1" applyAlignment="1">
      <alignment horizontal="center" vertical="top" wrapText="1"/>
    </xf>
    <xf numFmtId="0" fontId="8" fillId="0" borderId="0" xfId="0" applyFont="1"/>
    <xf numFmtId="2" fontId="0" fillId="0" borderId="1" xfId="0" applyNumberFormat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2" fontId="4" fillId="0" borderId="1" xfId="0" applyNumberFormat="1" applyFont="1" applyFill="1" applyBorder="1" applyAlignment="1"/>
    <xf numFmtId="2" fontId="0" fillId="0" borderId="1" xfId="0" applyNumberFormat="1" applyBorder="1" applyAlignment="1"/>
    <xf numFmtId="165" fontId="4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center"/>
    </xf>
    <xf numFmtId="0" fontId="0" fillId="0" borderId="1" xfId="0" applyBorder="1" applyAlignment="1"/>
    <xf numFmtId="165" fontId="3" fillId="0" borderId="14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/>
    <xf numFmtId="165" fontId="3" fillId="0" borderId="0" xfId="0" applyNumberFormat="1" applyFont="1" applyFill="1" applyBorder="1" applyAlignment="1">
      <alignment horizontal="center"/>
    </xf>
    <xf numFmtId="0" fontId="0" fillId="0" borderId="0" xfId="0" applyBorder="1" applyAlignment="1"/>
    <xf numFmtId="2" fontId="3" fillId="0" borderId="1" xfId="0" applyNumberFormat="1" applyFont="1" applyFill="1" applyBorder="1" applyAlignment="1">
      <alignment horizontal="center"/>
    </xf>
    <xf numFmtId="17" fontId="4" fillId="0" borderId="0" xfId="0" applyNumberFormat="1" applyFont="1"/>
    <xf numFmtId="0" fontId="0" fillId="0" borderId="0" xfId="0" applyAlignment="1">
      <alignment horizontal="center"/>
    </xf>
    <xf numFmtId="2" fontId="3" fillId="0" borderId="0" xfId="0" applyNumberFormat="1" applyFont="1" applyFill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0" fontId="3" fillId="0" borderId="5" xfId="2" applyFont="1" applyBorder="1" applyAlignment="1">
      <alignment horizontal="center" wrapText="1"/>
    </xf>
    <xf numFmtId="0" fontId="4" fillId="0" borderId="1" xfId="2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2" xfId="0" applyBorder="1" applyAlignment="1"/>
    <xf numFmtId="0" fontId="0" fillId="0" borderId="0" xfId="0"/>
    <xf numFmtId="0" fontId="0" fillId="0" borderId="0" xfId="0"/>
    <xf numFmtId="0" fontId="8" fillId="0" borderId="0" xfId="0" applyFont="1" applyFill="1"/>
    <xf numFmtId="0" fontId="7" fillId="0" borderId="1" xfId="0" applyFont="1" applyFill="1" applyBorder="1"/>
    <xf numFmtId="2" fontId="4" fillId="0" borderId="1" xfId="0" quotePrefix="1" applyNumberFormat="1" applyFont="1" applyFill="1" applyBorder="1" applyAlignment="1">
      <alignment horizontal="right"/>
    </xf>
    <xf numFmtId="0" fontId="0" fillId="0" borderId="0" xfId="0" applyFill="1" applyBorder="1"/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165" fontId="4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" fontId="3" fillId="0" borderId="0" xfId="0" applyNumberFormat="1" applyFont="1" applyFill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0" fontId="35" fillId="4" borderId="56" xfId="7" applyFont="1" applyFill="1" applyBorder="1" applyAlignment="1">
      <alignment horizontal="center" vertical="center" wrapText="1"/>
    </xf>
    <xf numFmtId="0" fontId="35" fillId="4" borderId="1" xfId="7" applyFont="1" applyFill="1" applyBorder="1" applyAlignment="1">
      <alignment horizontal="center" vertical="center" wrapText="1"/>
    </xf>
    <xf numFmtId="0" fontId="35" fillId="4" borderId="57" xfId="7" applyFont="1" applyFill="1" applyBorder="1" applyAlignment="1">
      <alignment horizontal="center" vertical="center" wrapText="1"/>
    </xf>
    <xf numFmtId="0" fontId="40" fillId="4" borderId="52" xfId="7" applyFont="1" applyFill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0" xfId="0" applyBorder="1" applyAlignment="1">
      <alignment horizontal="center"/>
    </xf>
    <xf numFmtId="0" fontId="40" fillId="4" borderId="28" xfId="7" applyFont="1" applyFill="1" applyBorder="1" applyAlignment="1">
      <alignment horizontal="center" wrapText="1"/>
    </xf>
    <xf numFmtId="0" fontId="0" fillId="0" borderId="43" xfId="0" applyBorder="1" applyAlignment="1">
      <alignment horizontal="center"/>
    </xf>
    <xf numFmtId="0" fontId="0" fillId="0" borderId="42" xfId="0" applyBorder="1" applyAlignment="1">
      <alignment horizontal="center"/>
    </xf>
    <xf numFmtId="0" fontId="41" fillId="0" borderId="11" xfId="7" applyFont="1" applyBorder="1" applyAlignment="1">
      <alignment vertical="center"/>
    </xf>
    <xf numFmtId="0" fontId="35" fillId="5" borderId="67" xfId="7" applyFont="1" applyFill="1" applyBorder="1" applyAlignment="1">
      <alignment horizontal="center" vertical="center" wrapText="1"/>
    </xf>
    <xf numFmtId="0" fontId="35" fillId="0" borderId="67" xfId="7" applyFont="1" applyBorder="1" applyAlignment="1">
      <alignment horizontal="center" vertical="center" wrapText="1"/>
    </xf>
    <xf numFmtId="0" fontId="20" fillId="10" borderId="73" xfId="7" applyFont="1" applyFill="1" applyBorder="1" applyAlignment="1">
      <alignment horizontal="center" vertical="center" wrapText="1"/>
    </xf>
    <xf numFmtId="0" fontId="20" fillId="0" borderId="87" xfId="7" applyFont="1" applyBorder="1" applyAlignment="1">
      <alignment horizontal="center" vertical="center" wrapText="1"/>
    </xf>
    <xf numFmtId="0" fontId="20" fillId="12" borderId="85" xfId="7" applyFont="1" applyFill="1" applyBorder="1" applyAlignment="1">
      <alignment horizontal="center" vertical="center"/>
    </xf>
    <xf numFmtId="0" fontId="20" fillId="12" borderId="86" xfId="7" applyFont="1" applyFill="1" applyBorder="1" applyAlignment="1">
      <alignment vertical="center"/>
    </xf>
    <xf numFmtId="0" fontId="20" fillId="12" borderId="13" xfId="7" applyFont="1" applyFill="1" applyBorder="1" applyAlignment="1">
      <alignment horizontal="center" vertical="center"/>
    </xf>
    <xf numFmtId="0" fontId="20" fillId="0" borderId="14" xfId="7" applyFont="1" applyBorder="1" applyAlignment="1">
      <alignment vertical="center"/>
    </xf>
    <xf numFmtId="0" fontId="20" fillId="0" borderId="11" xfId="7" applyFont="1" applyBorder="1" applyAlignment="1">
      <alignment vertical="center"/>
    </xf>
    <xf numFmtId="0" fontId="20" fillId="0" borderId="0" xfId="7" applyFont="1" applyBorder="1" applyAlignment="1">
      <alignment vertical="center"/>
    </xf>
    <xf numFmtId="0" fontId="20" fillId="0" borderId="72" xfId="7" applyFont="1" applyBorder="1" applyAlignment="1">
      <alignment vertical="center"/>
    </xf>
    <xf numFmtId="0" fontId="20" fillId="0" borderId="12" xfId="7" applyFont="1" applyBorder="1" applyAlignment="1">
      <alignment vertical="center"/>
    </xf>
    <xf numFmtId="0" fontId="20" fillId="0" borderId="74" xfId="7" applyFont="1" applyBorder="1" applyAlignment="1">
      <alignment horizontal="center" vertical="center" wrapText="1"/>
    </xf>
    <xf numFmtId="0" fontId="20" fillId="5" borderId="78" xfId="7" applyFont="1" applyFill="1" applyBorder="1" applyAlignment="1">
      <alignment horizontal="center" vertical="center" wrapText="1"/>
    </xf>
    <xf numFmtId="0" fontId="20" fillId="0" borderId="79" xfId="7" applyFont="1" applyBorder="1" applyAlignment="1">
      <alignment horizontal="center" vertical="center" wrapText="1"/>
    </xf>
    <xf numFmtId="0" fontId="20" fillId="0" borderId="47" xfId="7" applyFont="1" applyBorder="1" applyAlignment="1">
      <alignment horizontal="center" vertical="center" wrapText="1"/>
    </xf>
    <xf numFmtId="0" fontId="20" fillId="0" borderId="0" xfId="7" applyFont="1" applyBorder="1" applyAlignment="1">
      <alignment horizontal="center" vertical="center" wrapText="1"/>
    </xf>
    <xf numFmtId="0" fontId="20" fillId="0" borderId="10" xfId="7" applyFont="1" applyBorder="1" applyAlignment="1">
      <alignment horizontal="center" vertical="center" wrapText="1"/>
    </xf>
    <xf numFmtId="0" fontId="20" fillId="0" borderId="81" xfId="7" applyFont="1" applyBorder="1" applyAlignment="1">
      <alignment horizontal="center" vertical="center" wrapText="1"/>
    </xf>
    <xf numFmtId="0" fontId="20" fillId="0" borderId="82" xfId="7" applyFont="1" applyBorder="1" applyAlignment="1">
      <alignment horizontal="center" vertical="center" wrapText="1"/>
    </xf>
    <xf numFmtId="0" fontId="20" fillId="0" borderId="83" xfId="7" applyFont="1" applyBorder="1" applyAlignment="1">
      <alignment horizontal="center" vertical="center" wrapText="1"/>
    </xf>
    <xf numFmtId="0" fontId="20" fillId="8" borderId="11" xfId="7" applyFont="1" applyFill="1" applyBorder="1" applyAlignment="1">
      <alignment horizontal="center" vertical="center"/>
    </xf>
    <xf numFmtId="0" fontId="20" fillId="0" borderId="10" xfId="7" applyFont="1" applyBorder="1" applyAlignment="1">
      <alignment vertical="center"/>
    </xf>
    <xf numFmtId="0" fontId="20" fillId="0" borderId="84" xfId="7" applyFont="1" applyBorder="1" applyAlignment="1">
      <alignment vertical="center"/>
    </xf>
    <xf numFmtId="0" fontId="20" fillId="0" borderId="82" xfId="7" applyFont="1" applyBorder="1" applyAlignment="1">
      <alignment vertical="center"/>
    </xf>
    <xf numFmtId="0" fontId="20" fillId="0" borderId="83" xfId="7" applyFont="1" applyBorder="1" applyAlignment="1">
      <alignment vertical="center"/>
    </xf>
    <xf numFmtId="0" fontId="20" fillId="9" borderId="13" xfId="7" applyFont="1" applyFill="1" applyBorder="1" applyAlignment="1">
      <alignment horizontal="center" vertical="center"/>
    </xf>
    <xf numFmtId="0" fontId="20" fillId="0" borderId="6" xfId="7" applyFont="1" applyBorder="1" applyAlignment="1">
      <alignment vertical="center"/>
    </xf>
    <xf numFmtId="0" fontId="41" fillId="0" borderId="11" xfId="7" applyFont="1" applyBorder="1" applyAlignment="1">
      <alignment horizontal="left" vertical="center"/>
    </xf>
    <xf numFmtId="0" fontId="20" fillId="9" borderId="4" xfId="7" applyFont="1" applyFill="1" applyBorder="1" applyAlignment="1">
      <alignment horizontal="center" vertical="center"/>
    </xf>
    <xf numFmtId="0" fontId="20" fillId="0" borderId="9" xfId="7" applyFont="1" applyBorder="1" applyAlignment="1">
      <alignment vertical="center"/>
    </xf>
    <xf numFmtId="0" fontId="20" fillId="0" borderId="2" xfId="7" applyFont="1" applyBorder="1" applyAlignment="1">
      <alignment vertical="center"/>
    </xf>
    <xf numFmtId="0" fontId="20" fillId="13" borderId="13" xfId="7" applyFont="1" applyFill="1" applyBorder="1" applyAlignment="1">
      <alignment horizontal="center" vertical="center"/>
    </xf>
    <xf numFmtId="0" fontId="20" fillId="0" borderId="7" xfId="7" applyFont="1" applyBorder="1" applyAlignment="1">
      <alignment vertical="center"/>
    </xf>
    <xf numFmtId="0" fontId="20" fillId="10" borderId="73" xfId="7" applyFont="1" applyFill="1" applyBorder="1" applyAlignment="1">
      <alignment horizontal="left" vertical="center" wrapText="1"/>
    </xf>
    <xf numFmtId="0" fontId="20" fillId="10" borderId="76" xfId="7" applyFont="1" applyFill="1" applyBorder="1" applyAlignment="1">
      <alignment horizontal="left" vertical="center" wrapText="1"/>
    </xf>
    <xf numFmtId="0" fontId="20" fillId="10" borderId="74" xfId="7" applyFont="1" applyFill="1" applyBorder="1" applyAlignment="1">
      <alignment horizontal="left" vertical="center" wrapText="1"/>
    </xf>
    <xf numFmtId="0" fontId="20" fillId="8" borderId="9" xfId="7" applyFont="1" applyFill="1" applyBorder="1" applyAlignment="1">
      <alignment horizontal="center" vertical="center"/>
    </xf>
    <xf numFmtId="0" fontId="20" fillId="0" borderId="9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12" borderId="4" xfId="7" applyFont="1" applyFill="1" applyBorder="1" applyAlignment="1">
      <alignment horizontal="center" vertical="center"/>
    </xf>
    <xf numFmtId="0" fontId="20" fillId="10" borderId="9" xfId="7" applyFont="1" applyFill="1" applyBorder="1" applyAlignment="1">
      <alignment horizontal="center" vertical="center"/>
    </xf>
    <xf numFmtId="0" fontId="20" fillId="0" borderId="70" xfId="7" applyFont="1" applyBorder="1" applyAlignment="1">
      <alignment vertical="center"/>
    </xf>
    <xf numFmtId="0" fontId="20" fillId="0" borderId="14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72" xfId="7" applyFont="1" applyBorder="1" applyAlignment="1">
      <alignment horizontal="center" vertical="center"/>
    </xf>
    <xf numFmtId="0" fontId="20" fillId="0" borderId="12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0" fillId="8" borderId="0" xfId="7" applyFont="1" applyFill="1" applyBorder="1" applyAlignment="1">
      <alignment horizontal="center" vertical="center"/>
    </xf>
    <xf numFmtId="0" fontId="20" fillId="13" borderId="4" xfId="7" applyFont="1" applyFill="1" applyBorder="1" applyAlignment="1">
      <alignment horizontal="center" vertical="center"/>
    </xf>
    <xf numFmtId="0" fontId="20" fillId="7" borderId="28" xfId="7" applyFont="1" applyFill="1" applyBorder="1" applyAlignment="1">
      <alignment horizontal="center" vertical="center"/>
    </xf>
    <xf numFmtId="0" fontId="20" fillId="7" borderId="43" xfId="7" applyFont="1" applyFill="1" applyBorder="1" applyAlignment="1">
      <alignment vertical="center"/>
    </xf>
    <xf numFmtId="0" fontId="20" fillId="7" borderId="41" xfId="7" applyFont="1" applyFill="1" applyBorder="1" applyAlignment="1">
      <alignment vertical="center"/>
    </xf>
    <xf numFmtId="0" fontId="20" fillId="7" borderId="69" xfId="7" applyFont="1" applyFill="1" applyBorder="1" applyAlignment="1">
      <alignment vertical="center"/>
    </xf>
    <xf numFmtId="0" fontId="20" fillId="7" borderId="12" xfId="7" applyFont="1" applyFill="1" applyBorder="1" applyAlignment="1">
      <alignment vertical="center"/>
    </xf>
    <xf numFmtId="0" fontId="20" fillId="7" borderId="7" xfId="7" applyFont="1" applyFill="1" applyBorder="1" applyAlignment="1">
      <alignment vertical="center"/>
    </xf>
    <xf numFmtId="0" fontId="20" fillId="8" borderId="24" xfId="7" applyFont="1" applyFill="1" applyBorder="1" applyAlignment="1">
      <alignment horizontal="center" vertical="center"/>
    </xf>
    <xf numFmtId="0" fontId="20" fillId="0" borderId="51" xfId="7" applyFont="1" applyBorder="1" applyAlignment="1">
      <alignment vertical="center"/>
    </xf>
    <xf numFmtId="0" fontId="20" fillId="0" borderId="21" xfId="7" applyFont="1" applyBorder="1" applyAlignment="1">
      <alignment vertical="center"/>
    </xf>
    <xf numFmtId="0" fontId="20" fillId="9" borderId="24" xfId="7" applyFont="1" applyFill="1" applyBorder="1" applyAlignment="1">
      <alignment horizontal="center" vertical="center"/>
    </xf>
    <xf numFmtId="0" fontId="20" fillId="10" borderId="24" xfId="7" applyFont="1" applyFill="1" applyBorder="1" applyAlignment="1">
      <alignment horizontal="center" vertical="center"/>
    </xf>
    <xf numFmtId="0" fontId="20" fillId="0" borderId="51" xfId="7" applyFont="1" applyBorder="1" applyAlignment="1">
      <alignment horizontal="center" vertical="center"/>
    </xf>
    <xf numFmtId="0" fontId="20" fillId="0" borderId="66" xfId="7" applyFont="1" applyBorder="1" applyAlignment="1">
      <alignment horizontal="center" vertical="center"/>
    </xf>
    <xf numFmtId="0" fontId="20" fillId="8" borderId="13" xfId="7" applyFont="1" applyFill="1" applyBorder="1" applyAlignment="1">
      <alignment horizontal="center" vertical="center"/>
    </xf>
    <xf numFmtId="0" fontId="20" fillId="10" borderId="4" xfId="7" applyFont="1" applyFill="1" applyBorder="1" applyAlignment="1">
      <alignment horizontal="center" vertical="center"/>
    </xf>
    <xf numFmtId="0" fontId="20" fillId="0" borderId="70" xfId="7" applyFont="1" applyBorder="1" applyAlignment="1">
      <alignment horizontal="center" vertical="center"/>
    </xf>
    <xf numFmtId="0" fontId="40" fillId="0" borderId="0" xfId="7" applyFont="1" applyAlignment="1">
      <alignment wrapText="1"/>
    </xf>
    <xf numFmtId="0" fontId="21" fillId="0" borderId="0" xfId="7" applyFont="1" applyAlignment="1">
      <alignment wrapText="1"/>
    </xf>
    <xf numFmtId="0" fontId="40" fillId="4" borderId="23" xfId="7" applyFont="1" applyFill="1" applyBorder="1" applyAlignment="1">
      <alignment horizontal="center" wrapText="1"/>
    </xf>
    <xf numFmtId="0" fontId="40" fillId="4" borderId="22" xfId="7" applyFont="1" applyFill="1" applyBorder="1" applyAlignment="1">
      <alignment horizontal="center"/>
    </xf>
    <xf numFmtId="0" fontId="40" fillId="4" borderId="20" xfId="7" applyFont="1" applyFill="1" applyBorder="1" applyAlignment="1">
      <alignment horizontal="center"/>
    </xf>
    <xf numFmtId="0" fontId="40" fillId="4" borderId="51" xfId="7" applyFont="1" applyFill="1" applyBorder="1" applyAlignment="1">
      <alignment horizontal="center" wrapText="1"/>
    </xf>
    <xf numFmtId="0" fontId="40" fillId="4" borderId="50" xfId="7" applyFont="1" applyFill="1" applyBorder="1" applyAlignment="1">
      <alignment horizontal="center" wrapText="1"/>
    </xf>
    <xf numFmtId="0" fontId="35" fillId="4" borderId="58" xfId="7" applyFont="1" applyFill="1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35" fillId="4" borderId="1" xfId="7" applyFont="1" applyFill="1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35" fillId="4" borderId="59" xfId="7" applyFont="1" applyFill="1" applyBorder="1" applyAlignment="1">
      <alignment vertical="top" wrapText="1"/>
    </xf>
    <xf numFmtId="0" fontId="0" fillId="0" borderId="45" xfId="0" applyBorder="1" applyAlignment="1">
      <alignment vertical="top" wrapText="1"/>
    </xf>
    <xf numFmtId="0" fontId="3" fillId="0" borderId="3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4" xfId="2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4" fillId="0" borderId="1" xfId="2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2" xfId="2" applyFont="1" applyBorder="1" applyAlignment="1">
      <alignment horizontal="center" wrapText="1"/>
    </xf>
    <xf numFmtId="0" fontId="3" fillId="0" borderId="9" xfId="2" applyFont="1" applyBorder="1" applyAlignment="1">
      <alignment horizontal="center"/>
    </xf>
    <xf numFmtId="0" fontId="4" fillId="0" borderId="9" xfId="2" applyBorder="1" applyAlignment="1">
      <alignment horizontal="center"/>
    </xf>
    <xf numFmtId="0" fontId="3" fillId="0" borderId="11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4" fillId="0" borderId="0" xfId="2" applyBorder="1" applyAlignment="1">
      <alignment horizontal="center"/>
    </xf>
    <xf numFmtId="0" fontId="0" fillId="0" borderId="0" xfId="0" applyAlignment="1"/>
    <xf numFmtId="0" fontId="10" fillId="0" borderId="3" xfId="2" applyFont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4" fillId="0" borderId="5" xfId="2" applyBorder="1" applyAlignment="1"/>
    <xf numFmtId="0" fontId="4" fillId="0" borderId="1" xfId="2" applyBorder="1" applyAlignment="1">
      <alignment horizontal="center" wrapText="1"/>
    </xf>
    <xf numFmtId="0" fontId="21" fillId="4" borderId="33" xfId="4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4" fillId="4" borderId="28" xfId="4" applyFont="1" applyFill="1" applyBorder="1" applyAlignment="1">
      <alignment horizontal="left" vertical="center" wrapText="1"/>
    </xf>
    <xf numFmtId="0" fontId="24" fillId="4" borderId="29" xfId="4" applyFont="1" applyFill="1" applyBorder="1" applyAlignment="1">
      <alignment horizontal="left" vertical="center" wrapText="1"/>
    </xf>
    <xf numFmtId="0" fontId="21" fillId="4" borderId="22" xfId="4" applyFont="1" applyFill="1" applyBorder="1" applyAlignment="1">
      <alignment horizontal="center" vertical="center" wrapText="1"/>
    </xf>
    <xf numFmtId="0" fontId="23" fillId="4" borderId="17" xfId="4" applyFont="1" applyFill="1" applyBorder="1" applyAlignment="1">
      <alignment horizontal="center" vertical="center" wrapText="1"/>
    </xf>
    <xf numFmtId="0" fontId="24" fillId="4" borderId="22" xfId="4" applyFont="1" applyFill="1" applyBorder="1" applyAlignment="1">
      <alignment horizontal="center" vertical="center" wrapText="1"/>
    </xf>
    <xf numFmtId="0" fontId="2" fillId="4" borderId="17" xfId="4" applyFont="1" applyFill="1" applyBorder="1" applyAlignment="1">
      <alignment horizontal="center" vertical="center" wrapText="1"/>
    </xf>
    <xf numFmtId="0" fontId="29" fillId="4" borderId="52" xfId="4" applyFont="1" applyFill="1" applyBorder="1" applyAlignment="1">
      <alignment horizontal="center"/>
    </xf>
    <xf numFmtId="0" fontId="29" fillId="4" borderId="44" xfId="4" applyFont="1" applyFill="1" applyBorder="1" applyAlignment="1">
      <alignment horizontal="center" wrapText="1"/>
    </xf>
    <xf numFmtId="0" fontId="26" fillId="4" borderId="49" xfId="4" applyFont="1" applyFill="1" applyBorder="1" applyAlignment="1">
      <alignment horizontal="center" wrapText="1"/>
    </xf>
    <xf numFmtId="0" fontId="29" fillId="4" borderId="22" xfId="4" applyFont="1" applyFill="1" applyBorder="1" applyAlignment="1">
      <alignment horizontal="center" wrapText="1"/>
    </xf>
    <xf numFmtId="0" fontId="26" fillId="4" borderId="17" xfId="4" applyFont="1" applyFill="1" applyBorder="1" applyAlignment="1">
      <alignment horizontal="center" wrapText="1"/>
    </xf>
    <xf numFmtId="0" fontId="29" fillId="4" borderId="17" xfId="4" applyFont="1" applyFill="1" applyBorder="1" applyAlignment="1">
      <alignment horizontal="center" wrapText="1"/>
    </xf>
    <xf numFmtId="0" fontId="29" fillId="4" borderId="24" xfId="4" applyFont="1" applyFill="1" applyBorder="1" applyAlignment="1">
      <alignment horizontal="center" wrapText="1"/>
    </xf>
    <xf numFmtId="0" fontId="26" fillId="4" borderId="19" xfId="4" applyFont="1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2" xfId="0" applyBorder="1" applyAlignment="1"/>
    <xf numFmtId="0" fontId="0" fillId="0" borderId="0" xfId="0"/>
    <xf numFmtId="0" fontId="0" fillId="0" borderId="0" xfId="0" applyAlignment="1">
      <alignment horizontal="right"/>
    </xf>
  </cellXfs>
  <cellStyles count="72">
    <cellStyle name="20% - Accent1 2" xfId="9"/>
    <cellStyle name="20% - Accent1 2 2" xfId="10"/>
    <cellStyle name="20% - Accent2 2" xfId="11"/>
    <cellStyle name="20% - Accent2 2 2" xfId="12"/>
    <cellStyle name="20% - Accent3 2" xfId="13"/>
    <cellStyle name="20% - Accent3 2 2" xfId="14"/>
    <cellStyle name="20% - Accent4 2" xfId="15"/>
    <cellStyle name="20% - Accent4 2 2" xfId="16"/>
    <cellStyle name="20% - Accent5 2" xfId="17"/>
    <cellStyle name="20% - Accent5 2 2" xfId="18"/>
    <cellStyle name="20% - Accent6 2" xfId="19"/>
    <cellStyle name="20% - Accent6 2 2" xfId="20"/>
    <cellStyle name="40% - Accent1 2" xfId="21"/>
    <cellStyle name="40% - Accent1 2 2" xfId="22"/>
    <cellStyle name="40% - Accent2 2" xfId="23"/>
    <cellStyle name="40% - Accent2 2 2" xfId="24"/>
    <cellStyle name="40% - Accent3 2" xfId="25"/>
    <cellStyle name="40% - Accent3 2 2" xfId="26"/>
    <cellStyle name="40% - Accent4 2" xfId="27"/>
    <cellStyle name="40% - Accent4 2 2" xfId="28"/>
    <cellStyle name="40% - Accent5 2" xfId="29"/>
    <cellStyle name="40% - Accent5 2 2" xfId="30"/>
    <cellStyle name="40% - Accent6 2" xfId="31"/>
    <cellStyle name="40% - Accent6 2 2" xfId="32"/>
    <cellStyle name="60% - Accent1 2" xfId="33"/>
    <cellStyle name="60% - Accent2 2" xfId="34"/>
    <cellStyle name="60% - Accent3 2" xfId="35"/>
    <cellStyle name="60% - Accent4 2" xfId="36"/>
    <cellStyle name="60% - Accent5 2" xfId="37"/>
    <cellStyle name="60% - Accent6 2" xfId="38"/>
    <cellStyle name="Accent1 2" xfId="39"/>
    <cellStyle name="Accent2 2" xfId="40"/>
    <cellStyle name="Accent3 2" xfId="41"/>
    <cellStyle name="Accent4 2" xfId="42"/>
    <cellStyle name="Accent5 2" xfId="43"/>
    <cellStyle name="Accent6 2" xfId="44"/>
    <cellStyle name="Bad 2" xfId="45"/>
    <cellStyle name="Calculation 2" xfId="46"/>
    <cellStyle name="Check Cell 2" xfId="47"/>
    <cellStyle name="Comma 2" xfId="1"/>
    <cellStyle name="Comma 2 2" xfId="48"/>
    <cellStyle name="Explanatory Text 2" xfId="49"/>
    <cellStyle name="Good 2" xfId="50"/>
    <cellStyle name="Heading 1 2" xfId="51"/>
    <cellStyle name="Heading 2 2" xfId="52"/>
    <cellStyle name="Heading 3 2" xfId="53"/>
    <cellStyle name="Heading 4 2" xfId="54"/>
    <cellStyle name="Hyperlink 2" xfId="6"/>
    <cellStyle name="Input 2" xfId="55"/>
    <cellStyle name="Linked Cell 2" xfId="56"/>
    <cellStyle name="Neutral 2" xfId="57"/>
    <cellStyle name="Normal" xfId="0" builtinId="0"/>
    <cellStyle name="Normal 2" xfId="2"/>
    <cellStyle name="Normal 2 2" xfId="3"/>
    <cellStyle name="Normal 2 2 2" xfId="58"/>
    <cellStyle name="Normal 2 2 3" xfId="59"/>
    <cellStyle name="Normal 2 3" xfId="4"/>
    <cellStyle name="Normal 2 3 2" xfId="60"/>
    <cellStyle name="Normal 2 4" xfId="61"/>
    <cellStyle name="Normal 2 4 2" xfId="62"/>
    <cellStyle name="Normal 2 4 2 2" xfId="63"/>
    <cellStyle name="Normal 2 4 3" xfId="64"/>
    <cellStyle name="Normal 3" xfId="7"/>
    <cellStyle name="Normal 4" xfId="65"/>
    <cellStyle name="Normal 5" xfId="66"/>
    <cellStyle name="Normal_AQ Calcs_ Viejo 111703" xfId="5"/>
    <cellStyle name="Note 2" xfId="67"/>
    <cellStyle name="Output 2" xfId="68"/>
    <cellStyle name="Percent 2" xfId="8"/>
    <cellStyle name="Title 2" xfId="69"/>
    <cellStyle name="Total 2" xfId="70"/>
    <cellStyle name="Warning Text 2" xfId="71"/>
  </cellStyles>
  <dxfs count="0"/>
  <tableStyles count="0" defaultTableStyle="TableStyleMedium9" defaultPivotStyle="PivotStyleLight16"/>
  <colors>
    <mruColors>
      <color rgb="FF9966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alt%20Creek%20Simultaneous%20Construction%20Emissions%201205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XPQ/4%203-A_Air%20Quality%20Construction%20Emissions%20111714%20revis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outh%20Orange%20County%20Transmission%20Line%20Site%20Disturban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unrise%20Proposal/TRTP%20Emissions%208-19-09%20(6%20days%20per%20week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outh%20Orange%20County%20Construction%20Emissions%20111714%20mitigated%20old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 SCS 7-28-14"/>
      <sheetName val="Construction Trucks SCS 7-28-14"/>
      <sheetName val="WorkerTrips SCS 7-28-14"/>
      <sheetName val="Equipment SCS 8-4-14"/>
      <sheetName val="Construction Trucks SCS 8-4-14"/>
      <sheetName val="WorkerTrips SCS 8-4-14"/>
      <sheetName val="Equipment Salt Creek Substa (2)"/>
      <sheetName val="Construction Trucks Salt Cr (2)"/>
      <sheetName val="WorkerTrips Salt Creek Sub (2)"/>
      <sheetName val="Equipment SCS 8-11-14"/>
      <sheetName val="Construction Trucks SCS 8-11-14"/>
      <sheetName val="WorkerTrips SCS 8-11-14"/>
      <sheetName val="Equipment SCS 8-18-14"/>
      <sheetName val="Construction Trucks SCS 8-18-14"/>
      <sheetName val="WorkerTrips SCS 8-18-14"/>
      <sheetName val="Equipment SCS 8-25-14"/>
      <sheetName val="Construction Trucks SCS 8-25-14"/>
      <sheetName val="WorkerTrips SCS 8-25-14"/>
      <sheetName val="Equipment SCS 9-1-14"/>
      <sheetName val="Construction Trucks SCS 9-1-14"/>
      <sheetName val="WorkerTrips SCS 9-1-14"/>
      <sheetName val="Equipment SCS 9-8-14"/>
      <sheetName val="Construction Trucks SCS 9-8-14"/>
      <sheetName val="WorkerTrips SCS 9-8-14"/>
      <sheetName val="Equipment SCS 9-15-14"/>
      <sheetName val="Construction Trucks SCS 9-15-14"/>
      <sheetName val="WorkerTrips SCS 9-15-14"/>
      <sheetName val="Equipment SCS 9-22-14"/>
      <sheetName val="Construction Trucks SCS 9-22-14"/>
      <sheetName val="WorkerTrips SCS 9-22-14"/>
      <sheetName val="Equipment SCS 9-29-14"/>
      <sheetName val="Construction Trucks SCS 9-29-14"/>
      <sheetName val="WorkerTrips SCS 9-29-14"/>
      <sheetName val="Equipment SCS 10-6-14"/>
      <sheetName val="Construction Trucks SCS 10-6-14"/>
      <sheetName val="WorkerTrips SCS 10-6-14"/>
      <sheetName val="Equipment SCS 10-13-14"/>
      <sheetName val="Construction Trucks SCS 10-13-1"/>
      <sheetName val="WorkerTrips SCS 10-13-14"/>
      <sheetName val="Equipment SCS 10-20-14"/>
      <sheetName val="Construction Trucks SCS 10-20-1"/>
      <sheetName val="WorkerTrips SCS 10-20-14"/>
      <sheetName val="Equipment SCS 10-27-14"/>
      <sheetName val="Construction Trucks SCS 10-27-1"/>
      <sheetName val="WorkerTrips SCS 10-27-14"/>
      <sheetName val="Equipment SCS 11-3-14"/>
      <sheetName val="Construction Trucks SCS 11-3-14"/>
      <sheetName val="WorkerTrips SCS 11-3-14"/>
      <sheetName val="Equipment SCS 11-10-14"/>
      <sheetName val="Construction Truck SCS 11-10-14"/>
      <sheetName val="WorkerTrips SCS 11-10-14"/>
      <sheetName val="Equipment SCS 11-17-14"/>
      <sheetName val="Construction Truck SCS 11-17-1"/>
      <sheetName val="WorkerTrips SCS 11-17-14"/>
      <sheetName val="Equipment SCS 11-24-14"/>
      <sheetName val="Construction Truck SCS 11-24-14"/>
      <sheetName val="WorkerTrips SCS 11-24-14"/>
      <sheetName val="Equipment SCS 12-1-14"/>
      <sheetName val="Construction Trucks SCS 12-1-14"/>
      <sheetName val="WorkerTrips SCS 12-1-14"/>
      <sheetName val="Equipment SCS 12-8-14"/>
      <sheetName val="Construction Trucks SCS 12-8-14"/>
      <sheetName val="WorkerTrips SCS 12-8-14"/>
      <sheetName val="Equipment SCS 12-15-14"/>
      <sheetName val="Construction Trucks SCS 12-15-1"/>
      <sheetName val="WorkerTrips SCS 12-15-14"/>
      <sheetName val="Equipment SCS 12-22-14"/>
      <sheetName val="Construction Truck SCS 12-22-14"/>
      <sheetName val="WorkerTrips SCS 12-22-14"/>
      <sheetName val="Equipment SCS 12-29-14"/>
      <sheetName val="Construction Truck SCS 12-29-14"/>
      <sheetName val="WorkerTrips SCS 12-29-14"/>
      <sheetName val="Equipment SCS 1-5-15"/>
      <sheetName val="Construction Truck SCS 1-5-15"/>
      <sheetName val="WorkerTrips SCS 1-5-15"/>
      <sheetName val="Equipment SCS 1-12-15"/>
      <sheetName val="Construction Truck SCS 1-12-15"/>
      <sheetName val="WorkerTrips SCS 1-12-15"/>
      <sheetName val="Equipment SCS 1-19-15"/>
      <sheetName val="Construction Truck SCS 1-19-15"/>
      <sheetName val="WorkerTrips SCS 1-19-15"/>
      <sheetName val="Equipment SCS 1-26-15"/>
      <sheetName val="Construction Truck SCS 1-26-15"/>
      <sheetName val="WorkerTrips SCS 1-26-15"/>
      <sheetName val="Equipment SCS 2-2-15"/>
      <sheetName val="Construction Truck SCS 2-2-15"/>
      <sheetName val="WorkerTrips SCS 2-2-15"/>
      <sheetName val="Equipment SCS 2-9-15"/>
      <sheetName val="Construction Truck SCS 2-9-15"/>
      <sheetName val="WorkerTrips SCS 2-9-15"/>
      <sheetName val="Equipment SCS 2-16-15"/>
      <sheetName val="Construction Truck SCS 2-16-15"/>
      <sheetName val="WorkerTrips SCS 2-16-15"/>
      <sheetName val="Equipment SCS 2-23-15"/>
      <sheetName val="Construction Truck SCS 2-23-15"/>
      <sheetName val="WorkerTrips SCS 2-23-15"/>
      <sheetName val="Equipment SCS 3-2-15"/>
      <sheetName val="Construction Truck SCS 3-2-15"/>
      <sheetName val="WorkerTrips SCS 3-2-15"/>
      <sheetName val="Equipment SCS 3-9-15"/>
      <sheetName val="Construction Truck SCS 3-9-15"/>
      <sheetName val="WorkerTrips SCS 3-9-15"/>
      <sheetName val="Equipment SCS 3-16-15"/>
      <sheetName val="Construction Truck SCS 3-16-15"/>
      <sheetName val="WorkerTrips SCS 3-16-15"/>
      <sheetName val="Equipment SCS 3-23-15"/>
      <sheetName val="Construction Truck SCS 3-23-15"/>
      <sheetName val="WorkerTrips SCS 3-23-15"/>
      <sheetName val="Equipment SCS 3-30-15"/>
      <sheetName val="Construction Truck SCS 3-30-15"/>
      <sheetName val="WorkerTrips SCS 3-30-15"/>
      <sheetName val="Equipment SCS 4-6-15"/>
      <sheetName val="Construction Truck SCS 4-6-15"/>
      <sheetName val="WorkerTrips SCS 4-6-15"/>
      <sheetName val="Equipment SCS 4-13-15"/>
      <sheetName val="Construction Truck SCS 4-13-15"/>
      <sheetName val="WorkerTrips SCS 4-13-15"/>
      <sheetName val="Equipment SCS 4-20-15"/>
      <sheetName val="Construction Truck SCS 4-20-15"/>
      <sheetName val="WorkerTrips SCS 4-20-15"/>
      <sheetName val="Equipment SCS 4-27-15"/>
      <sheetName val="Construction Truck SCS 4-27-15"/>
      <sheetName val="WorkerTrips SCS 4-27-15"/>
      <sheetName val="Equipment SCS 5-4-15"/>
      <sheetName val="Construction Truck SCS 5-4-15"/>
      <sheetName val="WorkerTrips SCS 5-4-15"/>
      <sheetName val="Equipment SCS 5-11-15"/>
      <sheetName val="Construction Truck SCS 5-11-15"/>
      <sheetName val="WorkerTrips SCS 5-11-15"/>
      <sheetName val="Equipment SCS 5-18-15"/>
      <sheetName val="Construction Truck SCS 5-18-15"/>
      <sheetName val="WorkerTrips SCS 5-18-15"/>
      <sheetName val="Equipment SCS 5-25-15"/>
      <sheetName val="Construction Truck SCS 5-25-15"/>
      <sheetName val="WorkerTrips SCS 5-25-15"/>
      <sheetName val="Equipment SCS 6-1-15"/>
      <sheetName val="Construction Truck SCS 6-1-15"/>
      <sheetName val="WorkerTrips SCS 6-1-15"/>
      <sheetName val="Equipment SCS 6-8-15"/>
      <sheetName val="Construction Truck SCS 6-8-15"/>
      <sheetName val="WorkerTrips SCS 6-8-15"/>
      <sheetName val="Equipment SCS 6-15-15"/>
      <sheetName val="Construction Truck SCS 6-15-15"/>
      <sheetName val="WorkerTrips SCS 6-15-15"/>
      <sheetName val="Equipment SCS 6-23-15"/>
      <sheetName val="Construction Truck SCS 6-23-15"/>
      <sheetName val="WorkerTrips SCS 6-23-15"/>
      <sheetName val="Equipment SCS 6-30-15"/>
      <sheetName val="Construction Truck SCS 6-30-15"/>
      <sheetName val="WorkerTrips SCS 6-30-15"/>
      <sheetName val="Equipment SCS 7-6-15"/>
      <sheetName val="Construction Truck SCS 7-6-15"/>
      <sheetName val="WorkerTrips SCS 7-6-15"/>
      <sheetName val="Equipment SCS 7-13-15"/>
      <sheetName val="Construction Truck SCS 7-13-15"/>
      <sheetName val="WorkerTrips SCS 7-13-15"/>
      <sheetName val="Equipment SCS 7-20-15"/>
      <sheetName val="Construction Truck SCS 7-20-15"/>
      <sheetName val="WorkerTrips SCS 7-20-15"/>
      <sheetName val="Equipment SCS 7-27-15"/>
      <sheetName val="Construction Truck SCS 7-27-15"/>
      <sheetName val="WorkerTrips SCS 7-27-15"/>
      <sheetName val="Equipment SCS 8-3-15"/>
      <sheetName val="Construction Truck SCS 8-3-15"/>
      <sheetName val="WorkerTrips SCS 8-3-15"/>
      <sheetName val="Equipment SCS 8-10-15"/>
      <sheetName val="Construction Truck SCS 8-10-15"/>
      <sheetName val="WorkerTrips SCS 8-10-15"/>
      <sheetName val="Equipment SCS 8-17-15"/>
      <sheetName val="Construction Truck SCS 8-17-15"/>
      <sheetName val="WorkerTrips SCS 8-17-15"/>
      <sheetName val="Equipment SCS 818-101"/>
      <sheetName val="Construction Truck SCS 818-101"/>
      <sheetName val="WorkerTrips SCS 818-101"/>
      <sheetName val="Equipment SCS 102-119"/>
      <sheetName val="Construction Truck SCS 102-119"/>
      <sheetName val="WorkerTrips SCS 102-119"/>
      <sheetName val="Equipment SCS 1110-1130"/>
      <sheetName val="Construction Truck SCS1110-1130"/>
      <sheetName val="WorkerTrips SCS 1110-1130"/>
      <sheetName val="Equipment SCS 12-7-15"/>
      <sheetName val="Construction Truck SCS 12-7-15"/>
      <sheetName val="WorkerTrips SCS 12-7-15"/>
      <sheetName val="Equipment SCS 12-14-15"/>
      <sheetName val="Construction Truck SCS 12-14-15"/>
      <sheetName val="WorkerTrips SCS 12-14-15"/>
      <sheetName val="Equipment SCS 12-21-15"/>
      <sheetName val="Construction Truck SCS 12-21-15"/>
      <sheetName val="WorkerTrips SCS 12-21-15"/>
      <sheetName val="Equipment SCS 12-28-15"/>
      <sheetName val="Construction Truck SCS 12-28-15"/>
      <sheetName val="WorkerTrips SCS 12-28-15"/>
      <sheetName val="Equipment SCS 1-4-16"/>
      <sheetName val="Construction Truck SCS 1-4-16"/>
      <sheetName val="WorkerTrips SCS 1-4-16"/>
      <sheetName val="Equipment SCS 1-11-16"/>
      <sheetName val="Construction Truck SCS 1-11-16"/>
      <sheetName val="WorkerTrips SCS 1-11-16"/>
      <sheetName val="Equipment SCS 1-18-16"/>
      <sheetName val="Construction Truck SCS 1-18-16"/>
      <sheetName val="WorkerTrips SCS 1-18-16"/>
      <sheetName val="Equipment UG12kV"/>
      <sheetName val="Construction Trucks UG12kV"/>
      <sheetName val="WorkerTrips UG12kV"/>
      <sheetName val="Equipment Miguel Sub"/>
      <sheetName val="Offroad Tiers EF"/>
      <sheetName val="Construction Trucks Miguel Sub"/>
      <sheetName val="WorkerTrips Miguel Sub "/>
      <sheetName val="WorkerTrips"/>
      <sheetName val="Construction Trucks"/>
      <sheetName val="Helicopters"/>
      <sheetName val="Helicopter EF"/>
      <sheetName val="Fugitive Dust SC Substation"/>
      <sheetName val="Fugitive Dust TL6965"/>
      <sheetName val="Fugitive Dust M Substation"/>
      <sheetName val="Fugitive Dust Transmission"/>
      <sheetName val="SC Substation Construction Unmi"/>
      <sheetName val="SC Substation Construction"/>
      <sheetName val="TL6965 Construction Unmit"/>
      <sheetName val="TL6965 Construction"/>
      <sheetName val="TL6910 Construction"/>
      <sheetName val="12kV Distribution"/>
      <sheetName val="M Substation Construction Unmit"/>
      <sheetName val="M Substation Construction"/>
      <sheetName val="Maximum Daily  Unmit"/>
      <sheetName val="Maximum Daily "/>
      <sheetName val="Equipment 69kV 12-8-14"/>
      <sheetName val="Trucks 69kV 12-8-14"/>
      <sheetName val="WorkerTrips 69kV 12-8-14"/>
      <sheetName val="Equipment Trans Miguel SC (2)"/>
      <sheetName val="Construction Trucks Miguel  (2)"/>
      <sheetName val="WorkerTrips Miguel SC (2)"/>
      <sheetName val="Equipment 69kV 1215-120"/>
      <sheetName val="Trucks 69kV 1215-120"/>
      <sheetName val="WorkerTrips 69kV 1215-120"/>
      <sheetName val="Equipment 69kV 120-317"/>
      <sheetName val="Trucks 69kV 120-317"/>
      <sheetName val="WorkerTrips 69kV 120-317"/>
      <sheetName val="Equipment 69kV 3-17-15"/>
      <sheetName val="Trucks 69kV 3-17-15"/>
      <sheetName val="WorkerTrips 69kV 3-17-15"/>
      <sheetName val="Equipment 69kV 3-24-15"/>
      <sheetName val="Trucks 69kV 3-24-15"/>
      <sheetName val="WorkerTrips 69kV 3-24-15"/>
      <sheetName val="Equipment 69kV 7-20-15"/>
      <sheetName val="Trucks 69kV 7-20-15"/>
      <sheetName val="WorkerTrips 69kV 7-20-15"/>
      <sheetName val="Equipment 69kV 7-27-15"/>
      <sheetName val="Trucks 69kV 7-27-15"/>
      <sheetName val="WorkerTrips 69kV 7-27-15"/>
      <sheetName val="Equipment 69kV 8-3-15"/>
      <sheetName val="Trucks 69kV 8-3-15"/>
      <sheetName val="WorkerTrips 69kV 8-3-15"/>
      <sheetName val="Equipment 69kV 8-10-15"/>
      <sheetName val="Trucks 69kV 8-10-15"/>
      <sheetName val="WorkerTrips 69kV 8-10-15"/>
      <sheetName val="Equipment 69kV 8-17-15"/>
      <sheetName val="Trucks 69kV 8-17-15"/>
      <sheetName val="WorkerTrips 69kV 8-17-15"/>
      <sheetName val="Equipment 69kV 8-24-15"/>
      <sheetName val="Trucks 69kV 8-24-15"/>
      <sheetName val="WorkerTrips 69kV 8-24-15"/>
      <sheetName val="Equipment 69kV 8-31-15"/>
      <sheetName val="Trucks 69kV 8-31-15"/>
      <sheetName val="WorkerTrips 69kV 8-31-15"/>
      <sheetName val="Equipment 69kV 9-7-15"/>
      <sheetName val="Trucks 69kV 9-7-15"/>
      <sheetName val="WorkerTrips 69kV 9-7-15"/>
      <sheetName val="Equipment 69kV 9-28-15"/>
      <sheetName val="Trucks 69kV 9-28-15"/>
      <sheetName val="WorkerTrips 69kV 9-28-15"/>
      <sheetName val="Equipment TL6910 2-9-15"/>
      <sheetName val="Trucks TL6910 2-9-15"/>
      <sheetName val="WorkerTrips TL6910 2-9-15"/>
      <sheetName val="Equipment TL6910 2-16-15"/>
      <sheetName val="Trucks TL6910 2-16-15"/>
      <sheetName val="WorkerTrips TL6910 2-16-15"/>
      <sheetName val="Equipment TL6910 4-13-15"/>
      <sheetName val="Trucks TL6910 4-13-15"/>
      <sheetName val="WorkerTrips TL6910 4-13-15"/>
      <sheetName val="Equipment TL6910 4-27-15"/>
      <sheetName val="Trucks TL6910 4-27-15"/>
      <sheetName val="WorkerTrips TL6910 4-27-15"/>
      <sheetName val="Equipment TL6910 8-10-15"/>
      <sheetName val="Trucks TL6910 8-10-15"/>
      <sheetName val="WorkerTrips TL6910 8-10-15"/>
      <sheetName val="Equipment TL6910 8-17-15"/>
      <sheetName val="Trucks TL6910 8-17-15"/>
      <sheetName val="WorkerTrips TL6910 8-17-15"/>
      <sheetName val="Equipment TL6910 8-24-15"/>
      <sheetName val="Trucks TL6910 8-24-15"/>
      <sheetName val="WorkerTrips TL6910 8-24-15"/>
      <sheetName val="Equipment TL6910 9-21-15"/>
      <sheetName val="Trucks TL6910 9-21-15"/>
      <sheetName val="WorkerTrips TL6910 9-21-15"/>
      <sheetName val="Equipment 12kV Dist 3-9-15"/>
      <sheetName val="Trucks 12kV Dist 3-9-15"/>
      <sheetName val="WorkerTrips 12kV Dist 3-9-15"/>
      <sheetName val="Equipment 12kV Dist 3-16-15"/>
      <sheetName val="Trucks 12kV Dist 3-16-15"/>
      <sheetName val="WorkerTrips 12kV Dist 3-16-15"/>
      <sheetName val="Equipment 12kV Dist 3-23-15"/>
      <sheetName val="Trucks 12kV Dist 3-23-15"/>
      <sheetName val="WorkerTrips 12kV Dist 3-23-15"/>
      <sheetName val="Equipment 12kV Dist 3-30-15"/>
      <sheetName val="Trucks 12kV Dist 3-30-15"/>
      <sheetName val="WorkerTrips 12kV Dist 3-30-15"/>
      <sheetName val="Equipment 12kV Dist 4-6-15"/>
      <sheetName val="Trucks 12kV Dist 4-6-15"/>
      <sheetName val="WorkerTrips 12kV Dist 4-6-15"/>
      <sheetName val="Equipment 12kV Dist 4-13-15"/>
      <sheetName val="Trucks 12kV Dist 4-13-15"/>
      <sheetName val="WorkerTrips 12kV Dist 4-13-15"/>
      <sheetName val="Equipment 12kV Dist 4-20-15"/>
      <sheetName val="Trucks 12kV Dist 4-20-15"/>
      <sheetName val="WorkerTrips 12kV Dist 4-20-15"/>
      <sheetName val="Equipment 12kV Dist 4-27-15"/>
      <sheetName val="Trucks 12kV Dist 4-27-15"/>
      <sheetName val="WorkerTrips 12kV Dist 4-27-15"/>
      <sheetName val="Equipment 12kV Dist 5-1-15"/>
      <sheetName val="Trucks 12kV Dist 5-1-15"/>
      <sheetName val="WorkerTrips 12kV Dist 5-1-15"/>
      <sheetName val="Equipment 12kV Dist 5-8-15"/>
      <sheetName val="Trucks 12kV Dist 5-8-15"/>
      <sheetName val="WorkerTrips 12kV Dist 5-8-15"/>
      <sheetName val="Equipment 12kV Dist 5-15-15"/>
      <sheetName val="Trucks 12kV Dist 5-15-15"/>
      <sheetName val="WorkerTrips 12kV Dist 5-15-15"/>
      <sheetName val="Equipment 12kV Dist 5-22-15"/>
      <sheetName val="Trucks 12kV Dist 5-22-15"/>
      <sheetName val="WorkerTrips 12kV Dist 5-22-15"/>
      <sheetName val="Equipment 12kV Dist 529-801"/>
      <sheetName val="Trucks 12kV Dist 529-801"/>
      <sheetName val="WorkerTrips 12kV Dist 529-801"/>
      <sheetName val="Equipment Miguel Sub 3-30-15"/>
      <sheetName val="Trucks Miguel Sub 3-30-15"/>
      <sheetName val="WorkerTrips Miguel Sub 3-30-15"/>
      <sheetName val="Equipment Miguel Sub 4-6-15"/>
      <sheetName val="Trucks Miguel Sub 4-6-15"/>
      <sheetName val="WorkerTrips Miguel Sub 4-6-15"/>
      <sheetName val="Equipment Miguel Sub 4-13-15"/>
      <sheetName val="Trucks Miguel Sub 4-13-15"/>
      <sheetName val="WorkerTrips Miguel Sub 4-13-15"/>
      <sheetName val="Equipment Miguel Sub 4-20-15"/>
      <sheetName val="Trucks Miguel Sub 4-20-15"/>
      <sheetName val="WorkerTrips Miguel Sub 4-20-15"/>
      <sheetName val="Equipment Miguel Sub 4-27-15"/>
      <sheetName val="Trucks Miguel Sub 4-27-15"/>
      <sheetName val="WorkerTrips Miguel Sub 4-27-15"/>
      <sheetName val="Equipment Miguel Sub 5-4-15"/>
      <sheetName val="Trucks Miguel Sub 5-4-15"/>
      <sheetName val="WorkerTrips Miguel Sub 5-4-15"/>
      <sheetName val="Equipment Miguel Sub 5-11-15"/>
      <sheetName val="Trucks Miguel Sub 5-11-15"/>
      <sheetName val="WorkerTrips Miguel Sub 5-11-15"/>
      <sheetName val="Equipment Miguel Sub 5-18-15"/>
      <sheetName val="Trucks Miguel Sub 5-18-15"/>
      <sheetName val="WorkerTrips Miguel Sub 5-18-15"/>
      <sheetName val="Equipment Miguel Sub 5-25-15"/>
      <sheetName val="Trucks Miguel Sub 5-25-15"/>
      <sheetName val="WorkerTrips Miguel Sub 5-25-15"/>
      <sheetName val="Equipment Miguel Sub 6-1-15"/>
      <sheetName val="Trucks Miguel Sub 6-1-15"/>
      <sheetName val="WorkerTrips Miguel Sub 6-1-15"/>
      <sheetName val="Equipment Miguel Sub 6-8-15"/>
      <sheetName val="Trucks Miguel Sub 6-8-15"/>
      <sheetName val="WorkerTrips Miguel Sub 6-8-15"/>
      <sheetName val="Equipment Miguel Sub 6-15-15"/>
      <sheetName val="Trucks Miguel Sub 6-15-15"/>
      <sheetName val="WorkerTrips Miguel Sub 6-15-15"/>
      <sheetName val="Equipment Miguel Sub 6-23-15"/>
      <sheetName val="Trucks Miguel Sub 6-23-15"/>
      <sheetName val="WorkerTrips Miguel Sub 6-23-15"/>
      <sheetName val="Equipment Miguel Sub 6-30-15"/>
      <sheetName val="Trucks Miguel Sub 6-30-15"/>
      <sheetName val="WorkerTrips Miguel Sub 6-30-15"/>
      <sheetName val="Equipment Miguel Sub 7-6-15"/>
      <sheetName val="Trucks Miguel Sub 7-6-15"/>
      <sheetName val="WorkerTrips Miguel Sub 7-6-15"/>
      <sheetName val="Equipment Miguel Sub 7-13-15"/>
      <sheetName val="Trucks Miguel Sub 7-13-15"/>
      <sheetName val="WorkerTrips Miguel Sub 7-13-15"/>
      <sheetName val="Equipment Miguel Sub 7-20-15"/>
      <sheetName val="Trucks Miguel Sub 7-20-15"/>
      <sheetName val="WorkerTrips Miguel Sub 7-20-15"/>
      <sheetName val="Equipment Miguel 12-28-15"/>
      <sheetName val="Construction Truck Mig 12-28-15"/>
      <sheetName val="WorkerTrips Mguel 12-28-15"/>
      <sheetName val="Equipment Miguel 1-4-16"/>
      <sheetName val="Construction Truck Mig 1-4-16"/>
      <sheetName val="WorkerTrips Miguel 1-4-16"/>
      <sheetName val="Equipment Miguel 1-11-16"/>
      <sheetName val="Construction Truck Mig 1-11-16"/>
      <sheetName val="WorkerTrips Miguel 1-11-16"/>
      <sheetName val="Equipment Miguel 1-18-16"/>
      <sheetName val="Construction Truck Mig 1-18-16"/>
      <sheetName val="WorkerTrips Miguel 1-18-16"/>
      <sheetName val="Summary NOx"/>
      <sheetName val="Offroad Tier 2 Alt1"/>
      <sheetName val="Offroad Tiers EF (2)"/>
      <sheetName val="Offroad Tiers LF"/>
      <sheetName val="Chart"/>
      <sheetName val="Summary GHGs"/>
      <sheetName val="Fugitive Dust SC Substation (2)"/>
      <sheetName val="Fugitive Dust M Substation (2)"/>
      <sheetName val="Summary"/>
      <sheetName val="SC Substation Construction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S14">
            <v>39.052803369562639</v>
          </cell>
        </row>
      </sheetData>
      <sheetData sheetId="10" refreshError="1">
        <row r="12">
          <cell r="U12">
            <v>6.168145514179046</v>
          </cell>
        </row>
      </sheetData>
      <sheetData sheetId="11" refreshError="1">
        <row r="89">
          <cell r="G89">
            <v>0.52260835451201659</v>
          </cell>
        </row>
      </sheetData>
      <sheetData sheetId="12" refreshError="1">
        <row r="17">
          <cell r="S17">
            <v>82.806101385435653</v>
          </cell>
        </row>
      </sheetData>
      <sheetData sheetId="13" refreshError="1">
        <row r="12">
          <cell r="U12">
            <v>6.168145514179046</v>
          </cell>
        </row>
      </sheetData>
      <sheetData sheetId="14" refreshError="1">
        <row r="89">
          <cell r="G89">
            <v>0.52260835451201659</v>
          </cell>
        </row>
      </sheetData>
      <sheetData sheetId="15" refreshError="1">
        <row r="17">
          <cell r="S17">
            <v>95.880548461569859</v>
          </cell>
        </row>
      </sheetData>
      <sheetData sheetId="16" refreshError="1">
        <row r="12">
          <cell r="U12">
            <v>6.168145514179046</v>
          </cell>
        </row>
      </sheetData>
      <sheetData sheetId="17" refreshError="1">
        <row r="89">
          <cell r="G89">
            <v>0.52260835451201659</v>
          </cell>
        </row>
      </sheetData>
      <sheetData sheetId="18" refreshError="1">
        <row r="37">
          <cell r="S37">
            <v>152.66786080611971</v>
          </cell>
        </row>
      </sheetData>
      <sheetData sheetId="19" refreshError="1">
        <row r="25">
          <cell r="U25">
            <v>9.4855980027467393</v>
          </cell>
        </row>
      </sheetData>
      <sheetData sheetId="20" refreshError="1">
        <row r="95">
          <cell r="G95">
            <v>1.683960253427609</v>
          </cell>
        </row>
      </sheetData>
      <sheetData sheetId="21" refreshError="1">
        <row r="37">
          <cell r="S37">
            <v>167.71668765797156</v>
          </cell>
        </row>
      </sheetData>
      <sheetData sheetId="22" refreshError="1">
        <row r="26">
          <cell r="U26">
            <v>12.246867830741184</v>
          </cell>
        </row>
      </sheetData>
      <sheetData sheetId="23" refreshError="1">
        <row r="95">
          <cell r="G95">
            <v>1.683960253427609</v>
          </cell>
        </row>
      </sheetData>
      <sheetData sheetId="24" refreshError="1">
        <row r="37">
          <cell r="S37">
            <v>150.97146259528722</v>
          </cell>
        </row>
      </sheetData>
      <sheetData sheetId="25" refreshError="1">
        <row r="25">
          <cell r="U25">
            <v>9.4855980027467393</v>
          </cell>
        </row>
      </sheetData>
      <sheetData sheetId="26" refreshError="1">
        <row r="95">
          <cell r="G95">
            <v>1.683960253427609</v>
          </cell>
        </row>
      </sheetData>
      <sheetData sheetId="27" refreshError="1">
        <row r="20">
          <cell r="S20">
            <v>77.104702240641643</v>
          </cell>
        </row>
      </sheetData>
      <sheetData sheetId="28" refreshError="1">
        <row r="16">
          <cell r="U16">
            <v>2.5911458981037669</v>
          </cell>
        </row>
      </sheetData>
      <sheetData sheetId="29" refreshError="1">
        <row r="92">
          <cell r="G92">
            <v>0.63874354440357595</v>
          </cell>
        </row>
      </sheetData>
      <sheetData sheetId="30" refreshError="1">
        <row r="21">
          <cell r="S21">
            <v>82.289521568037259</v>
          </cell>
        </row>
      </sheetData>
      <sheetData sheetId="31" refreshError="1">
        <row r="16">
          <cell r="U16">
            <v>2.5911458981037669</v>
          </cell>
        </row>
      </sheetData>
      <sheetData sheetId="32" refreshError="1">
        <row r="92">
          <cell r="G92">
            <v>0.63874354440357595</v>
          </cell>
        </row>
      </sheetData>
      <sheetData sheetId="33" refreshError="1">
        <row r="21">
          <cell r="S21">
            <v>82.289521568037259</v>
          </cell>
        </row>
      </sheetData>
      <sheetData sheetId="34" refreshError="1">
        <row r="16">
          <cell r="U16">
            <v>2.5911458981037669</v>
          </cell>
        </row>
      </sheetData>
      <sheetData sheetId="35" refreshError="1">
        <row r="92">
          <cell r="G92">
            <v>0.63874354440357595</v>
          </cell>
        </row>
      </sheetData>
      <sheetData sheetId="36" refreshError="1">
        <row r="21">
          <cell r="S21">
            <v>90.510014216407754</v>
          </cell>
        </row>
      </sheetData>
      <sheetData sheetId="37" refreshError="1">
        <row r="17">
          <cell r="U17">
            <v>113.04193901788155</v>
          </cell>
        </row>
      </sheetData>
      <sheetData sheetId="38" refreshError="1">
        <row r="92">
          <cell r="G92">
            <v>0.63874354440357595</v>
          </cell>
        </row>
      </sheetData>
      <sheetData sheetId="39" refreshError="1">
        <row r="21">
          <cell r="S21">
            <v>90.510014216407754</v>
          </cell>
        </row>
      </sheetData>
      <sheetData sheetId="40" refreshError="1">
        <row r="17">
          <cell r="U17">
            <v>113.04193901788155</v>
          </cell>
        </row>
      </sheetData>
      <sheetData sheetId="41" refreshError="1">
        <row r="92">
          <cell r="G92">
            <v>0.63874354440357595</v>
          </cell>
        </row>
      </sheetData>
      <sheetData sheetId="42" refreshError="1">
        <row r="21">
          <cell r="S21">
            <v>90.510014216407754</v>
          </cell>
        </row>
      </sheetData>
      <sheetData sheetId="43" refreshError="1">
        <row r="17">
          <cell r="U17">
            <v>113.04193901788155</v>
          </cell>
        </row>
      </sheetData>
      <sheetData sheetId="44" refreshError="1">
        <row r="92">
          <cell r="G92">
            <v>0.63874354440357595</v>
          </cell>
        </row>
      </sheetData>
      <sheetData sheetId="45" refreshError="1">
        <row r="21">
          <cell r="S21">
            <v>90.510014216407754</v>
          </cell>
        </row>
      </sheetData>
      <sheetData sheetId="46" refreshError="1">
        <row r="17">
          <cell r="U17">
            <v>113.04193901788155</v>
          </cell>
        </row>
      </sheetData>
      <sheetData sheetId="47" refreshError="1">
        <row r="92">
          <cell r="G92">
            <v>0.63874354440357595</v>
          </cell>
        </row>
      </sheetData>
      <sheetData sheetId="48" refreshError="1">
        <row r="27">
          <cell r="S27">
            <v>109.82542658067939</v>
          </cell>
        </row>
      </sheetData>
      <sheetData sheetId="49" refreshError="1">
        <row r="21">
          <cell r="U21">
            <v>113.84894634061925</v>
          </cell>
        </row>
      </sheetData>
      <sheetData sheetId="50" refreshError="1">
        <row r="93">
          <cell r="G93">
            <v>0.92908151913247405</v>
          </cell>
        </row>
      </sheetData>
      <sheetData sheetId="51" refreshError="1">
        <row r="27">
          <cell r="S27">
            <v>109.82542658067939</v>
          </cell>
        </row>
      </sheetData>
      <sheetData sheetId="52" refreshError="1">
        <row r="21">
          <cell r="U21">
            <v>113.84894634061925</v>
          </cell>
        </row>
      </sheetData>
      <sheetData sheetId="53" refreshError="1">
        <row r="93">
          <cell r="G93">
            <v>0.92908151913247405</v>
          </cell>
        </row>
      </sheetData>
      <sheetData sheetId="54" refreshError="1"/>
      <sheetData sheetId="55" refreshError="1"/>
      <sheetData sheetId="56" refreshError="1"/>
      <sheetData sheetId="57" refreshError="1">
        <row r="40">
          <cell r="S40">
            <v>146.04795157946339</v>
          </cell>
        </row>
      </sheetData>
      <sheetData sheetId="58" refreshError="1">
        <row r="32">
          <cell r="U32">
            <v>41.401602489230392</v>
          </cell>
        </row>
      </sheetData>
      <sheetData sheetId="59" refreshError="1">
        <row r="97">
          <cell r="G97">
            <v>1.5678250635360498</v>
          </cell>
        </row>
      </sheetData>
      <sheetData sheetId="60" refreshError="1">
        <row r="37">
          <cell r="S37">
            <v>124.2792598187702</v>
          </cell>
        </row>
      </sheetData>
      <sheetData sheetId="61" refreshError="1">
        <row r="32">
          <cell r="U32">
            <v>41.401602489230392</v>
          </cell>
        </row>
      </sheetData>
      <sheetData sheetId="62" refreshError="1">
        <row r="97">
          <cell r="G97">
            <v>1.5678250635360498</v>
          </cell>
        </row>
      </sheetData>
      <sheetData sheetId="63" refreshError="1">
        <row r="27">
          <cell r="S27">
            <v>43.176566409154432</v>
          </cell>
        </row>
      </sheetData>
      <sheetData sheetId="64" refreshError="1">
        <row r="26">
          <cell r="U26">
            <v>7.2979557660118219</v>
          </cell>
        </row>
      </sheetData>
      <sheetData sheetId="65" refreshError="1">
        <row r="95">
          <cell r="G95">
            <v>1.1032843039698128</v>
          </cell>
        </row>
      </sheetData>
      <sheetData sheetId="66" refreshError="1">
        <row r="37">
          <cell r="S37">
            <v>80.095505162314979</v>
          </cell>
        </row>
      </sheetData>
      <sheetData sheetId="67" refreshError="1">
        <row r="31">
          <cell r="U31">
            <v>9.1627950736516617</v>
          </cell>
        </row>
      </sheetData>
      <sheetData sheetId="68" refreshError="1">
        <row r="97">
          <cell r="G97">
            <v>1.8000954433191683</v>
          </cell>
        </row>
      </sheetData>
      <sheetData sheetId="69" refreshError="1">
        <row r="38">
          <cell r="S38">
            <v>97.772506610434988</v>
          </cell>
        </row>
      </sheetData>
      <sheetData sheetId="70" refreshError="1">
        <row r="31">
          <cell r="U31">
            <v>9.1627950736516617</v>
          </cell>
        </row>
      </sheetData>
      <sheetData sheetId="71" refreshError="1">
        <row r="97">
          <cell r="G97">
            <v>1.8000954433191683</v>
          </cell>
        </row>
      </sheetData>
      <sheetData sheetId="72" refreshError="1">
        <row r="29">
          <cell r="S29">
            <v>42.52451078746131</v>
          </cell>
        </row>
      </sheetData>
      <sheetData sheetId="73" refreshError="1">
        <row r="26">
          <cell r="U26">
            <v>5.5945179229195201</v>
          </cell>
        </row>
      </sheetData>
      <sheetData sheetId="74" refreshError="1">
        <row r="95">
          <cell r="G95">
            <v>1.5097574685902702</v>
          </cell>
        </row>
      </sheetData>
      <sheetData sheetId="75" refreshError="1">
        <row r="29">
          <cell r="S29">
            <v>42.52451078746131</v>
          </cell>
        </row>
      </sheetData>
      <sheetData sheetId="76" refreshError="1">
        <row r="27">
          <cell r="U27">
            <v>36.658803487857021</v>
          </cell>
        </row>
      </sheetData>
      <sheetData sheetId="77" refreshError="1">
        <row r="95">
          <cell r="G95">
            <v>1.5097574685902702</v>
          </cell>
        </row>
      </sheetData>
      <sheetData sheetId="78" refreshError="1">
        <row r="23">
          <cell r="S23">
            <v>27.792081051055629</v>
          </cell>
        </row>
      </sheetData>
      <sheetData sheetId="79" refreshError="1">
        <row r="23">
          <cell r="U23">
            <v>56.884122804172733</v>
          </cell>
        </row>
      </sheetData>
      <sheetData sheetId="80" refreshError="1">
        <row r="93">
          <cell r="G93">
            <v>1.2194194938613721</v>
          </cell>
        </row>
      </sheetData>
      <sheetData sheetId="81" refreshError="1">
        <row r="24">
          <cell r="S24">
            <v>27.980760122185952</v>
          </cell>
        </row>
      </sheetData>
      <sheetData sheetId="82" refreshError="1">
        <row r="23">
          <cell r="U23">
            <v>56.884122804172733</v>
          </cell>
        </row>
      </sheetData>
      <sheetData sheetId="83" refreshError="1">
        <row r="93">
          <cell r="G93">
            <v>1.2194194938613721</v>
          </cell>
        </row>
      </sheetData>
      <sheetData sheetId="84" refreshError="1">
        <row r="24">
          <cell r="S24">
            <v>27.980760122185952</v>
          </cell>
        </row>
      </sheetData>
      <sheetData sheetId="85" refreshError="1">
        <row r="22">
          <cell r="U22">
            <v>25.819837239235234</v>
          </cell>
        </row>
      </sheetData>
      <sheetData sheetId="86" refreshError="1">
        <row r="93">
          <cell r="G93">
            <v>1.2194194938613721</v>
          </cell>
        </row>
      </sheetData>
      <sheetData sheetId="87" refreshError="1">
        <row r="24">
          <cell r="S24">
            <v>27.980760122185952</v>
          </cell>
        </row>
      </sheetData>
      <sheetData sheetId="88" refreshError="1">
        <row r="21">
          <cell r="U21">
            <v>3.7296786152796804</v>
          </cell>
        </row>
      </sheetData>
      <sheetData sheetId="89" refreshError="1">
        <row r="93">
          <cell r="G93">
            <v>1.2194194938613721</v>
          </cell>
        </row>
      </sheetData>
      <sheetData sheetId="90" refreshError="1">
        <row r="23">
          <cell r="S23">
            <v>27.792081051055629</v>
          </cell>
        </row>
      </sheetData>
      <sheetData sheetId="91" refreshError="1">
        <row r="21">
          <cell r="U21">
            <v>3.7296786152796804</v>
          </cell>
        </row>
      </sheetData>
      <sheetData sheetId="92" refreshError="1">
        <row r="93">
          <cell r="G93">
            <v>1.2194194938613721</v>
          </cell>
        </row>
      </sheetData>
      <sheetData sheetId="93" refreshError="1">
        <row r="18">
          <cell r="S18">
            <v>14.73107884759923</v>
          </cell>
        </row>
      </sheetData>
      <sheetData sheetId="94" refreshError="1">
        <row r="16">
          <cell r="U16">
            <v>2.1069415044611493</v>
          </cell>
        </row>
      </sheetData>
      <sheetData sheetId="95" refreshError="1">
        <row r="91">
          <cell r="G91">
            <v>1.0452167090240332</v>
          </cell>
        </row>
      </sheetData>
      <sheetData sheetId="96" refreshError="1">
        <row r="18">
          <cell r="S18">
            <v>14.73107884759923</v>
          </cell>
        </row>
      </sheetData>
      <sheetData sheetId="97" refreshError="1">
        <row r="16">
          <cell r="U16">
            <v>2.1069415044611493</v>
          </cell>
        </row>
      </sheetData>
      <sheetData sheetId="98" refreshError="1">
        <row r="91">
          <cell r="G91">
            <v>1.0452167090240332</v>
          </cell>
        </row>
      </sheetData>
      <sheetData sheetId="99" refreshError="1">
        <row r="22">
          <cell r="S22">
            <v>16.940704028614231</v>
          </cell>
        </row>
      </sheetData>
      <sheetData sheetId="100" refreshError="1">
        <row r="20">
          <cell r="U20">
            <v>3.4875764184583717</v>
          </cell>
        </row>
      </sheetData>
      <sheetData sheetId="101" refreshError="1">
        <row r="93">
          <cell r="G93">
            <v>1.0452167090240332</v>
          </cell>
        </row>
      </sheetData>
      <sheetData sheetId="102" refreshError="1">
        <row r="21">
          <cell r="S21">
            <v>13.952294306392009</v>
          </cell>
        </row>
      </sheetData>
      <sheetData sheetId="103" refreshError="1">
        <row r="17">
          <cell r="U17">
            <v>2.1069415044611493</v>
          </cell>
        </row>
      </sheetData>
      <sheetData sheetId="104" refreshError="1">
        <row r="93">
          <cell r="G93">
            <v>1.0452167090240332</v>
          </cell>
        </row>
      </sheetData>
      <sheetData sheetId="105" refreshError="1">
        <row r="21">
          <cell r="S21">
            <v>13.952294306392009</v>
          </cell>
        </row>
      </sheetData>
      <sheetData sheetId="106" refreshError="1">
        <row r="17">
          <cell r="U17">
            <v>2.1069415044611493</v>
          </cell>
        </row>
      </sheetData>
      <sheetData sheetId="107" refreshError="1">
        <row r="93">
          <cell r="G93">
            <v>1.0452167090240332</v>
          </cell>
        </row>
      </sheetData>
      <sheetData sheetId="108" refreshError="1">
        <row r="22">
          <cell r="S22">
            <v>16.940704028614231</v>
          </cell>
        </row>
      </sheetData>
      <sheetData sheetId="109" refreshError="1">
        <row r="17">
          <cell r="U17">
            <v>2.1069415044611493</v>
          </cell>
        </row>
      </sheetData>
      <sheetData sheetId="110" refreshError="1">
        <row r="93">
          <cell r="G93">
            <v>1.0452167090240332</v>
          </cell>
        </row>
      </sheetData>
      <sheetData sheetId="111" refreshError="1">
        <row r="22">
          <cell r="S22">
            <v>16.940704028614231</v>
          </cell>
        </row>
      </sheetData>
      <sheetData sheetId="112" refreshError="1">
        <row r="17">
          <cell r="U17">
            <v>2.1069415044611493</v>
          </cell>
        </row>
      </sheetData>
      <sheetData sheetId="113" refreshError="1">
        <row r="93">
          <cell r="G93">
            <v>1.0452167090240332</v>
          </cell>
        </row>
      </sheetData>
      <sheetData sheetId="114" refreshError="1">
        <row r="22">
          <cell r="S22">
            <v>16.940704028614231</v>
          </cell>
        </row>
      </sheetData>
      <sheetData sheetId="115" refreshError="1">
        <row r="17">
          <cell r="U17">
            <v>2.1069415044611493</v>
          </cell>
        </row>
      </sheetData>
      <sheetData sheetId="116" refreshError="1">
        <row r="93">
          <cell r="G93">
            <v>1.0452167090240332</v>
          </cell>
        </row>
      </sheetData>
      <sheetData sheetId="117" refreshError="1">
        <row r="22">
          <cell r="S22">
            <v>16.940704028614231</v>
          </cell>
        </row>
      </sheetData>
      <sheetData sheetId="118" refreshError="1">
        <row r="17">
          <cell r="U17">
            <v>2.1069415044611493</v>
          </cell>
        </row>
      </sheetData>
      <sheetData sheetId="119" refreshError="1">
        <row r="93">
          <cell r="G93">
            <v>1.0452167090240332</v>
          </cell>
        </row>
      </sheetData>
      <sheetData sheetId="120" refreshError="1">
        <row r="21">
          <cell r="S21">
            <v>13.952294306392009</v>
          </cell>
        </row>
      </sheetData>
      <sheetData sheetId="121" refreshError="1">
        <row r="17">
          <cell r="U17">
            <v>2.1069415044611493</v>
          </cell>
        </row>
      </sheetData>
      <sheetData sheetId="122" refreshError="1">
        <row r="93">
          <cell r="G93">
            <v>1.0452167090240332</v>
          </cell>
        </row>
      </sheetData>
      <sheetData sheetId="123" refreshError="1">
        <row r="21">
          <cell r="S21">
            <v>13.952294306392009</v>
          </cell>
        </row>
      </sheetData>
      <sheetData sheetId="124" refreshError="1">
        <row r="17">
          <cell r="U17">
            <v>2.1069415044611493</v>
          </cell>
        </row>
      </sheetData>
      <sheetData sheetId="125" refreshError="1">
        <row r="93">
          <cell r="G93">
            <v>1.0452167090240332</v>
          </cell>
        </row>
      </sheetData>
      <sheetData sheetId="126" refreshError="1">
        <row r="21">
          <cell r="S21">
            <v>13.952294306392009</v>
          </cell>
        </row>
      </sheetData>
      <sheetData sheetId="127" refreshError="1">
        <row r="17">
          <cell r="U17">
            <v>2.1069415044611493</v>
          </cell>
        </row>
      </sheetData>
      <sheetData sheetId="128" refreshError="1">
        <row r="93">
          <cell r="G93">
            <v>1.0452167090240332</v>
          </cell>
        </row>
      </sheetData>
      <sheetData sheetId="129" refreshError="1">
        <row r="21">
          <cell r="S21">
            <v>13.952294306392009</v>
          </cell>
        </row>
      </sheetData>
      <sheetData sheetId="130" refreshError="1">
        <row r="17">
          <cell r="U17">
            <v>2.1069415044611493</v>
          </cell>
        </row>
      </sheetData>
      <sheetData sheetId="131" refreshError="1">
        <row r="93">
          <cell r="G93">
            <v>1.0452167090240332</v>
          </cell>
        </row>
      </sheetData>
      <sheetData sheetId="132" refreshError="1">
        <row r="27">
          <cell r="S27">
            <v>40.467796478572026</v>
          </cell>
        </row>
      </sheetData>
      <sheetData sheetId="133" refreshError="1">
        <row r="20">
          <cell r="U20">
            <v>2.3490437012824583</v>
          </cell>
        </row>
      </sheetData>
      <sheetData sheetId="134" refreshError="1">
        <row r="95">
          <cell r="G95">
            <v>1.0452167090240332</v>
          </cell>
        </row>
      </sheetData>
      <sheetData sheetId="135" refreshError="1">
        <row r="27">
          <cell r="S27">
            <v>40.467796478572026</v>
          </cell>
        </row>
      </sheetData>
      <sheetData sheetId="136" refreshError="1">
        <row r="20">
          <cell r="U20">
            <v>2.3490437012824583</v>
          </cell>
        </row>
      </sheetData>
      <sheetData sheetId="137" refreshError="1">
        <row r="95">
          <cell r="G95">
            <v>1.0452167090240332</v>
          </cell>
        </row>
      </sheetData>
      <sheetData sheetId="138" refreshError="1">
        <row r="21">
          <cell r="S21">
            <v>33.273019200876689</v>
          </cell>
        </row>
      </sheetData>
      <sheetData sheetId="139" refreshError="1">
        <row r="16">
          <cell r="U16">
            <v>1.8648393076398402</v>
          </cell>
        </row>
      </sheetData>
      <sheetData sheetId="140" refreshError="1">
        <row r="93">
          <cell r="G93">
            <v>0.17420278483733889</v>
          </cell>
        </row>
      </sheetData>
      <sheetData sheetId="141" refreshError="1">
        <row r="21">
          <cell r="S21">
            <v>33.273019200876689</v>
          </cell>
        </row>
      </sheetData>
      <sheetData sheetId="142" refreshError="1">
        <row r="16">
          <cell r="U16">
            <v>1.8648393076398402</v>
          </cell>
        </row>
      </sheetData>
      <sheetData sheetId="143" refreshError="1">
        <row r="93">
          <cell r="G93">
            <v>0.17420278483733889</v>
          </cell>
        </row>
      </sheetData>
      <sheetData sheetId="144" refreshError="1">
        <row r="22">
          <cell r="S22">
            <v>35.182401916926068</v>
          </cell>
        </row>
      </sheetData>
      <sheetData sheetId="145" refreshError="1">
        <row r="17">
          <cell r="U17">
            <v>3.2454742216370622</v>
          </cell>
        </row>
      </sheetData>
      <sheetData sheetId="146" refreshError="1">
        <row r="93">
          <cell r="G93">
            <v>0.17420278483733889</v>
          </cell>
        </row>
      </sheetData>
      <sheetData sheetId="147" refreshError="1">
        <row r="23">
          <cell r="S23">
            <v>45.947921833668701</v>
          </cell>
        </row>
      </sheetData>
      <sheetData sheetId="148" refreshError="1">
        <row r="16">
          <cell r="U16">
            <v>1.8648393076398402</v>
          </cell>
        </row>
      </sheetData>
      <sheetData sheetId="149" refreshError="1">
        <row r="93">
          <cell r="G93">
            <v>0.17420278483733889</v>
          </cell>
        </row>
      </sheetData>
      <sheetData sheetId="150" refreshError="1">
        <row r="22">
          <cell r="S22">
            <v>35.182401916926068</v>
          </cell>
        </row>
      </sheetData>
      <sheetData sheetId="151" refreshError="1">
        <row r="21">
          <cell r="U21">
            <v>3.3261749539108321</v>
          </cell>
        </row>
      </sheetData>
      <sheetData sheetId="152" refreshError="1">
        <row r="95">
          <cell r="G95">
            <v>0.17420278483733889</v>
          </cell>
        </row>
      </sheetData>
      <sheetData sheetId="153" refreshError="1">
        <row r="22">
          <cell r="S22">
            <v>35.182401916926068</v>
          </cell>
        </row>
      </sheetData>
      <sheetData sheetId="154" refreshError="1">
        <row r="20">
          <cell r="U20">
            <v>1.9455400399136098</v>
          </cell>
        </row>
      </sheetData>
      <sheetData sheetId="155" refreshError="1">
        <row r="95">
          <cell r="G95">
            <v>0.17420278483733889</v>
          </cell>
        </row>
      </sheetData>
      <sheetData sheetId="156" refreshError="1">
        <row r="22">
          <cell r="S22">
            <v>35.182401916926068</v>
          </cell>
        </row>
      </sheetData>
      <sheetData sheetId="157" refreshError="1">
        <row r="20">
          <cell r="U20">
            <v>1.9455400399136098</v>
          </cell>
        </row>
      </sheetData>
      <sheetData sheetId="158" refreshError="1">
        <row r="95">
          <cell r="G95">
            <v>0.17420278483733889</v>
          </cell>
        </row>
      </sheetData>
      <sheetData sheetId="159" refreshError="1">
        <row r="23">
          <cell r="S23">
            <v>57.836761339841537</v>
          </cell>
        </row>
      </sheetData>
      <sheetData sheetId="160" refreshError="1">
        <row r="20">
          <cell r="U20">
            <v>1.9455400399136098</v>
          </cell>
        </row>
      </sheetData>
      <sheetData sheetId="161" refreshError="1">
        <row r="95">
          <cell r="G95">
            <v>0.17420278483733889</v>
          </cell>
        </row>
      </sheetData>
      <sheetData sheetId="162" refreshError="1">
        <row r="21">
          <cell r="S21">
            <v>33.273019200876689</v>
          </cell>
        </row>
      </sheetData>
      <sheetData sheetId="163" refreshError="1">
        <row r="20">
          <cell r="U20">
            <v>1.9455400399136098</v>
          </cell>
        </row>
      </sheetData>
      <sheetData sheetId="164" refreshError="1">
        <row r="95">
          <cell r="G95">
            <v>0.17420278483733889</v>
          </cell>
        </row>
      </sheetData>
      <sheetData sheetId="165" refreshError="1">
        <row r="21">
          <cell r="S21">
            <v>33.273019200876689</v>
          </cell>
        </row>
      </sheetData>
      <sheetData sheetId="166" refreshError="1">
        <row r="20">
          <cell r="U20">
            <v>1.9455400399136098</v>
          </cell>
        </row>
      </sheetData>
      <sheetData sheetId="167" refreshError="1">
        <row r="95">
          <cell r="G95">
            <v>0.17420278483733889</v>
          </cell>
        </row>
      </sheetData>
      <sheetData sheetId="168" refreshError="1">
        <row r="20">
          <cell r="S20">
            <v>24.434518476816681</v>
          </cell>
        </row>
      </sheetData>
      <sheetData sheetId="169" refreshError="1">
        <row r="20">
          <cell r="U20">
            <v>1.9455400399136098</v>
          </cell>
        </row>
      </sheetData>
      <sheetData sheetId="170" refreshError="1">
        <row r="95">
          <cell r="G95">
            <v>0.17420278483733889</v>
          </cell>
        </row>
      </sheetData>
      <sheetData sheetId="171" refreshError="1">
        <row r="20">
          <cell r="S20">
            <v>24.434518476816681</v>
          </cell>
        </row>
      </sheetData>
      <sheetData sheetId="172" refreshError="1">
        <row r="20">
          <cell r="U20">
            <v>1.9455400399136098</v>
          </cell>
        </row>
      </sheetData>
      <sheetData sheetId="173" refreshError="1">
        <row r="95">
          <cell r="G95">
            <v>0.17420278483733889</v>
          </cell>
        </row>
      </sheetData>
      <sheetData sheetId="174" refreshError="1">
        <row r="20">
          <cell r="S20">
            <v>24.434518476816681</v>
          </cell>
        </row>
      </sheetData>
      <sheetData sheetId="175" refreshError="1"/>
      <sheetData sheetId="176" refreshError="1"/>
      <sheetData sheetId="177" refreshError="1">
        <row r="16">
          <cell r="S16">
            <v>6.7575170286966681</v>
          </cell>
        </row>
      </sheetData>
      <sheetData sheetId="178" refreshError="1">
        <row r="13">
          <cell r="U13">
            <v>1.6227371108185311</v>
          </cell>
        </row>
      </sheetData>
      <sheetData sheetId="179" refreshError="1">
        <row r="91">
          <cell r="G91">
            <v>0.17420278483733889</v>
          </cell>
        </row>
      </sheetData>
      <sheetData sheetId="180" refreshError="1"/>
      <sheetData sheetId="181" refreshError="1"/>
      <sheetData sheetId="182" refreshError="1"/>
      <sheetData sheetId="183" refreshError="1">
        <row r="15">
          <cell r="S15">
            <v>6.7575170286966681</v>
          </cell>
        </row>
      </sheetData>
      <sheetData sheetId="184" refreshError="1">
        <row r="13">
          <cell r="U13">
            <v>1.6227371108185311</v>
          </cell>
        </row>
      </sheetData>
      <sheetData sheetId="185" refreshError="1">
        <row r="91">
          <cell r="G91">
            <v>0.29033797472889816</v>
          </cell>
        </row>
      </sheetData>
      <sheetData sheetId="186" refreshError="1">
        <row r="9">
          <cell r="S9">
            <v>2.2096251810150016</v>
          </cell>
        </row>
      </sheetData>
      <sheetData sheetId="187" refreshError="1">
        <row r="8">
          <cell r="U8">
            <v>0</v>
          </cell>
        </row>
      </sheetData>
      <sheetData sheetId="188" refreshError="1">
        <row r="89">
          <cell r="G89">
            <v>0.11613518989155926</v>
          </cell>
        </row>
      </sheetData>
      <sheetData sheetId="189" refreshError="1">
        <row r="9">
          <cell r="S9">
            <v>2.2096251810150016</v>
          </cell>
        </row>
      </sheetData>
      <sheetData sheetId="190" refreshError="1">
        <row r="8">
          <cell r="U8">
            <v>0</v>
          </cell>
        </row>
      </sheetData>
      <sheetData sheetId="191" refreshError="1">
        <row r="89">
          <cell r="G89">
            <v>0.11613518989155926</v>
          </cell>
        </row>
      </sheetData>
      <sheetData sheetId="192" refreshError="1">
        <row r="9">
          <cell r="S9">
            <v>2.2096251810150016</v>
          </cell>
        </row>
      </sheetData>
      <sheetData sheetId="193" refreshError="1">
        <row r="11">
          <cell r="U11">
            <v>0.24210219682130896</v>
          </cell>
        </row>
      </sheetData>
      <sheetData sheetId="194" refreshError="1">
        <row r="89">
          <cell r="G89">
            <v>0.17420278483733889</v>
          </cell>
        </row>
      </sheetData>
      <sheetData sheetId="195" refreshError="1">
        <row r="9">
          <cell r="S9">
            <v>2.2096251810150016</v>
          </cell>
        </row>
      </sheetData>
      <sheetData sheetId="196" refreshError="1">
        <row r="11">
          <cell r="U11">
            <v>0.24210219682130896</v>
          </cell>
        </row>
      </sheetData>
      <sheetData sheetId="197" refreshError="1">
        <row r="89">
          <cell r="G89">
            <v>0.17420278483733889</v>
          </cell>
        </row>
      </sheetData>
      <sheetData sheetId="198" refreshError="1">
        <row r="9">
          <cell r="S9">
            <v>2.2096251810150016</v>
          </cell>
        </row>
      </sheetData>
      <sheetData sheetId="199" refreshError="1">
        <row r="11">
          <cell r="U11">
            <v>0.24210219682130896</v>
          </cell>
        </row>
      </sheetData>
      <sheetData sheetId="200" refreshError="1">
        <row r="89">
          <cell r="G89">
            <v>0.17420278483733889</v>
          </cell>
        </row>
      </sheetData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>
        <row r="13">
          <cell r="U13">
            <v>0.32280292909507863</v>
          </cell>
        </row>
      </sheetData>
      <sheetData sheetId="228" refreshError="1">
        <row r="88">
          <cell r="G88">
            <v>0.63874354440357595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>
        <row r="18">
          <cell r="U18">
            <v>4.464707671086745</v>
          </cell>
        </row>
      </sheetData>
      <sheetData sheetId="234" refreshError="1">
        <row r="91">
          <cell r="G91">
            <v>1.7420278483733886</v>
          </cell>
        </row>
      </sheetData>
      <sheetData sheetId="235" refreshError="1"/>
      <sheetData sheetId="236" refreshError="1">
        <row r="12">
          <cell r="U12">
            <v>4.1419047419916666</v>
          </cell>
        </row>
      </sheetData>
      <sheetData sheetId="237" refreshError="1">
        <row r="91">
          <cell r="G91">
            <v>1.7420278483733886</v>
          </cell>
        </row>
      </sheetData>
      <sheetData sheetId="238" refreshError="1"/>
      <sheetData sheetId="239" refreshError="1">
        <row r="12">
          <cell r="U12">
            <v>1.3806349139972223</v>
          </cell>
        </row>
      </sheetData>
      <sheetData sheetId="240" refreshError="1">
        <row r="89">
          <cell r="G89">
            <v>0.34840556967467778</v>
          </cell>
        </row>
      </sheetData>
      <sheetData sheetId="241" refreshError="1"/>
      <sheetData sheetId="242" refreshError="1"/>
      <sheetData sheetId="243" refreshError="1">
        <row r="89">
          <cell r="G89">
            <v>0.34840556967467778</v>
          </cell>
        </row>
      </sheetData>
      <sheetData sheetId="244" refreshError="1"/>
      <sheetData sheetId="245" refreshError="1">
        <row r="12">
          <cell r="U12">
            <v>4.1419047419916666</v>
          </cell>
        </row>
      </sheetData>
      <sheetData sheetId="246" refreshError="1">
        <row r="89">
          <cell r="G89">
            <v>1.3936222786987111</v>
          </cell>
        </row>
      </sheetData>
      <sheetData sheetId="247" refreshError="1"/>
      <sheetData sheetId="248" refreshError="1">
        <row r="12">
          <cell r="U12">
            <v>4.1419047419916666</v>
          </cell>
        </row>
      </sheetData>
      <sheetData sheetId="249" refreshError="1">
        <row r="89">
          <cell r="G89">
            <v>1.3936222786987111</v>
          </cell>
        </row>
      </sheetData>
      <sheetData sheetId="250" refreshError="1"/>
      <sheetData sheetId="251" refreshError="1">
        <row r="12">
          <cell r="U12">
            <v>4.1419047419916666</v>
          </cell>
        </row>
      </sheetData>
      <sheetData sheetId="252" refreshError="1">
        <row r="89">
          <cell r="G89">
            <v>1.3936222786987111</v>
          </cell>
        </row>
      </sheetData>
      <sheetData sheetId="253" refreshError="1"/>
      <sheetData sheetId="254" refreshError="1">
        <row r="12">
          <cell r="U12">
            <v>4.1419047419916666</v>
          </cell>
        </row>
      </sheetData>
      <sheetData sheetId="255" refreshError="1">
        <row r="89">
          <cell r="G89">
            <v>1.3936222786987111</v>
          </cell>
        </row>
      </sheetData>
      <sheetData sheetId="256" refreshError="1"/>
      <sheetData sheetId="257" refreshError="1">
        <row r="16">
          <cell r="U16">
            <v>6.9031745699861116</v>
          </cell>
        </row>
      </sheetData>
      <sheetData sheetId="258" refreshError="1">
        <row r="91">
          <cell r="G91">
            <v>3.3098529119094389</v>
          </cell>
        </row>
      </sheetData>
      <sheetData sheetId="259" refreshError="1"/>
      <sheetData sheetId="260" refreshError="1">
        <row r="16">
          <cell r="U16">
            <v>6.9031745699861116</v>
          </cell>
        </row>
      </sheetData>
      <sheetData sheetId="261" refreshError="1">
        <row r="91">
          <cell r="G91">
            <v>3.3098529119094389</v>
          </cell>
        </row>
      </sheetData>
      <sheetData sheetId="262" refreshError="1"/>
      <sheetData sheetId="263" refreshError="1">
        <row r="9">
          <cell r="U9">
            <v>2.7612698279944445</v>
          </cell>
        </row>
      </sheetData>
      <sheetData sheetId="264" refreshError="1">
        <row r="89">
          <cell r="G89">
            <v>1.9162306332107277</v>
          </cell>
        </row>
      </sheetData>
      <sheetData sheetId="265" refreshError="1"/>
      <sheetData sheetId="266" refreshError="1">
        <row r="9">
          <cell r="U9">
            <v>2.7612698279944445</v>
          </cell>
        </row>
      </sheetData>
      <sheetData sheetId="267" refreshError="1">
        <row r="89">
          <cell r="G89">
            <v>1.9162306332107277</v>
          </cell>
        </row>
      </sheetData>
      <sheetData sheetId="268" refreshError="1"/>
      <sheetData sheetId="269" refreshError="1">
        <row r="12">
          <cell r="U12">
            <v>0.16140146454753931</v>
          </cell>
        </row>
      </sheetData>
      <sheetData sheetId="270" refreshError="1">
        <row r="89">
          <cell r="G89">
            <v>0.75487873429513508</v>
          </cell>
        </row>
      </sheetData>
      <sheetData sheetId="271" refreshError="1">
        <row r="12">
          <cell r="S12">
            <v>45.108919562906692</v>
          </cell>
        </row>
      </sheetData>
      <sheetData sheetId="272" refreshError="1"/>
      <sheetData sheetId="273" refreshError="1"/>
      <sheetData sheetId="274" refreshError="1">
        <row r="12">
          <cell r="S12">
            <v>45.108919562906692</v>
          </cell>
        </row>
      </sheetData>
      <sheetData sheetId="275" refreshError="1"/>
      <sheetData sheetId="276" refreshError="1"/>
      <sheetData sheetId="277" refreshError="1">
        <row r="13">
          <cell r="S13">
            <v>48.722925415418018</v>
          </cell>
        </row>
      </sheetData>
      <sheetData sheetId="278" refreshError="1">
        <row r="12">
          <cell r="U12">
            <v>1.5420363785447615</v>
          </cell>
        </row>
      </sheetData>
      <sheetData sheetId="279" refreshError="1">
        <row r="89">
          <cell r="G89">
            <v>0.29033797472889811</v>
          </cell>
        </row>
      </sheetData>
      <sheetData sheetId="280" refreshError="1">
        <row r="13">
          <cell r="S13">
            <v>47.102676360014399</v>
          </cell>
        </row>
      </sheetData>
      <sheetData sheetId="281" refreshError="1">
        <row r="12">
          <cell r="U12">
            <v>1.5420363785447615</v>
          </cell>
        </row>
      </sheetData>
      <sheetData sheetId="282" refreshError="1">
        <row r="89">
          <cell r="G89">
            <v>0.29033797472889811</v>
          </cell>
        </row>
      </sheetData>
      <sheetData sheetId="283" refreshError="1">
        <row r="12">
          <cell r="S12">
            <v>67.492462280867969</v>
          </cell>
        </row>
      </sheetData>
      <sheetData sheetId="284" refreshError="1">
        <row r="11">
          <cell r="U11">
            <v>8.2838094839833332</v>
          </cell>
        </row>
      </sheetData>
      <sheetData sheetId="285" refreshError="1">
        <row r="89">
          <cell r="G89">
            <v>0.29033797472889811</v>
          </cell>
        </row>
      </sheetData>
      <sheetData sheetId="286" refreshError="1">
        <row r="12">
          <cell r="S12">
            <v>67.492462280867969</v>
          </cell>
        </row>
      </sheetData>
      <sheetData sheetId="287" refreshError="1">
        <row r="11">
          <cell r="U11">
            <v>8.2838094839833332</v>
          </cell>
        </row>
      </sheetData>
      <sheetData sheetId="288" refreshError="1">
        <row r="89">
          <cell r="G89">
            <v>0.29033797472889811</v>
          </cell>
        </row>
      </sheetData>
      <sheetData sheetId="289" refreshError="1">
        <row r="12">
          <cell r="S12">
            <v>67.492462280867969</v>
          </cell>
        </row>
      </sheetData>
      <sheetData sheetId="290" refreshError="1">
        <row r="11">
          <cell r="U11">
            <v>8.2838094839833332</v>
          </cell>
        </row>
      </sheetData>
      <sheetData sheetId="291" refreshError="1">
        <row r="89">
          <cell r="G89">
            <v>0.29033797472889811</v>
          </cell>
        </row>
      </sheetData>
      <sheetData sheetId="292" refreshError="1">
        <row r="14">
          <cell r="S14">
            <v>57.868196276757018</v>
          </cell>
        </row>
      </sheetData>
      <sheetData sheetId="293" refreshError="1">
        <row r="12">
          <cell r="U12">
            <v>1.5420363785447615</v>
          </cell>
        </row>
      </sheetData>
      <sheetData sheetId="294" refreshError="1">
        <row r="89">
          <cell r="G89">
            <v>0.29033797472889811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>
        <row r="9">
          <cell r="U9">
            <v>0</v>
          </cell>
        </row>
      </sheetData>
      <sheetData sheetId="300" refreshError="1">
        <row r="90">
          <cell r="G90">
            <v>0.29033797472889811</v>
          </cell>
        </row>
      </sheetData>
      <sheetData sheetId="301" refreshError="1"/>
      <sheetData sheetId="302" refreshError="1">
        <row r="14">
          <cell r="U14">
            <v>0.16140146454753931</v>
          </cell>
        </row>
      </sheetData>
      <sheetData sheetId="303" refreshError="1">
        <row r="91">
          <cell r="G91">
            <v>0.29033797472889811</v>
          </cell>
        </row>
      </sheetData>
      <sheetData sheetId="304" refreshError="1"/>
      <sheetData sheetId="305" refreshError="1">
        <row r="14">
          <cell r="U14">
            <v>0.16140146454753931</v>
          </cell>
        </row>
      </sheetData>
      <sheetData sheetId="306" refreshError="1">
        <row r="91">
          <cell r="G91">
            <v>3.0775825321263204</v>
          </cell>
        </row>
      </sheetData>
      <sheetData sheetId="307" refreshError="1"/>
      <sheetData sheetId="308" refreshError="1">
        <row r="14">
          <cell r="U14">
            <v>0.16140146454753931</v>
          </cell>
        </row>
      </sheetData>
      <sheetData sheetId="309" refreshError="1">
        <row r="91">
          <cell r="G91">
            <v>3.0775825321263204</v>
          </cell>
        </row>
      </sheetData>
      <sheetData sheetId="310" refreshError="1"/>
      <sheetData sheetId="311" refreshError="1">
        <row r="14">
          <cell r="U14">
            <v>0.16140146454753931</v>
          </cell>
        </row>
      </sheetData>
      <sheetData sheetId="312" refreshError="1">
        <row r="91">
          <cell r="G91">
            <v>3.0775825321263204</v>
          </cell>
        </row>
      </sheetData>
      <sheetData sheetId="313" refreshError="1"/>
      <sheetData sheetId="314" refreshError="1">
        <row r="14">
          <cell r="U14">
            <v>0.16140146454753931</v>
          </cell>
        </row>
      </sheetData>
      <sheetData sheetId="315" refreshError="1">
        <row r="91">
          <cell r="G91">
            <v>3.0775825321263204</v>
          </cell>
        </row>
      </sheetData>
      <sheetData sheetId="316" refreshError="1"/>
      <sheetData sheetId="317" refreshError="1">
        <row r="14">
          <cell r="U14">
            <v>0.16140146454753931</v>
          </cell>
        </row>
      </sheetData>
      <sheetData sheetId="318" refreshError="1">
        <row r="91">
          <cell r="G91">
            <v>3.0775825321263204</v>
          </cell>
        </row>
      </sheetData>
      <sheetData sheetId="319" refreshError="1"/>
      <sheetData sheetId="320" refreshError="1">
        <row r="9">
          <cell r="U9">
            <v>9.6644443979805565</v>
          </cell>
        </row>
      </sheetData>
      <sheetData sheetId="321" refreshError="1">
        <row r="89">
          <cell r="G89">
            <v>2.7872445573974223</v>
          </cell>
        </row>
      </sheetData>
      <sheetData sheetId="322" refreshError="1"/>
      <sheetData sheetId="323" refreshError="1">
        <row r="9">
          <cell r="U9">
            <v>9.6644443979805565</v>
          </cell>
        </row>
      </sheetData>
      <sheetData sheetId="324" refreshError="1">
        <row r="89">
          <cell r="G89">
            <v>2.7872445573974223</v>
          </cell>
        </row>
      </sheetData>
      <sheetData sheetId="325" refreshError="1"/>
      <sheetData sheetId="326" refreshError="1">
        <row r="9">
          <cell r="U9">
            <v>0</v>
          </cell>
        </row>
      </sheetData>
      <sheetData sheetId="327" refreshError="1">
        <row r="89">
          <cell r="G89">
            <v>2.7872445573974223</v>
          </cell>
        </row>
      </sheetData>
      <sheetData sheetId="328" refreshError="1"/>
      <sheetData sheetId="329" refreshError="1">
        <row r="9">
          <cell r="U9">
            <v>0</v>
          </cell>
        </row>
      </sheetData>
      <sheetData sheetId="330" refreshError="1">
        <row r="89">
          <cell r="G89">
            <v>2.7872445573974223</v>
          </cell>
        </row>
      </sheetData>
      <sheetData sheetId="331" refreshError="1"/>
      <sheetData sheetId="332" refreshError="1">
        <row r="9">
          <cell r="U9">
            <v>0</v>
          </cell>
        </row>
      </sheetData>
      <sheetData sheetId="333" refreshError="1">
        <row r="89">
          <cell r="G89">
            <v>2.7872445573974223</v>
          </cell>
        </row>
      </sheetData>
      <sheetData sheetId="334" refreshError="1"/>
      <sheetData sheetId="335" refreshError="1">
        <row r="19">
          <cell r="U19">
            <v>10.390750988444481</v>
          </cell>
        </row>
      </sheetData>
      <sheetData sheetId="336" refreshError="1">
        <row r="91">
          <cell r="G91">
            <v>1.1613518989155927</v>
          </cell>
        </row>
      </sheetData>
      <sheetData sheetId="337" refreshError="1"/>
      <sheetData sheetId="338" refreshError="1">
        <row r="16">
          <cell r="U16">
            <v>2.1069415044611493</v>
          </cell>
        </row>
      </sheetData>
      <sheetData sheetId="339" refreshError="1">
        <row r="91">
          <cell r="G91">
            <v>1.1613518989155927</v>
          </cell>
        </row>
      </sheetData>
      <sheetData sheetId="340" refreshError="1"/>
      <sheetData sheetId="341" refreshError="1">
        <row r="16">
          <cell r="U16">
            <v>2.1069415044611493</v>
          </cell>
        </row>
      </sheetData>
      <sheetData sheetId="342" refreshError="1">
        <row r="91">
          <cell r="G91">
            <v>1.1613518989155927</v>
          </cell>
        </row>
      </sheetData>
      <sheetData sheetId="343" refreshError="1"/>
      <sheetData sheetId="344" refreshError="1">
        <row r="16">
          <cell r="U16">
            <v>2.1069415044611493</v>
          </cell>
        </row>
      </sheetData>
      <sheetData sheetId="345" refreshError="1">
        <row r="91">
          <cell r="G91">
            <v>1.1613518989155927</v>
          </cell>
        </row>
      </sheetData>
      <sheetData sheetId="346" refreshError="1"/>
      <sheetData sheetId="347" refreshError="1">
        <row r="16">
          <cell r="U16">
            <v>1.8648393076398402</v>
          </cell>
        </row>
      </sheetData>
      <sheetData sheetId="348" refreshError="1">
        <row r="91">
          <cell r="G91">
            <v>0.63874354440357595</v>
          </cell>
        </row>
      </sheetData>
      <sheetData sheetId="349" refreshError="1"/>
      <sheetData sheetId="350" refreshError="1">
        <row r="16">
          <cell r="U16">
            <v>1.8648393076398402</v>
          </cell>
        </row>
      </sheetData>
      <sheetData sheetId="351" refreshError="1">
        <row r="91">
          <cell r="G91">
            <v>0.63874354440357595</v>
          </cell>
        </row>
      </sheetData>
      <sheetData sheetId="352" refreshError="1"/>
      <sheetData sheetId="353" refreshError="1">
        <row r="16">
          <cell r="U16">
            <v>1.8648393076398402</v>
          </cell>
        </row>
      </sheetData>
      <sheetData sheetId="354" refreshError="1">
        <row r="91">
          <cell r="G91">
            <v>0.63874354440357595</v>
          </cell>
        </row>
      </sheetData>
      <sheetData sheetId="355" refreshError="1"/>
      <sheetData sheetId="356" refreshError="1">
        <row r="16">
          <cell r="U16">
            <v>1.8648393076398402</v>
          </cell>
        </row>
      </sheetData>
      <sheetData sheetId="357" refreshError="1">
        <row r="91">
          <cell r="G91">
            <v>0.63874354440357595</v>
          </cell>
        </row>
      </sheetData>
      <sheetData sheetId="358" refreshError="1"/>
      <sheetData sheetId="359" refreshError="1">
        <row r="20">
          <cell r="U20">
            <v>3.2454742216370622</v>
          </cell>
        </row>
      </sheetData>
      <sheetData sheetId="360" refreshError="1">
        <row r="93">
          <cell r="G93">
            <v>0.63874354440357595</v>
          </cell>
        </row>
      </sheetData>
      <sheetData sheetId="361" refreshError="1"/>
      <sheetData sheetId="362" refreshError="1">
        <row r="20">
          <cell r="U20">
            <v>1.8648393076398402</v>
          </cell>
        </row>
      </sheetData>
      <sheetData sheetId="363" refreshError="1">
        <row r="93">
          <cell r="G93">
            <v>0.81294632924091481</v>
          </cell>
        </row>
      </sheetData>
      <sheetData sheetId="364" refreshError="1"/>
      <sheetData sheetId="365" refreshError="1">
        <row r="20">
          <cell r="U20">
            <v>1.8648393076398402</v>
          </cell>
        </row>
      </sheetData>
      <sheetData sheetId="366" refreshError="1">
        <row r="93">
          <cell r="G93">
            <v>0.81294632924091481</v>
          </cell>
        </row>
      </sheetData>
      <sheetData sheetId="367" refreshError="1"/>
      <sheetData sheetId="368" refreshError="1">
        <row r="20">
          <cell r="U20">
            <v>1.8648393076398402</v>
          </cell>
        </row>
      </sheetData>
      <sheetData sheetId="369" refreshError="1">
        <row r="93">
          <cell r="G93">
            <v>0.81294632924091481</v>
          </cell>
        </row>
      </sheetData>
      <sheetData sheetId="370" refreshError="1"/>
      <sheetData sheetId="371" refreshError="1">
        <row r="13">
          <cell r="U13">
            <v>1.6227371108185311</v>
          </cell>
        </row>
      </sheetData>
      <sheetData sheetId="372" refreshError="1">
        <row r="89">
          <cell r="G89">
            <v>0.17420278483733889</v>
          </cell>
        </row>
      </sheetData>
      <sheetData sheetId="373" refreshError="1"/>
      <sheetData sheetId="374" refreshError="1">
        <row r="13">
          <cell r="U13">
            <v>1.6227371108185311</v>
          </cell>
        </row>
      </sheetData>
      <sheetData sheetId="375" refreshError="1">
        <row r="89">
          <cell r="G89">
            <v>0.17420278483733889</v>
          </cell>
        </row>
      </sheetData>
      <sheetData sheetId="376" refreshError="1"/>
      <sheetData sheetId="377" refreshError="1">
        <row r="13">
          <cell r="U13">
            <v>1.6227371108185311</v>
          </cell>
        </row>
      </sheetData>
      <sheetData sheetId="378" refreshError="1">
        <row r="89">
          <cell r="G89">
            <v>0.17420278483733889</v>
          </cell>
        </row>
      </sheetData>
      <sheetData sheetId="379" refreshError="1"/>
      <sheetData sheetId="380" refreshError="1">
        <row r="13">
          <cell r="U13">
            <v>1.6227371108185311</v>
          </cell>
        </row>
      </sheetData>
      <sheetData sheetId="381" refreshError="1">
        <row r="89">
          <cell r="G89">
            <v>0.17420278483733889</v>
          </cell>
        </row>
      </sheetData>
      <sheetData sheetId="382" refreshError="1"/>
      <sheetData sheetId="383" refreshError="1">
        <row r="13">
          <cell r="U13">
            <v>1.6227371108185311</v>
          </cell>
        </row>
      </sheetData>
      <sheetData sheetId="384" refreshError="1">
        <row r="89">
          <cell r="G89">
            <v>0.17420278483733889</v>
          </cell>
        </row>
      </sheetData>
      <sheetData sheetId="385" refreshError="1"/>
      <sheetData sheetId="386" refreshError="1">
        <row r="8">
          <cell r="U8">
            <v>0</v>
          </cell>
        </row>
      </sheetData>
      <sheetData sheetId="387" refreshError="1">
        <row r="89">
          <cell r="G89">
            <v>0.11613518989155926</v>
          </cell>
        </row>
      </sheetData>
      <sheetData sheetId="388" refreshError="1"/>
      <sheetData sheetId="389" refreshError="1">
        <row r="11">
          <cell r="U11">
            <v>0.24210219682130896</v>
          </cell>
        </row>
      </sheetData>
      <sheetData sheetId="390" refreshError="1">
        <row r="89">
          <cell r="G89">
            <v>0.17420278483733889</v>
          </cell>
        </row>
      </sheetData>
      <sheetData sheetId="391" refreshError="1"/>
      <sheetData sheetId="392" refreshError="1">
        <row r="11">
          <cell r="U11">
            <v>0.24210219682130896</v>
          </cell>
        </row>
      </sheetData>
      <sheetData sheetId="393" refreshError="1">
        <row r="89">
          <cell r="G89">
            <v>0.17420278483733889</v>
          </cell>
        </row>
      </sheetData>
      <sheetData sheetId="394" refreshError="1"/>
      <sheetData sheetId="395" refreshError="1"/>
      <sheetData sheetId="396" refreshError="1">
        <row r="89">
          <cell r="G89">
            <v>0.17420278483733889</v>
          </cell>
        </row>
      </sheetData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Equipment Segment A"/>
      <sheetName val="16Construction Truck Segment A"/>
      <sheetName val="2016 WorkerTrips Segment A"/>
      <sheetName val="2016 Fugitive Dust Segment A"/>
      <sheetName val="2016 Equipment Segment B"/>
      <sheetName val="16Construction Truck Segment B"/>
      <sheetName val="2016 WorkerTrips Segment B"/>
      <sheetName val="2016 Fugitive Dust Segment B"/>
      <sheetName val="2016 Equipment Segment C"/>
      <sheetName val="16Construction Truck Segment C"/>
      <sheetName val="2016 WorkerTrips Segment C"/>
      <sheetName val="2016 Fugitive Dust Segment C"/>
      <sheetName val="2016 Equipment Segment D"/>
      <sheetName val="16Construction Truck Segment D"/>
      <sheetName val="2016 WorkerTrips Segment D"/>
      <sheetName val="2016 Fugitive Dust Segment D"/>
      <sheetName val="2017 Equipment Segment A"/>
      <sheetName val="17Construction Truck Segment A"/>
      <sheetName val="2017 WorkerTrips Segment A"/>
      <sheetName val="2017 Equipment Segment B"/>
      <sheetName val="17Construction Truck Segment B"/>
      <sheetName val="2017 WorkerTrips Segment B"/>
      <sheetName val="2017 Equipment Segment D"/>
      <sheetName val="17Construction Truck Segment D"/>
      <sheetName val="2017 WorkerTrips Segment D"/>
      <sheetName val="Helicopter"/>
      <sheetName val="Summary Unmitigated"/>
      <sheetName val="Summary Mitigated"/>
      <sheetName val="Offroad Tier 2 Alt1"/>
      <sheetName val="Equipment_Annual"/>
      <sheetName val="Construction Trucks_Annual"/>
      <sheetName val="2016 WorkerTrips"/>
      <sheetName val="2017 WorkerTrips"/>
      <sheetName val="Summary Unmitigated Annual"/>
      <sheetName val="Summary Mitigated Annual"/>
      <sheetName val="Offroad Tiers EF"/>
      <sheetName val="Offroad Tiers LF"/>
      <sheetName val="Operational Trucks"/>
      <sheetName val="Operational Worker Trips"/>
      <sheetName val="Mitigated Operational Emissions"/>
      <sheetName val="Equipment_GHG"/>
      <sheetName val="Construction Trucks_GHG"/>
      <sheetName val="WorkerTrips_GHG"/>
      <sheetName val="Helicopter (2)_GHG"/>
      <sheetName val="Summary_GHG "/>
      <sheetName val="Offroad Tiers EF (3)_GHG"/>
      <sheetName val="Operational Trucks (2)_GHG"/>
      <sheetName val="Operational Worker Trips(2)_GHG"/>
      <sheetName val="Op. Emissions_GHG"/>
    </sheetNames>
    <sheetDataSet>
      <sheetData sheetId="0" refreshError="1"/>
      <sheetData sheetId="1" refreshError="1"/>
      <sheetData sheetId="2">
        <row r="16">
          <cell r="G16">
            <v>4.2360537575546662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4">
          <cell r="C34">
            <v>7651</v>
          </cell>
          <cell r="D34">
            <v>4004</v>
          </cell>
        </row>
        <row r="36">
          <cell r="C36">
            <v>1327</v>
          </cell>
          <cell r="D36">
            <v>1003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 Assumptions"/>
      <sheetName val="Summary by year and segment"/>
      <sheetName val="ANF VMT (Alt. 2)"/>
      <sheetName val="ANF VMT (Alt. 6)"/>
      <sheetName val="ANF Emissions (Alt. 2)"/>
      <sheetName val="ANF Emissions (Alt. 6)"/>
      <sheetName val="Alt 2 ANF Fug Est."/>
      <sheetName val="Alt 6 ANF Fug Est."/>
      <sheetName val="Fugitive Dust Annual - Alt 2"/>
      <sheetName val="Fugitive Dust Annual - Alt 6"/>
      <sheetName val="Alternative 6 - Calc."/>
      <sheetName val="VMT by Jurisdiction (Alt. 6)"/>
      <sheetName val="Alternative 2 Totals"/>
      <sheetName val="ANF Alternative 2 Totals"/>
      <sheetName val="Alternative 6 Totals"/>
      <sheetName val="ANF Alternative 6 Totals"/>
      <sheetName val="Alt 7 Underground Totals"/>
      <sheetName val="USACE Alternative 7 Totals"/>
      <sheetName val="Alternative 3 Totals"/>
      <sheetName val="Alternative 5 Totals"/>
      <sheetName val="Alternative 5 - Calc."/>
      <sheetName val="Fuel Use Summary"/>
      <sheetName val="Tower Number"/>
      <sheetName val="TRTP Schedule Proposed Project"/>
      <sheetName val="TRTP Schedule PP (for PDF) "/>
      <sheetName val="Onroad Trip Summaries - Trans"/>
      <sheetName val="Onroad Trip Summaries - Sub"/>
      <sheetName val="VMT by Jurisdiction"/>
      <sheetName val="Onroad Emissions"/>
      <sheetName val="Onroad Emissions by Jurisdictio"/>
      <sheetName val="Onroad Equipment"/>
      <sheetName val="LST Daily Emissions"/>
      <sheetName val="Offroad Equipment"/>
      <sheetName val="Offroad Emissions by Segment"/>
      <sheetName val="Onroad+Offroad"/>
      <sheetName val="Offroad Emissions by Jurisdicti"/>
      <sheetName val="Offroad Emissions by Substation"/>
      <sheetName val="ANF - SCAQMD (Alt. 2)"/>
      <sheetName val="ANF - AVAQMD (Alt. 2)"/>
      <sheetName val="ANF - SCAQMD (Alt. 6)"/>
      <sheetName val="ANF - AVAQMD (Alt. 6)"/>
      <sheetName val="Worst Case Daily - KCAPCD"/>
      <sheetName val="Worst Case Daily - SCAQMD"/>
      <sheetName val="Worst Case Daily - AVAQMD"/>
      <sheetName val="Helicopter Emissions"/>
      <sheetName val="Heli Construction Assumption"/>
      <sheetName val="Heli Max Daily"/>
      <sheetName val="Helicopter Emissions Summary"/>
      <sheetName val="Heli Emissions for Proposed prj"/>
      <sheetName val="Helisite Emiss for Proposed prj"/>
      <sheetName val="Heli Emissions for Alternative6"/>
      <sheetName val="Helisite Emiss for Alt. 6"/>
      <sheetName val="Heli Emissions for ANF Approved"/>
      <sheetName val="Fugitive Dust Max Day Alt 2"/>
      <sheetName val="Operating Emissions"/>
      <sheetName val="GHG Indirect"/>
      <sheetName val="GHG Emissions"/>
      <sheetName val="Latest 2009 Offroad EF"/>
      <sheetName val="Latest 2010 Offroad EF"/>
      <sheetName val="Latest 2011 Offroad EF"/>
      <sheetName val="Latest 2012 Offroad EF"/>
      <sheetName val="Latest 2013 Offroad EF"/>
      <sheetName val="Latest 2014 Offroad EF"/>
      <sheetName val="Latest Onroad EFs"/>
      <sheetName val="Latest 2008 Offroad EF"/>
      <sheetName val="Onroad Emission Factors"/>
      <sheetName val="2007 Offroad Equipment Factors"/>
      <sheetName val="2008 Offroad Equipment Factors"/>
      <sheetName val="2009 Offroad Equipment Factors"/>
      <sheetName val="Fuel Use"/>
      <sheetName val="Sheet2"/>
      <sheetName val="Emissions Factor Summary"/>
      <sheetName val="Heli Avg Emissions 5-14"/>
      <sheetName val="Fugitive Dust -Alt. 2 (ANF)"/>
      <sheetName val="All Alts. Comparison"/>
      <sheetName val="Onroad for General Conformity"/>
      <sheetName val="Offroad for General Conformity"/>
      <sheetName val="Fugitive Dust for General Confo"/>
      <sheetName val="USACE Alternative 2 Tot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78">
          <cell r="E278">
            <v>3.9967488000000007</v>
          </cell>
          <cell r="F278">
            <v>0.81861119999999998</v>
          </cell>
          <cell r="BG278">
            <v>1.2716928000000003</v>
          </cell>
          <cell r="BH278">
            <v>0.26046720000000001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 Trans Talega Seg 4"/>
      <sheetName val="Equipment Trans Seg 1"/>
      <sheetName val="Equipment Trans Talega Seg 3"/>
      <sheetName val="Equipment Trans Talega Seg 2"/>
      <sheetName val="Equipment Trans Segment 1"/>
      <sheetName val="Equipment Trans Talega Seg 4 23"/>
      <sheetName val="Equipment Trans Seg 2 230"/>
      <sheetName val="Equipment Talega Substation"/>
      <sheetName val="Equipment Capistrano Sub 138kV"/>
      <sheetName val="Equipment Capistrano Sub 230kV"/>
      <sheetName val="Offroad Tiers EF"/>
      <sheetName val="WorkerTrips"/>
      <sheetName val="Construction Trucks"/>
      <sheetName val="Helicopters"/>
      <sheetName val="Helicopter EF"/>
      <sheetName val="Fugitive Dust Substation"/>
      <sheetName val="Fugitive Dust Transmission"/>
      <sheetName val="Substation Construction"/>
      <sheetName val="Transmission Line Construction"/>
      <sheetName val="Reroute 2-12kV Circuits"/>
      <sheetName val="Construct 4 Foundations"/>
      <sheetName val="Undergrounding 2"/>
      <sheetName val="WorkerTrips (2)"/>
      <sheetName val="Construction Trucks (2)"/>
      <sheetName val="Distribution Line Construction"/>
      <sheetName val="Maximum Daily "/>
      <sheetName val="Sheet1"/>
      <sheetName val="2015"/>
      <sheetName val="2016"/>
      <sheetName val="2017"/>
      <sheetName val="2018"/>
      <sheetName val="2019"/>
      <sheetName val="2020"/>
      <sheetName val="OFFROADEFs"/>
      <sheetName val="Tier 4"/>
      <sheetName val="EFs with Tier 4"/>
      <sheetName val="EFROGS"/>
      <sheetName val="EFCOS"/>
      <sheetName val="EFNOXS"/>
      <sheetName val="EFSOXS"/>
      <sheetName val="EFPMS"/>
      <sheetName val="EFCO2S"/>
      <sheetName val="EFCH4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D3">
            <v>0.29315759791753021</v>
          </cell>
          <cell r="E3">
            <v>1.2456296642744205</v>
          </cell>
          <cell r="F3">
            <v>2.3950732284381036</v>
          </cell>
          <cell r="G3">
            <v>2.5998102444893035E-3</v>
          </cell>
          <cell r="H3">
            <v>9.8518465977709344E-2</v>
          </cell>
          <cell r="I3">
            <v>264.8725636721183</v>
          </cell>
          <cell r="J3">
            <v>2.6451144743432839E-2</v>
          </cell>
          <cell r="K3">
            <v>0.27937428148624566</v>
          </cell>
          <cell r="L3">
            <v>1.1678145818175554</v>
          </cell>
          <cell r="M3">
            <v>2.2383978363033092</v>
          </cell>
          <cell r="N3">
            <v>2.5998104036399888E-3</v>
          </cell>
          <cell r="O3">
            <v>9.1519466186646026E-2</v>
          </cell>
          <cell r="P3">
            <v>264.87256951539769</v>
          </cell>
          <cell r="Q3">
            <v>2.5207486969571574E-2</v>
          </cell>
          <cell r="R3">
            <v>0.26601143268871463</v>
          </cell>
          <cell r="S3">
            <v>1.0972341949718112</v>
          </cell>
          <cell r="T3">
            <v>2.0893206825921542</v>
          </cell>
          <cell r="U3">
            <v>2.5998100409794032E-3</v>
          </cell>
          <cell r="V3">
            <v>8.4909604900136715E-2</v>
          </cell>
          <cell r="W3">
            <v>264.87250666353776</v>
          </cell>
          <cell r="X3">
            <v>2.4001780874155543E-2</v>
          </cell>
          <cell r="Y3">
            <v>0.25306555588459217</v>
          </cell>
          <cell r="Z3">
            <v>1.0337614848680345</v>
          </cell>
          <cell r="AA3">
            <v>1.9476307345240327</v>
          </cell>
          <cell r="AB3">
            <v>2.5998107214987693E-3</v>
          </cell>
          <cell r="AC3">
            <v>7.8678442800975884E-2</v>
          </cell>
          <cell r="AD3">
            <v>264.87253998784388</v>
          </cell>
          <cell r="AE3">
            <v>2.2833695420172207E-2</v>
          </cell>
          <cell r="AF3">
            <v>0.24070461605820123</v>
          </cell>
          <cell r="AG3">
            <v>0.97731060008901516</v>
          </cell>
          <cell r="AH3">
            <v>1.8134184505922295</v>
          </cell>
          <cell r="AI3">
            <v>2.599810147793907E-3</v>
          </cell>
          <cell r="AJ3">
            <v>7.2819730655317133E-2</v>
          </cell>
          <cell r="AK3">
            <v>264.87254421657707</v>
          </cell>
          <cell r="AL3">
            <v>2.1718388632719882E-2</v>
          </cell>
          <cell r="AM3">
            <v>0.22910852256671893</v>
          </cell>
          <cell r="AN3">
            <v>0.92764212887282871</v>
          </cell>
          <cell r="AO3">
            <v>1.686770321414427</v>
          </cell>
          <cell r="AP3">
            <v>2.5998101519380768E-3</v>
          </cell>
          <cell r="AQ3">
            <v>6.7326299017990129E-2</v>
          </cell>
          <cell r="AR3">
            <v>264.87248137307603</v>
          </cell>
          <cell r="AS3">
            <v>2.0672093441887248E-2</v>
          </cell>
        </row>
        <row r="4">
          <cell r="D4">
            <v>0.16661913310145687</v>
          </cell>
          <cell r="E4">
            <v>0.57390991091506671</v>
          </cell>
          <cell r="F4">
            <v>1.3760221326888009</v>
          </cell>
          <cell r="G4">
            <v>2.2524633622208845E-3</v>
          </cell>
          <cell r="H4">
            <v>4.9562380477206534E-2</v>
          </cell>
          <cell r="I4">
            <v>229.48430404511782</v>
          </cell>
          <cell r="J4">
            <v>1.5033778692192376E-2</v>
          </cell>
          <cell r="K4">
            <v>0.15786834601199012</v>
          </cell>
          <cell r="L4">
            <v>0.55245741687522776</v>
          </cell>
          <cell r="M4">
            <v>1.2393951315389484</v>
          </cell>
          <cell r="N4">
            <v>2.2524634107676184E-3</v>
          </cell>
          <cell r="O4">
            <v>4.4590117894040812E-2</v>
          </cell>
          <cell r="P4">
            <v>229.48431544436346</v>
          </cell>
          <cell r="Q4">
            <v>1.4244206783455365E-2</v>
          </cell>
          <cell r="R4">
            <v>0.14967028015779141</v>
          </cell>
          <cell r="S4">
            <v>0.53440970097619811</v>
          </cell>
          <cell r="T4">
            <v>1.1138559719809973</v>
          </cell>
          <cell r="U4">
            <v>2.252463434596794E-3</v>
          </cell>
          <cell r="V4">
            <v>4.0049079920742602E-2</v>
          </cell>
          <cell r="W4">
            <v>229.48428583366018</v>
          </cell>
          <cell r="X4">
            <v>1.3504507514594796E-2</v>
          </cell>
          <cell r="Y4">
            <v>0.14204672893087397</v>
          </cell>
          <cell r="Z4">
            <v>0.51944988295495698</v>
          </cell>
          <cell r="AA4">
            <v>0.99889717266806777</v>
          </cell>
          <cell r="AB4">
            <v>2.2524626963553339E-3</v>
          </cell>
          <cell r="AC4">
            <v>3.5928558524679917E-2</v>
          </cell>
          <cell r="AD4">
            <v>229.48424083111456</v>
          </cell>
          <cell r="AE4">
            <v>1.2816646598928946E-2</v>
          </cell>
          <cell r="AF4">
            <v>0.13497662216668563</v>
          </cell>
          <cell r="AG4">
            <v>0.50723179424901166</v>
          </cell>
          <cell r="AH4">
            <v>0.89396436967446358</v>
          </cell>
          <cell r="AI4">
            <v>2.2524636529229324E-3</v>
          </cell>
          <cell r="AJ4">
            <v>3.2203400298214523E-2</v>
          </cell>
          <cell r="AK4">
            <v>229.48421950990104</v>
          </cell>
          <cell r="AL4">
            <v>1.2178721396469788E-2</v>
          </cell>
          <cell r="AM4">
            <v>0.12835931067285147</v>
          </cell>
          <cell r="AN4">
            <v>0.49664143228882163</v>
          </cell>
          <cell r="AO4">
            <v>0.7981531903749931</v>
          </cell>
          <cell r="AP4">
            <v>2.2524632483109158E-3</v>
          </cell>
          <cell r="AQ4">
            <v>2.883331148683629E-2</v>
          </cell>
          <cell r="AR4">
            <v>229.48426254447057</v>
          </cell>
          <cell r="AS4">
            <v>1.1581652574076154E-2</v>
          </cell>
        </row>
        <row r="5">
          <cell r="D5">
            <v>0.28827307864317453</v>
          </cell>
          <cell r="E5">
            <v>1.0688117631027829</v>
          </cell>
          <cell r="F5">
            <v>2.4104144917273165</v>
          </cell>
          <cell r="G5">
            <v>3.1549252143876689E-3</v>
          </cell>
          <cell r="H5">
            <v>9.2957043118266802E-2</v>
          </cell>
          <cell r="I5">
            <v>321.42846035935588</v>
          </cell>
          <cell r="J5">
            <v>2.6010420981454316E-2</v>
          </cell>
          <cell r="K5">
            <v>0.27361983606105278</v>
          </cell>
          <cell r="L5">
            <v>1.0106838740781028</v>
          </cell>
          <cell r="M5">
            <v>2.2183128982162637</v>
          </cell>
          <cell r="N5">
            <v>3.1549257046389317E-3</v>
          </cell>
          <cell r="O5">
            <v>8.5097368649182215E-2</v>
          </cell>
          <cell r="P5">
            <v>321.42846751610921</v>
          </cell>
          <cell r="Q5">
            <v>2.4688277766915231E-2</v>
          </cell>
          <cell r="R5">
            <v>0.25944498947339795</v>
          </cell>
          <cell r="S5">
            <v>0.96023283250935576</v>
          </cell>
          <cell r="T5">
            <v>2.0375224804299736</v>
          </cell>
          <cell r="U5">
            <v>3.1549252848218547E-3</v>
          </cell>
          <cell r="V5">
            <v>7.7674022556579334E-2</v>
          </cell>
          <cell r="W5">
            <v>321.42849811261823</v>
          </cell>
          <cell r="X5">
            <v>2.3409296751328711E-2</v>
          </cell>
          <cell r="Y5">
            <v>0.24583210594718735</v>
          </cell>
          <cell r="Z5">
            <v>0.91647056880524502</v>
          </cell>
          <cell r="AA5">
            <v>1.8678152310064</v>
          </cell>
          <cell r="AB5">
            <v>3.1549262583779004E-3</v>
          </cell>
          <cell r="AC5">
            <v>7.0698102807775914E-2</v>
          </cell>
          <cell r="AD5">
            <v>321.42848144577874</v>
          </cell>
          <cell r="AE5">
            <v>2.2181037455302012E-2</v>
          </cell>
          <cell r="AF5">
            <v>0.23302916931528106</v>
          </cell>
          <cell r="AG5">
            <v>0.87847336939265785</v>
          </cell>
          <cell r="AH5">
            <v>1.7092103132521892</v>
          </cell>
          <cell r="AI5">
            <v>3.1549256422564666E-3</v>
          </cell>
          <cell r="AJ5">
            <v>6.4266680843534207E-2</v>
          </cell>
          <cell r="AK5">
            <v>321.42843554242222</v>
          </cell>
          <cell r="AL5">
            <v>2.1025852051004948E-2</v>
          </cell>
          <cell r="AM5">
            <v>0.22114810409609095</v>
          </cell>
          <cell r="AN5">
            <v>0.84546012457949182</v>
          </cell>
          <cell r="AO5">
            <v>1.5614722373250061</v>
          </cell>
          <cell r="AP5">
            <v>3.154926820014955E-3</v>
          </cell>
          <cell r="AQ5">
            <v>5.841279598018613E-2</v>
          </cell>
          <cell r="AR5">
            <v>321.42849079555151</v>
          </cell>
          <cell r="AS5">
            <v>1.9953838118355136E-2</v>
          </cell>
        </row>
        <row r="6">
          <cell r="D6">
            <v>0.11066058167204838</v>
          </cell>
          <cell r="E6">
            <v>0.357512171951539</v>
          </cell>
          <cell r="F6">
            <v>1.0947831674448847</v>
          </cell>
          <cell r="G6">
            <v>1.7225234988951081E-3</v>
          </cell>
          <cell r="H6">
            <v>3.6815646848800836E-2</v>
          </cell>
          <cell r="I6">
            <v>153.0897857268109</v>
          </cell>
          <cell r="J6">
            <v>9.9847277011502044E-3</v>
          </cell>
          <cell r="K6">
            <v>0.10421407891555058</v>
          </cell>
          <cell r="L6">
            <v>0.34634027743296963</v>
          </cell>
          <cell r="M6">
            <v>0.99610727887460127</v>
          </cell>
          <cell r="N6">
            <v>1.7225238017196767E-3</v>
          </cell>
          <cell r="O6">
            <v>3.3325948190671834E-2</v>
          </cell>
          <cell r="P6">
            <v>153.08990422247768</v>
          </cell>
          <cell r="Q6">
            <v>9.4030671029605162E-3</v>
          </cell>
          <cell r="R6">
            <v>9.849550183268832E-2</v>
          </cell>
          <cell r="S6">
            <v>0.33754806256205427</v>
          </cell>
          <cell r="T6">
            <v>0.9034811688601726</v>
          </cell>
          <cell r="U6">
            <v>1.7225228533016813E-3</v>
          </cell>
          <cell r="V6">
            <v>3.0197330409474903E-2</v>
          </cell>
          <cell r="W6">
            <v>153.08978374428989</v>
          </cell>
          <cell r="X6">
            <v>8.8870914540412384E-3</v>
          </cell>
          <cell r="Y6">
            <v>9.3362312531121844E-2</v>
          </cell>
          <cell r="Z6">
            <v>0.33060835376697673</v>
          </cell>
          <cell r="AA6">
            <v>0.8164186599942973</v>
          </cell>
          <cell r="AB6">
            <v>1.7225228680334771E-3</v>
          </cell>
          <cell r="AC6">
            <v>2.7364011985605993E-2</v>
          </cell>
          <cell r="AD6">
            <v>153.0898468576824</v>
          </cell>
          <cell r="AE6">
            <v>8.4239312734354869E-3</v>
          </cell>
          <cell r="AF6">
            <v>8.8631994199622879E-2</v>
          </cell>
          <cell r="AG6">
            <v>0.32492846010849963</v>
          </cell>
          <cell r="AH6">
            <v>0.73465442815694493</v>
          </cell>
          <cell r="AI6">
            <v>1.7225238768631813E-3</v>
          </cell>
          <cell r="AJ6">
            <v>2.4758009337080954E-2</v>
          </cell>
          <cell r="AK6">
            <v>153.08987122896906</v>
          </cell>
          <cell r="AL6">
            <v>7.9971216054625441E-3</v>
          </cell>
          <cell r="AM6">
            <v>8.4182614086600133E-2</v>
          </cell>
          <cell r="AN6">
            <v>0.3200705350280611</v>
          </cell>
          <cell r="AO6">
            <v>0.658094331660252</v>
          </cell>
          <cell r="AP6">
            <v>1.7225233568523399E-3</v>
          </cell>
          <cell r="AQ6">
            <v>2.2332176312918565E-2</v>
          </cell>
          <cell r="AR6">
            <v>153.08982237295896</v>
          </cell>
          <cell r="AS6">
            <v>7.5956615609982479E-3</v>
          </cell>
        </row>
        <row r="7">
          <cell r="D7">
            <v>0.1118496084386869</v>
          </cell>
          <cell r="E7">
            <v>0.34437998349702598</v>
          </cell>
          <cell r="F7">
            <v>0.98902740422423208</v>
          </cell>
          <cell r="G7">
            <v>1.676243123421701E-3</v>
          </cell>
          <cell r="H7">
            <v>3.3685773612412907E-2</v>
          </cell>
          <cell r="I7">
            <v>148.97664453593197</v>
          </cell>
          <cell r="J7">
            <v>1.0092011106863865E-2</v>
          </cell>
          <cell r="K7">
            <v>0.10563966943103599</v>
          </cell>
          <cell r="L7">
            <v>0.33567623418699366</v>
          </cell>
          <cell r="M7">
            <v>0.8897147826659817</v>
          </cell>
          <cell r="N7">
            <v>1.6762428138747331E-3</v>
          </cell>
          <cell r="O7">
            <v>3.024588610473709E-2</v>
          </cell>
          <cell r="P7">
            <v>148.97666793125595</v>
          </cell>
          <cell r="Q7">
            <v>9.5316980170715351E-3</v>
          </cell>
          <cell r="R7">
            <v>9.9952747313268628E-2</v>
          </cell>
          <cell r="S7">
            <v>0.32904725351344399</v>
          </cell>
          <cell r="T7">
            <v>0.79841895508735716</v>
          </cell>
          <cell r="U7">
            <v>1.6762431040541262E-3</v>
          </cell>
          <cell r="V7">
            <v>2.7167656516135858E-2</v>
          </cell>
          <cell r="W7">
            <v>148.97664558315503</v>
          </cell>
          <cell r="X7">
            <v>9.0185753542049527E-3</v>
          </cell>
          <cell r="Y7">
            <v>9.4600970491392308E-2</v>
          </cell>
          <cell r="Z7">
            <v>0.32371083064071982</v>
          </cell>
          <cell r="AA7">
            <v>0.71418275667912545</v>
          </cell>
          <cell r="AB7">
            <v>1.6762429502385828E-3</v>
          </cell>
          <cell r="AC7">
            <v>2.4351421420554582E-2</v>
          </cell>
          <cell r="AD7">
            <v>148.97670143852574</v>
          </cell>
          <cell r="AE7">
            <v>8.5356955520187617E-3</v>
          </cell>
          <cell r="AF7">
            <v>8.9553460441848684E-2</v>
          </cell>
          <cell r="AG7">
            <v>0.31942309989476003</v>
          </cell>
          <cell r="AH7">
            <v>0.63663648059637379</v>
          </cell>
          <cell r="AI7">
            <v>1.6762437114831023E-3</v>
          </cell>
          <cell r="AJ7">
            <v>2.1771108164742248E-2</v>
          </cell>
          <cell r="AK7">
            <v>148.97671844641377</v>
          </cell>
          <cell r="AL7">
            <v>8.0802618506061671E-3</v>
          </cell>
          <cell r="AM7">
            <v>8.4809338750527735E-2</v>
          </cell>
          <cell r="AN7">
            <v>0.31589228651483875</v>
          </cell>
          <cell r="AO7">
            <v>0.56553029446466985</v>
          </cell>
          <cell r="AP7">
            <v>1.6762430885479793E-3</v>
          </cell>
          <cell r="AQ7">
            <v>1.9416986383123464E-2</v>
          </cell>
          <cell r="AR7">
            <v>148.97665813539152</v>
          </cell>
          <cell r="AS7">
            <v>7.6522122922095251E-3</v>
          </cell>
        </row>
        <row r="8">
          <cell r="D8">
            <v>0.12515266972462641</v>
          </cell>
          <cell r="E8">
            <v>0.37018045112299897</v>
          </cell>
          <cell r="F8">
            <v>0.98177634452702278</v>
          </cell>
          <cell r="G8">
            <v>1.8739213528134147E-3</v>
          </cell>
          <cell r="H8">
            <v>3.2769564138102551E-2</v>
          </cell>
          <cell r="I8">
            <v>166.54539483446186</v>
          </cell>
          <cell r="J8">
            <v>1.1292325418869483E-2</v>
          </cell>
          <cell r="K8">
            <v>0.11792220738547983</v>
          </cell>
          <cell r="L8">
            <v>0.36512193352152528</v>
          </cell>
          <cell r="M8">
            <v>0.86781464282266541</v>
          </cell>
          <cell r="N8">
            <v>1.8739217498104396E-3</v>
          </cell>
          <cell r="O8">
            <v>2.9041712295589866E-2</v>
          </cell>
          <cell r="P8">
            <v>166.54541562452522</v>
          </cell>
          <cell r="Q8">
            <v>1.063993297769634E-2</v>
          </cell>
          <cell r="R8">
            <v>0.11087757550731449</v>
          </cell>
          <cell r="S8">
            <v>0.36084059419635078</v>
          </cell>
          <cell r="T8">
            <v>0.76252068294710729</v>
          </cell>
          <cell r="U8">
            <v>1.8739208211501423E-3</v>
          </cell>
          <cell r="V8">
            <v>2.5639490365790139E-2</v>
          </cell>
          <cell r="W8">
            <v>166.54536773790227</v>
          </cell>
          <cell r="X8">
            <v>1.0004303079381925E-2</v>
          </cell>
          <cell r="Y8">
            <v>0.1041767465113491</v>
          </cell>
          <cell r="Z8">
            <v>0.35715448415065187</v>
          </cell>
          <cell r="AA8">
            <v>0.66603800397589519</v>
          </cell>
          <cell r="AB8">
            <v>1.873921930245647E-3</v>
          </cell>
          <cell r="AC8">
            <v>2.2542352700611085E-2</v>
          </cell>
          <cell r="AD8">
            <v>166.54543379579488</v>
          </cell>
          <cell r="AE8">
            <v>9.3996999235005617E-3</v>
          </cell>
          <cell r="AF8">
            <v>9.8126501853339099E-2</v>
          </cell>
          <cell r="AG8">
            <v>0.35404986242713693</v>
          </cell>
          <cell r="AH8">
            <v>0.57972575059472697</v>
          </cell>
          <cell r="AI8">
            <v>1.8739219985869813E-3</v>
          </cell>
          <cell r="AJ8">
            <v>1.9765910620015432E-2</v>
          </cell>
          <cell r="AK8">
            <v>166.54541132463186</v>
          </cell>
          <cell r="AL8">
            <v>8.8537970071824509E-3</v>
          </cell>
          <cell r="AM8">
            <v>9.2725246112278115E-2</v>
          </cell>
          <cell r="AN8">
            <v>0.35143421911519712</v>
          </cell>
          <cell r="AO8">
            <v>0.50424090389582876</v>
          </cell>
          <cell r="AP8">
            <v>1.8739212869985323E-3</v>
          </cell>
          <cell r="AQ8">
            <v>1.7307373778617977E-2</v>
          </cell>
          <cell r="AR8">
            <v>166.54540745667055</v>
          </cell>
          <cell r="AS8">
            <v>8.3664496800051249E-3</v>
          </cell>
        </row>
        <row r="9">
          <cell r="D9">
            <v>0.12515266972462641</v>
          </cell>
          <cell r="E9">
            <v>0.37018045112299897</v>
          </cell>
          <cell r="F9">
            <v>0.98177634452702278</v>
          </cell>
          <cell r="G9">
            <v>1.8739213528134147E-3</v>
          </cell>
          <cell r="H9">
            <v>3.2769564138102551E-2</v>
          </cell>
          <cell r="I9">
            <v>166.54539483446186</v>
          </cell>
          <cell r="J9">
            <v>1.1292325418869483E-2</v>
          </cell>
          <cell r="K9">
            <v>0.11792220738547983</v>
          </cell>
          <cell r="L9">
            <v>0.36512193352152528</v>
          </cell>
          <cell r="M9">
            <v>0.86781464282266541</v>
          </cell>
          <cell r="N9">
            <v>1.8739217498104396E-3</v>
          </cell>
          <cell r="O9">
            <v>2.9041712295589866E-2</v>
          </cell>
          <cell r="P9">
            <v>166.54541562452522</v>
          </cell>
          <cell r="Q9">
            <v>1.063993297769634E-2</v>
          </cell>
          <cell r="R9">
            <v>0.11087757550731449</v>
          </cell>
          <cell r="S9">
            <v>0.36084059419635078</v>
          </cell>
          <cell r="T9">
            <v>0.76252068294710729</v>
          </cell>
          <cell r="U9">
            <v>1.8739208211501423E-3</v>
          </cell>
          <cell r="V9">
            <v>2.5639490365790139E-2</v>
          </cell>
          <cell r="W9">
            <v>166.54536773790227</v>
          </cell>
          <cell r="X9">
            <v>1.0004303079381925E-2</v>
          </cell>
          <cell r="Y9">
            <v>0.1041767465113491</v>
          </cell>
          <cell r="Z9">
            <v>0.35715448415065187</v>
          </cell>
          <cell r="AA9">
            <v>0.66603800397589519</v>
          </cell>
          <cell r="AB9">
            <v>1.873921930245647E-3</v>
          </cell>
          <cell r="AC9">
            <v>2.2542352700611085E-2</v>
          </cell>
          <cell r="AD9">
            <v>166.54543379579488</v>
          </cell>
          <cell r="AE9">
            <v>9.3996999235005617E-3</v>
          </cell>
          <cell r="AF9">
            <v>9.8126501853339099E-2</v>
          </cell>
          <cell r="AG9">
            <v>0.35404986242713693</v>
          </cell>
          <cell r="AH9">
            <v>0.57972575059472697</v>
          </cell>
          <cell r="AI9">
            <v>1.8739219985869813E-3</v>
          </cell>
          <cell r="AJ9">
            <v>1.9765910620015432E-2</v>
          </cell>
          <cell r="AK9">
            <v>166.54541132463186</v>
          </cell>
          <cell r="AL9">
            <v>8.8537970071824509E-3</v>
          </cell>
          <cell r="AM9">
            <v>9.2725246112278115E-2</v>
          </cell>
          <cell r="AN9">
            <v>0.35143421911519712</v>
          </cell>
          <cell r="AO9">
            <v>0.50424090389582876</v>
          </cell>
          <cell r="AP9">
            <v>1.8739212869985323E-3</v>
          </cell>
          <cell r="AQ9">
            <v>1.7307373778617977E-2</v>
          </cell>
          <cell r="AR9">
            <v>166.54540745667055</v>
          </cell>
          <cell r="AS9">
            <v>8.3664496800051249E-3</v>
          </cell>
        </row>
        <row r="10">
          <cell r="D10">
            <v>0.15768786953222044</v>
          </cell>
          <cell r="E10">
            <v>0.49644589043132925</v>
          </cell>
          <cell r="F10">
            <v>1.1619255625584828</v>
          </cell>
          <cell r="G10">
            <v>2.2941891037024571E-3</v>
          </cell>
          <cell r="H10">
            <v>4.1330038782821148E-2</v>
          </cell>
          <cell r="I10">
            <v>233.73532966705815</v>
          </cell>
          <cell r="J10">
            <v>1.4227923455147638E-2</v>
          </cell>
          <cell r="K10">
            <v>0.14955077841248507</v>
          </cell>
          <cell r="L10">
            <v>0.48505267188754209</v>
          </cell>
          <cell r="M10">
            <v>1.0236210425618641</v>
          </cell>
          <cell r="N10">
            <v>2.2941887108755294E-3</v>
          </cell>
          <cell r="O10">
            <v>3.6614618148107118E-2</v>
          </cell>
          <cell r="P10">
            <v>233.73531392991876</v>
          </cell>
          <cell r="Q10">
            <v>1.3493728077234307E-2</v>
          </cell>
          <cell r="R10">
            <v>0.1415316092306603</v>
          </cell>
          <cell r="S10">
            <v>0.47617389363296547</v>
          </cell>
          <cell r="T10">
            <v>0.89879832533338255</v>
          </cell>
          <cell r="U10">
            <v>2.2941882966723329E-3</v>
          </cell>
          <cell r="V10">
            <v>3.2284153800841958E-2</v>
          </cell>
          <cell r="W10">
            <v>233.73535169013226</v>
          </cell>
          <cell r="X10">
            <v>1.2770166630775929E-2</v>
          </cell>
          <cell r="Y10">
            <v>0.13386641566610369</v>
          </cell>
          <cell r="Z10">
            <v>0.46889693641413166</v>
          </cell>
          <cell r="AA10">
            <v>0.78810957933497405</v>
          </cell>
          <cell r="AB10">
            <v>2.2941887362225512E-3</v>
          </cell>
          <cell r="AC10">
            <v>2.8425561073409961E-2</v>
          </cell>
          <cell r="AD10">
            <v>233.73535326026993</v>
          </cell>
          <cell r="AE10">
            <v>1.2078550367923749E-2</v>
          </cell>
          <cell r="AF10">
            <v>0.1265883693091156</v>
          </cell>
          <cell r="AG10">
            <v>0.46321509421270962</v>
          </cell>
          <cell r="AH10">
            <v>0.69000454505611353</v>
          </cell>
          <cell r="AI10">
            <v>2.2941889803797964E-3</v>
          </cell>
          <cell r="AJ10">
            <v>2.4992895938510611E-2</v>
          </cell>
          <cell r="AK10">
            <v>233.73530479202901</v>
          </cell>
          <cell r="AL10">
            <v>1.1421864606287866E-2</v>
          </cell>
          <cell r="AM10">
            <v>0.11982730712470238</v>
          </cell>
          <cell r="AN10">
            <v>0.45905106389925343</v>
          </cell>
          <cell r="AO10">
            <v>0.60277672158046691</v>
          </cell>
          <cell r="AP10">
            <v>2.2941896155419489E-3</v>
          </cell>
          <cell r="AQ10">
            <v>2.1910371909083362E-2</v>
          </cell>
          <cell r="AR10">
            <v>233.73539751528082</v>
          </cell>
          <cell r="AS10">
            <v>1.0811824504505494E-2</v>
          </cell>
        </row>
        <row r="11">
          <cell r="D11">
            <v>3.7554327545905139E-2</v>
          </cell>
          <cell r="E11">
            <v>0.46759603502353658</v>
          </cell>
          <cell r="F11">
            <v>0.37357941800395966</v>
          </cell>
          <cell r="G11">
            <v>9.0467796015684726E-4</v>
          </cell>
          <cell r="H11">
            <v>1.6049035468020893E-2</v>
          </cell>
          <cell r="I11">
            <v>77.121767330485099</v>
          </cell>
          <cell r="J11">
            <v>3.3884664579035585E-3</v>
          </cell>
          <cell r="K11">
            <v>3.490161163394627E-2</v>
          </cell>
          <cell r="L11">
            <v>0.46707432326303477</v>
          </cell>
          <cell r="M11">
            <v>0.33078758885871434</v>
          </cell>
          <cell r="N11">
            <v>9.0467784425450159E-4</v>
          </cell>
          <cell r="O11">
            <v>1.2484572301372371E-2</v>
          </cell>
          <cell r="P11">
            <v>77.121750016602093</v>
          </cell>
          <cell r="Q11">
            <v>3.149115809265884E-3</v>
          </cell>
          <cell r="R11">
            <v>3.2643580987254436E-2</v>
          </cell>
          <cell r="S11">
            <v>0.46671313753880495</v>
          </cell>
          <cell r="T11">
            <v>0.29622178033475544</v>
          </cell>
          <cell r="U11">
            <v>9.0467810829659545E-4</v>
          </cell>
          <cell r="V11">
            <v>9.5438526840289119E-3</v>
          </cell>
          <cell r="W11">
            <v>77.121776116023071</v>
          </cell>
          <cell r="X11">
            <v>2.9453779842965266E-3</v>
          </cell>
          <cell r="Y11">
            <v>3.084874459027305E-2</v>
          </cell>
          <cell r="Z11">
            <v>0.46650216223168456</v>
          </cell>
          <cell r="AA11">
            <v>0.27100315469723518</v>
          </cell>
          <cell r="AB11">
            <v>9.0467818141783509E-4</v>
          </cell>
          <cell r="AC11">
            <v>7.2412596089498297E-3</v>
          </cell>
          <cell r="AD11">
            <v>77.121786625322102</v>
          </cell>
          <cell r="AE11">
            <v>2.7834325013313161E-3</v>
          </cell>
          <cell r="AF11">
            <v>2.9295071904132726E-2</v>
          </cell>
          <cell r="AG11">
            <v>0.46634195015325958</v>
          </cell>
          <cell r="AH11">
            <v>0.25006645228145524</v>
          </cell>
          <cell r="AI11">
            <v>9.046777577488526E-4</v>
          </cell>
          <cell r="AJ11">
            <v>5.3882020731461852E-3</v>
          </cell>
          <cell r="AK11">
            <v>77.121752202638532</v>
          </cell>
          <cell r="AL11">
            <v>2.6432463875258158E-3</v>
          </cell>
          <cell r="AM11">
            <v>2.7991404392950472E-2</v>
          </cell>
          <cell r="AN11">
            <v>0.4662215930715663</v>
          </cell>
          <cell r="AO11">
            <v>0.23291494276550281</v>
          </cell>
          <cell r="AP11">
            <v>9.0467776054069422E-4</v>
          </cell>
          <cell r="AQ11">
            <v>3.9698271204785477E-3</v>
          </cell>
          <cell r="AR11">
            <v>77.121793273199756</v>
          </cell>
          <cell r="AS11">
            <v>2.5256197261084475E-3</v>
          </cell>
        </row>
        <row r="12">
          <cell r="D12">
            <v>8.0027237012853872E-2</v>
          </cell>
          <cell r="E12">
            <v>0.35593197566240414</v>
          </cell>
          <cell r="F12">
            <v>0.48217047757724435</v>
          </cell>
          <cell r="G12">
            <v>5.8826133700071506E-4</v>
          </cell>
          <cell r="H12">
            <v>4.1503918717068114E-2</v>
          </cell>
          <cell r="I12">
            <v>50.147957636658056</v>
          </cell>
          <cell r="J12">
            <v>7.2207285788506471E-3</v>
          </cell>
          <cell r="K12">
            <v>7.4390309773906996E-2</v>
          </cell>
          <cell r="L12">
            <v>0.35331106418905761</v>
          </cell>
          <cell r="M12">
            <v>0.44761805151912359</v>
          </cell>
          <cell r="N12">
            <v>5.8826123668460656E-4</v>
          </cell>
          <cell r="O12">
            <v>3.7764132703622492E-2</v>
          </cell>
          <cell r="P12">
            <v>50.14796460866976</v>
          </cell>
          <cell r="Q12">
            <v>6.7121175739670268E-3</v>
          </cell>
          <cell r="R12">
            <v>6.900659501469876E-2</v>
          </cell>
          <cell r="S12">
            <v>0.35088164023479923</v>
          </cell>
          <cell r="T12">
            <v>0.41552817522913782</v>
          </cell>
          <cell r="U12">
            <v>5.8826136417032418E-4</v>
          </cell>
          <cell r="V12">
            <v>3.4142922377690628E-2</v>
          </cell>
          <cell r="W12">
            <v>50.147965783398881</v>
          </cell>
          <cell r="X12">
            <v>6.2263543562003903E-3</v>
          </cell>
          <cell r="Y12">
            <v>6.3870661682325913E-2</v>
          </cell>
          <cell r="Z12">
            <v>0.34863034604097226</v>
          </cell>
          <cell r="AA12">
            <v>0.38574957428306089</v>
          </cell>
          <cell r="AB12">
            <v>5.8826139268297324E-4</v>
          </cell>
          <cell r="AC12">
            <v>3.0641628967521616E-2</v>
          </cell>
          <cell r="AD12">
            <v>50.147969714257975</v>
          </cell>
          <cell r="AE12">
            <v>5.7629472413349841E-3</v>
          </cell>
          <cell r="AF12">
            <v>5.8935117227036926E-2</v>
          </cell>
          <cell r="AG12">
            <v>0.34652589552708729</v>
          </cell>
          <cell r="AH12">
            <v>0.35786316988922057</v>
          </cell>
          <cell r="AI12">
            <v>5.8826119369513683E-4</v>
          </cell>
          <cell r="AJ12">
            <v>2.7248001588616479E-2</v>
          </cell>
          <cell r="AK12">
            <v>50.147949925498153</v>
          </cell>
          <cell r="AL12">
            <v>5.3176226032023424E-3</v>
          </cell>
          <cell r="AM12">
            <v>5.4229845290754954E-2</v>
          </cell>
          <cell r="AN12">
            <v>0.34457880357964926</v>
          </cell>
          <cell r="AO12">
            <v>0.3316518785709619</v>
          </cell>
          <cell r="AP12">
            <v>5.8826128478513143E-4</v>
          </cell>
          <cell r="AQ12">
            <v>2.3994817474171037E-2</v>
          </cell>
          <cell r="AR12">
            <v>50.147962813164384</v>
          </cell>
          <cell r="AS12">
            <v>4.8930722914384411E-3</v>
          </cell>
        </row>
        <row r="13">
          <cell r="D13">
            <v>0.12515266972462641</v>
          </cell>
          <cell r="E13">
            <v>0.37018045112299897</v>
          </cell>
          <cell r="F13">
            <v>0.98177634452702278</v>
          </cell>
          <cell r="G13">
            <v>1.8739213528134147E-3</v>
          </cell>
          <cell r="H13">
            <v>3.2769564138102551E-2</v>
          </cell>
          <cell r="I13">
            <v>166.54539483446186</v>
          </cell>
          <cell r="J13">
            <v>1.1292325418869483E-2</v>
          </cell>
          <cell r="K13">
            <v>0.11792220738547983</v>
          </cell>
          <cell r="L13">
            <v>0.36512193352152528</v>
          </cell>
          <cell r="M13">
            <v>0.86781464282266541</v>
          </cell>
          <cell r="N13">
            <v>1.8739217498104396E-3</v>
          </cell>
          <cell r="O13">
            <v>2.9041712295589866E-2</v>
          </cell>
          <cell r="P13">
            <v>166.54541562452522</v>
          </cell>
          <cell r="Q13">
            <v>1.063993297769634E-2</v>
          </cell>
          <cell r="R13">
            <v>0.11087757550731449</v>
          </cell>
          <cell r="S13">
            <v>0.36084059419635078</v>
          </cell>
          <cell r="T13">
            <v>0.76252068294710729</v>
          </cell>
          <cell r="U13">
            <v>1.8739208211501423E-3</v>
          </cell>
          <cell r="V13">
            <v>2.5639490365790139E-2</v>
          </cell>
          <cell r="W13">
            <v>166.54536773790227</v>
          </cell>
          <cell r="X13">
            <v>1.0004303079381925E-2</v>
          </cell>
          <cell r="Y13">
            <v>0.1041767465113491</v>
          </cell>
          <cell r="Z13">
            <v>0.35715448415065187</v>
          </cell>
          <cell r="AA13">
            <v>0.66603800397589519</v>
          </cell>
          <cell r="AB13">
            <v>1.873921930245647E-3</v>
          </cell>
          <cell r="AC13">
            <v>2.2542352700611085E-2</v>
          </cell>
          <cell r="AD13">
            <v>166.54543379579488</v>
          </cell>
          <cell r="AE13">
            <v>9.3996999235005617E-3</v>
          </cell>
          <cell r="AF13">
            <v>9.8126501853339099E-2</v>
          </cell>
          <cell r="AG13">
            <v>0.35404986242713693</v>
          </cell>
          <cell r="AH13">
            <v>0.57972575059472697</v>
          </cell>
          <cell r="AI13">
            <v>1.8739219985869813E-3</v>
          </cell>
          <cell r="AJ13">
            <v>1.9765910620015432E-2</v>
          </cell>
          <cell r="AK13">
            <v>166.54541132463186</v>
          </cell>
          <cell r="AL13">
            <v>8.8537970071824509E-3</v>
          </cell>
          <cell r="AM13">
            <v>9.2725246112278115E-2</v>
          </cell>
          <cell r="AN13">
            <v>0.35143421911519712</v>
          </cell>
          <cell r="AO13">
            <v>0.50424090389582876</v>
          </cell>
          <cell r="AP13">
            <v>1.8739212869985323E-3</v>
          </cell>
          <cell r="AQ13">
            <v>1.7307373778617977E-2</v>
          </cell>
          <cell r="AR13">
            <v>166.54540745667055</v>
          </cell>
          <cell r="AS13">
            <v>8.3664496800051249E-3</v>
          </cell>
        </row>
        <row r="14">
          <cell r="D14">
            <v>8.3504486958246846E-2</v>
          </cell>
          <cell r="E14">
            <v>0.40897606651505103</v>
          </cell>
          <cell r="F14">
            <v>0.52261738770352861</v>
          </cell>
          <cell r="G14">
            <v>6.9108572612879135E-4</v>
          </cell>
          <cell r="H14">
            <v>4.3057497626182419E-2</v>
          </cell>
          <cell r="I14">
            <v>58.913512015277149</v>
          </cell>
          <cell r="J14">
            <v>7.5344751889799754E-3</v>
          </cell>
          <cell r="K14">
            <v>7.7253202863558038E-2</v>
          </cell>
          <cell r="L14">
            <v>0.40627242533948182</v>
          </cell>
          <cell r="M14">
            <v>0.48278125516535325</v>
          </cell>
          <cell r="N14">
            <v>6.9108553659227932E-4</v>
          </cell>
          <cell r="O14">
            <v>3.8687675504080588E-2</v>
          </cell>
          <cell r="P14">
            <v>58.913523330624749</v>
          </cell>
          <cell r="Q14">
            <v>6.9704339147860696E-3</v>
          </cell>
          <cell r="R14">
            <v>7.1409183992443698E-2</v>
          </cell>
          <cell r="S14">
            <v>0.40380552571731104</v>
          </cell>
          <cell r="T14">
            <v>0.44595129524323623</v>
          </cell>
          <cell r="U14">
            <v>6.9108569734204601E-4</v>
          </cell>
          <cell r="V14">
            <v>3.455998405862936E-2</v>
          </cell>
          <cell r="W14">
            <v>58.91351479134542</v>
          </cell>
          <cell r="X14">
            <v>6.4431355607304829E-3</v>
          </cell>
          <cell r="Y14">
            <v>6.5965893108681131E-2</v>
          </cell>
          <cell r="Z14">
            <v>0.40155795953738443</v>
          </cell>
          <cell r="AA14">
            <v>0.4121425061430668</v>
          </cell>
          <cell r="AB14">
            <v>6.9108543215850075E-4</v>
          </cell>
          <cell r="AC14">
            <v>3.0685215603659229E-2</v>
          </cell>
          <cell r="AD14">
            <v>58.913506914239804</v>
          </cell>
          <cell r="AE14">
            <v>5.9519955114860921E-3</v>
          </cell>
          <cell r="AF14">
            <v>6.091464993899836E-2</v>
          </cell>
          <cell r="AG14">
            <v>0.39951529489707505</v>
          </cell>
          <cell r="AH14">
            <v>0.38123163419209571</v>
          </cell>
          <cell r="AI14">
            <v>6.9108563338163027E-4</v>
          </cell>
          <cell r="AJ14">
            <v>2.705889650273936E-2</v>
          </cell>
          <cell r="AK14">
            <v>58.913511433127063</v>
          </cell>
          <cell r="AL14">
            <v>5.4962315456010581E-3</v>
          </cell>
          <cell r="AM14">
            <v>5.625477027946621E-2</v>
          </cell>
          <cell r="AN14">
            <v>0.39766879087435864</v>
          </cell>
          <cell r="AO14">
            <v>0.35289825524882784</v>
          </cell>
          <cell r="AP14">
            <v>6.9108557140033007E-4</v>
          </cell>
          <cell r="AQ14">
            <v>2.3692057853337545E-2</v>
          </cell>
          <cell r="AR14">
            <v>58.91350482958574</v>
          </cell>
          <cell r="AS14">
            <v>5.075776224453629E-3</v>
          </cell>
        </row>
        <row r="15">
          <cell r="D15">
            <v>0.12515266972462641</v>
          </cell>
          <cell r="E15">
            <v>0.37018045112299897</v>
          </cell>
          <cell r="F15">
            <v>0.98177634452702278</v>
          </cell>
          <cell r="G15">
            <v>1.8739213528134147E-3</v>
          </cell>
          <cell r="H15">
            <v>3.2769564138102551E-2</v>
          </cell>
          <cell r="I15">
            <v>166.54539483446186</v>
          </cell>
          <cell r="J15">
            <v>1.1292325418869483E-2</v>
          </cell>
          <cell r="K15">
            <v>0.11792220738547983</v>
          </cell>
          <cell r="L15">
            <v>0.36512193352152528</v>
          </cell>
          <cell r="M15">
            <v>0.86781464282266541</v>
          </cell>
          <cell r="N15">
            <v>1.8739217498104396E-3</v>
          </cell>
          <cell r="O15">
            <v>2.9041712295589866E-2</v>
          </cell>
          <cell r="P15">
            <v>166.54541562452522</v>
          </cell>
          <cell r="Q15">
            <v>1.063993297769634E-2</v>
          </cell>
          <cell r="R15">
            <v>0.11087757550731449</v>
          </cell>
          <cell r="S15">
            <v>0.36084059419635078</v>
          </cell>
          <cell r="T15">
            <v>0.76252068294710729</v>
          </cell>
          <cell r="U15">
            <v>1.8739208211501423E-3</v>
          </cell>
          <cell r="V15">
            <v>2.5639490365790139E-2</v>
          </cell>
          <cell r="W15">
            <v>166.54536773790227</v>
          </cell>
          <cell r="X15">
            <v>1.0004303079381925E-2</v>
          </cell>
          <cell r="Y15">
            <v>0.1041767465113491</v>
          </cell>
          <cell r="Z15">
            <v>0.35715448415065187</v>
          </cell>
          <cell r="AA15">
            <v>0.66603800397589519</v>
          </cell>
          <cell r="AB15">
            <v>1.873921930245647E-3</v>
          </cell>
          <cell r="AC15">
            <v>2.2542352700611085E-2</v>
          </cell>
          <cell r="AD15">
            <v>166.54543379579488</v>
          </cell>
          <cell r="AE15">
            <v>9.3996999235005617E-3</v>
          </cell>
          <cell r="AF15">
            <v>9.8126501853339099E-2</v>
          </cell>
          <cell r="AG15">
            <v>0.35404986242713693</v>
          </cell>
          <cell r="AH15">
            <v>0.57972575059472697</v>
          </cell>
          <cell r="AI15">
            <v>1.8739219985869813E-3</v>
          </cell>
          <cell r="AJ15">
            <v>1.9765910620015432E-2</v>
          </cell>
          <cell r="AK15">
            <v>166.54541132463186</v>
          </cell>
          <cell r="AL15">
            <v>8.8537970071824509E-3</v>
          </cell>
          <cell r="AM15">
            <v>9.2725246112278115E-2</v>
          </cell>
          <cell r="AN15">
            <v>0.35143421911519712</v>
          </cell>
          <cell r="AO15">
            <v>0.50424090389582876</v>
          </cell>
          <cell r="AP15">
            <v>1.8739212869985323E-3</v>
          </cell>
          <cell r="AQ15">
            <v>1.7307373778617977E-2</v>
          </cell>
          <cell r="AR15">
            <v>166.54540745667055</v>
          </cell>
          <cell r="AS15">
            <v>8.3664496800051249E-3</v>
          </cell>
        </row>
        <row r="16">
          <cell r="D16">
            <v>0.13927497741570263</v>
          </cell>
          <cell r="E16">
            <v>0.46629212023341365</v>
          </cell>
          <cell r="F16">
            <v>1.1812143370299875</v>
          </cell>
          <cell r="G16">
            <v>1.7677534033125378E-3</v>
          </cell>
          <cell r="H16">
            <v>4.2634024677499098E-2</v>
          </cell>
          <cell r="I16">
            <v>180.10128501905464</v>
          </cell>
          <cell r="J16">
            <v>1.256655716560515E-2</v>
          </cell>
          <cell r="K16">
            <v>0.13249726882716423</v>
          </cell>
          <cell r="L16">
            <v>0.44311528808837403</v>
          </cell>
          <cell r="M16">
            <v>1.072339125462817</v>
          </cell>
          <cell r="N16">
            <v>1.7677532588218458E-3</v>
          </cell>
          <cell r="O16">
            <v>3.8704096471644717E-2</v>
          </cell>
          <cell r="P16">
            <v>180.10130637401463</v>
          </cell>
          <cell r="Q16">
            <v>1.1955016897318338E-2</v>
          </cell>
          <cell r="R16">
            <v>0.1262029361750332</v>
          </cell>
          <cell r="S16">
            <v>0.42426324533056692</v>
          </cell>
          <cell r="T16">
            <v>0.97036381774682245</v>
          </cell>
          <cell r="U16">
            <v>1.7677528907548289E-3</v>
          </cell>
          <cell r="V16">
            <v>3.5101108538860171E-2</v>
          </cell>
          <cell r="W16">
            <v>180.101275871506</v>
          </cell>
          <cell r="X16">
            <v>1.1387086879682689E-2</v>
          </cell>
          <cell r="Y16">
            <v>0.12016088121198615</v>
          </cell>
          <cell r="Z16">
            <v>0.40854464795009471</v>
          </cell>
          <cell r="AA16">
            <v>0.87484942252360398</v>
          </cell>
          <cell r="AB16">
            <v>1.7677529466161633E-3</v>
          </cell>
          <cell r="AC16">
            <v>3.1731744371793019E-2</v>
          </cell>
          <cell r="AD16">
            <v>180.10127182932982</v>
          </cell>
          <cell r="AE16">
            <v>1.0841920844072756E-2</v>
          </cell>
          <cell r="AF16">
            <v>0.11431066383588231</v>
          </cell>
          <cell r="AG16">
            <v>0.39514675611788858</v>
          </cell>
          <cell r="AH16">
            <v>0.7860819003758085</v>
          </cell>
          <cell r="AI16">
            <v>1.7677526386481268E-3</v>
          </cell>
          <cell r="AJ16">
            <v>2.8584012771701733E-2</v>
          </cell>
          <cell r="AK16">
            <v>180.10124840521706</v>
          </cell>
          <cell r="AL16">
            <v>1.031406718152144E-2</v>
          </cell>
          <cell r="AM16">
            <v>0.10874757725401102</v>
          </cell>
          <cell r="AN16">
            <v>0.38387834076362887</v>
          </cell>
          <cell r="AO16">
            <v>0.70467910551731039</v>
          </cell>
          <cell r="AP16">
            <v>1.7677530586477012E-3</v>
          </cell>
          <cell r="AQ16">
            <v>2.5705876401211337E-2</v>
          </cell>
          <cell r="AR16">
            <v>180.10126628693308</v>
          </cell>
          <cell r="AS16">
            <v>9.812119107308389E-3</v>
          </cell>
        </row>
        <row r="17">
          <cell r="D17">
            <v>0.12515266972462641</v>
          </cell>
          <cell r="E17">
            <v>0.37018045112299897</v>
          </cell>
          <cell r="F17">
            <v>0.98177634452702278</v>
          </cell>
          <cell r="G17">
            <v>1.8739213528134147E-3</v>
          </cell>
          <cell r="H17">
            <v>3.2769564138102551E-2</v>
          </cell>
          <cell r="I17">
            <v>166.54539483446186</v>
          </cell>
          <cell r="J17">
            <v>1.1292325418869483E-2</v>
          </cell>
          <cell r="K17">
            <v>0.11792220738547983</v>
          </cell>
          <cell r="L17">
            <v>0.36512193352152528</v>
          </cell>
          <cell r="M17">
            <v>0.86781464282266541</v>
          </cell>
          <cell r="N17">
            <v>1.8739217498104396E-3</v>
          </cell>
          <cell r="O17">
            <v>2.9041712295589866E-2</v>
          </cell>
          <cell r="P17">
            <v>166.54541562452522</v>
          </cell>
          <cell r="Q17">
            <v>1.063993297769634E-2</v>
          </cell>
          <cell r="R17">
            <v>0.11087757550731449</v>
          </cell>
          <cell r="S17">
            <v>0.36084059419635078</v>
          </cell>
          <cell r="T17">
            <v>0.76252068294710729</v>
          </cell>
          <cell r="U17">
            <v>1.8739208211501423E-3</v>
          </cell>
          <cell r="V17">
            <v>2.5639490365790139E-2</v>
          </cell>
          <cell r="W17">
            <v>166.54536773790227</v>
          </cell>
          <cell r="X17">
            <v>1.0004303079381925E-2</v>
          </cell>
          <cell r="Y17">
            <v>0.1041767465113491</v>
          </cell>
          <cell r="Z17">
            <v>0.35715448415065187</v>
          </cell>
          <cell r="AA17">
            <v>0.66603800397589519</v>
          </cell>
          <cell r="AB17">
            <v>1.873921930245647E-3</v>
          </cell>
          <cell r="AC17">
            <v>2.2542352700611085E-2</v>
          </cell>
          <cell r="AD17">
            <v>166.54543379579488</v>
          </cell>
          <cell r="AE17">
            <v>9.3996999235005617E-3</v>
          </cell>
          <cell r="AF17">
            <v>9.8126501853339099E-2</v>
          </cell>
          <cell r="AG17">
            <v>0.35404986242713693</v>
          </cell>
          <cell r="AH17">
            <v>0.57972575059472697</v>
          </cell>
          <cell r="AI17">
            <v>1.8739219985869813E-3</v>
          </cell>
          <cell r="AJ17">
            <v>1.9765910620015432E-2</v>
          </cell>
          <cell r="AK17">
            <v>166.54541132463186</v>
          </cell>
          <cell r="AL17">
            <v>8.8537970071824509E-3</v>
          </cell>
          <cell r="AM17">
            <v>9.2725246112278115E-2</v>
          </cell>
          <cell r="AN17">
            <v>0.35143421911519712</v>
          </cell>
          <cell r="AO17">
            <v>0.50424090389582876</v>
          </cell>
          <cell r="AP17">
            <v>1.8739212869985323E-3</v>
          </cell>
          <cell r="AQ17">
            <v>1.7307373778617977E-2</v>
          </cell>
          <cell r="AR17">
            <v>166.54540745667055</v>
          </cell>
          <cell r="AS17">
            <v>8.3664496800051249E-3</v>
          </cell>
        </row>
        <row r="18">
          <cell r="D18">
            <v>4.6019057175504974E-2</v>
          </cell>
          <cell r="E18">
            <v>0.23774332475000573</v>
          </cell>
          <cell r="F18">
            <v>0.32719680647541144</v>
          </cell>
          <cell r="G18">
            <v>4.4660189176329328E-4</v>
          </cell>
          <cell r="H18">
            <v>2.4563007972926022E-2</v>
          </cell>
          <cell r="I18">
            <v>38.071821072900271</v>
          </cell>
          <cell r="J18">
            <v>4.1522265780973748E-3</v>
          </cell>
          <cell r="K18">
            <v>4.1256103283421976E-2</v>
          </cell>
          <cell r="L18">
            <v>0.23554716265080974</v>
          </cell>
          <cell r="M18">
            <v>0.30214888123747818</v>
          </cell>
          <cell r="N18">
            <v>4.4660184460307463E-4</v>
          </cell>
          <cell r="O18">
            <v>2.1901020883826179E-2</v>
          </cell>
          <cell r="P18">
            <v>38.071823208441309</v>
          </cell>
          <cell r="Q18">
            <v>3.7224725625345937E-3</v>
          </cell>
          <cell r="R18">
            <v>3.6823462252755332E-2</v>
          </cell>
          <cell r="S18">
            <v>0.23361564916335184</v>
          </cell>
          <cell r="T18">
            <v>0.27870058811367243</v>
          </cell>
          <cell r="U18">
            <v>4.4660191069222039E-4</v>
          </cell>
          <cell r="V18">
            <v>1.9370563028971426E-2</v>
          </cell>
          <cell r="W18">
            <v>38.071819829304054</v>
          </cell>
          <cell r="X18">
            <v>3.3225215947608622E-3</v>
          </cell>
          <cell r="Y18">
            <v>3.2686093214011364E-2</v>
          </cell>
          <cell r="Z18">
            <v>0.23191105405808568</v>
          </cell>
          <cell r="AA18">
            <v>0.25652894420864331</v>
          </cell>
          <cell r="AB18">
            <v>4.466019753080203E-4</v>
          </cell>
          <cell r="AC18">
            <v>1.6950602369484331E-2</v>
          </cell>
          <cell r="AD18">
            <v>38.071830204285249</v>
          </cell>
          <cell r="AE18">
            <v>2.9492141591912126E-3</v>
          </cell>
          <cell r="AF18">
            <v>2.8826343829381072E-2</v>
          </cell>
          <cell r="AG18">
            <v>0.23036816090657469</v>
          </cell>
          <cell r="AH18">
            <v>0.23543591103819916</v>
          </cell>
          <cell r="AI18">
            <v>4.4660186125796705E-4</v>
          </cell>
          <cell r="AJ18">
            <v>1.4626689028822314E-2</v>
          </cell>
          <cell r="AK18">
            <v>38.07181772268865</v>
          </cell>
          <cell r="AL18">
            <v>2.6009543106440729E-3</v>
          </cell>
          <cell r="AM18">
            <v>2.5903941325758444E-2</v>
          </cell>
          <cell r="AN18">
            <v>0.22924175053929893</v>
          </cell>
          <cell r="AO18">
            <v>0.21664212361290214</v>
          </cell>
          <cell r="AP18">
            <v>4.4660198806364737E-4</v>
          </cell>
          <cell r="AQ18">
            <v>1.2728470023034597E-2</v>
          </cell>
          <cell r="AR18">
            <v>38.071813147043628</v>
          </cell>
          <cell r="AS18">
            <v>2.3372706875200077E-3</v>
          </cell>
        </row>
        <row r="19">
          <cell r="D19">
            <v>7.4731714184131492E-2</v>
          </cell>
          <cell r="E19">
            <v>0.23599993994813312</v>
          </cell>
          <cell r="F19">
            <v>0.20555450170107092</v>
          </cell>
          <cell r="G19">
            <v>2.8791180196343529E-4</v>
          </cell>
          <cell r="H19">
            <v>1.829342640834376E-2</v>
          </cell>
          <cell r="I19">
            <v>22.271261510097837</v>
          </cell>
          <cell r="J19">
            <v>6.7429224274720354E-3</v>
          </cell>
          <cell r="K19">
            <v>6.6702029095281182E-2</v>
          </cell>
          <cell r="L19">
            <v>0.2281100709626119</v>
          </cell>
          <cell r="M19">
            <v>0.19821179343479425</v>
          </cell>
          <cell r="N19">
            <v>2.8791175201714529E-4</v>
          </cell>
          <cell r="O19">
            <v>1.6487534328171863E-2</v>
          </cell>
          <cell r="P19">
            <v>22.271256112007169</v>
          </cell>
          <cell r="Q19">
            <v>6.0184173846369749E-3</v>
          </cell>
          <cell r="R19">
            <v>5.9068730972763592E-2</v>
          </cell>
          <cell r="S19">
            <v>0.22090764551920511</v>
          </cell>
          <cell r="T19">
            <v>0.19135138730255552</v>
          </cell>
          <cell r="U19">
            <v>2.8791182684222128E-4</v>
          </cell>
          <cell r="V19">
            <v>1.475046865392427E-2</v>
          </cell>
          <cell r="W19">
            <v>22.271263489608529</v>
          </cell>
          <cell r="X19">
            <v>5.3296756081269462E-3</v>
          </cell>
          <cell r="Y19">
            <v>5.1782234484234531E-2</v>
          </cell>
          <cell r="Z19">
            <v>0.21417367154060452</v>
          </cell>
          <cell r="AA19">
            <v>0.18478762866478282</v>
          </cell>
          <cell r="AB19">
            <v>2.8791179873332629E-4</v>
          </cell>
          <cell r="AC19">
            <v>1.3056170295917978E-2</v>
          </cell>
          <cell r="AD19">
            <v>22.27125815267382</v>
          </cell>
          <cell r="AE19">
            <v>4.6722271755845939E-3</v>
          </cell>
          <cell r="AF19">
            <v>4.4956307840598952E-2</v>
          </cell>
          <cell r="AG19">
            <v>0.20783927400239133</v>
          </cell>
          <cell r="AH19">
            <v>0.17838305725917816</v>
          </cell>
          <cell r="AI19">
            <v>2.8791177699648187E-4</v>
          </cell>
          <cell r="AJ19">
            <v>1.1402701697855882E-2</v>
          </cell>
          <cell r="AK19">
            <v>22.271260851643145</v>
          </cell>
          <cell r="AL19">
            <v>4.0563354650994263E-3</v>
          </cell>
          <cell r="AM19">
            <v>3.9846146709456395E-2</v>
          </cell>
          <cell r="AN19">
            <v>0.20302332980219229</v>
          </cell>
          <cell r="AO19">
            <v>0.17249233406782444</v>
          </cell>
          <cell r="AP19">
            <v>2.87911782171829E-4</v>
          </cell>
          <cell r="AQ19">
            <v>9.9379645177759754E-3</v>
          </cell>
          <cell r="AR19">
            <v>22.271257718128961</v>
          </cell>
          <cell r="AS19">
            <v>3.5952550833409889E-3</v>
          </cell>
        </row>
        <row r="20">
          <cell r="D20">
            <v>0.13095174672218127</v>
          </cell>
          <cell r="E20">
            <v>0.49629082179248268</v>
          </cell>
          <cell r="F20">
            <v>1.186650127801262</v>
          </cell>
          <cell r="G20">
            <v>2.4954346257058686E-3</v>
          </cell>
          <cell r="H20">
            <v>3.9374236639522976E-2</v>
          </cell>
          <cell r="I20">
            <v>254.23854571385056</v>
          </cell>
          <cell r="J20">
            <v>1.1815564023556229E-2</v>
          </cell>
          <cell r="K20">
            <v>0.12431762378554365</v>
          </cell>
          <cell r="L20">
            <v>0.4868439847761532</v>
          </cell>
          <cell r="M20">
            <v>1.0415214118246066</v>
          </cell>
          <cell r="N20">
            <v>2.4954334272364047E-3</v>
          </cell>
          <cell r="O20">
            <v>3.5011591348186828E-2</v>
          </cell>
          <cell r="P20">
            <v>254.23851177178003</v>
          </cell>
          <cell r="Q20">
            <v>1.1216977037398481E-2</v>
          </cell>
          <cell r="R20">
            <v>0.11808453801711569</v>
          </cell>
          <cell r="S20">
            <v>0.47964430190348306</v>
          </cell>
          <cell r="T20">
            <v>0.91364226493459333</v>
          </cell>
          <cell r="U20">
            <v>2.4954333425274682E-3</v>
          </cell>
          <cell r="V20">
            <v>3.1083896854688039E-2</v>
          </cell>
          <cell r="W20">
            <v>254.23847707292109</v>
          </cell>
          <cell r="X20">
            <v>1.0654580267680711E-2</v>
          </cell>
          <cell r="Y20">
            <v>0.11222734178646317</v>
          </cell>
          <cell r="Z20">
            <v>0.4743040148615339</v>
          </cell>
          <cell r="AA20">
            <v>0.8003746229939348</v>
          </cell>
          <cell r="AB20">
            <v>2.4954338651265763E-3</v>
          </cell>
          <cell r="AC20">
            <v>2.7532185746590679E-2</v>
          </cell>
          <cell r="AD20">
            <v>254.23847108919361</v>
          </cell>
          <cell r="AE20">
            <v>1.0126092850486785E-2</v>
          </cell>
          <cell r="AF20">
            <v>0.10661563772845942</v>
          </cell>
          <cell r="AG20">
            <v>0.47045819652022075</v>
          </cell>
          <cell r="AH20">
            <v>0.69851558760965882</v>
          </cell>
          <cell r="AI20">
            <v>2.4954335273852284E-3</v>
          </cell>
          <cell r="AJ20">
            <v>2.4261146043949248E-2</v>
          </cell>
          <cell r="AK20">
            <v>254.23852719541449</v>
          </cell>
          <cell r="AL20">
            <v>9.6197582224700796E-3</v>
          </cell>
          <cell r="AM20">
            <v>0.10121913221118084</v>
          </cell>
          <cell r="AN20">
            <v>0.4676289611072546</v>
          </cell>
          <cell r="AO20">
            <v>0.60652272003530283</v>
          </cell>
          <cell r="AP20">
            <v>2.4954341522000403E-3</v>
          </cell>
          <cell r="AQ20">
            <v>2.1231201296007939E-2</v>
          </cell>
          <cell r="AR20">
            <v>254.23853104993103</v>
          </cell>
          <cell r="AS20">
            <v>9.1328399494481263E-3</v>
          </cell>
        </row>
        <row r="21">
          <cell r="D21">
            <v>0.13095174672218127</v>
          </cell>
          <cell r="E21">
            <v>0.49629082179248268</v>
          </cell>
          <cell r="F21">
            <v>1.186650127801262</v>
          </cell>
          <cell r="G21">
            <v>2.4954346257058686E-3</v>
          </cell>
          <cell r="H21">
            <v>3.9374236639522976E-2</v>
          </cell>
          <cell r="I21">
            <v>254.23854571385056</v>
          </cell>
          <cell r="J21">
            <v>1.1815564023556229E-2</v>
          </cell>
          <cell r="K21">
            <v>0.12431762378554365</v>
          </cell>
          <cell r="L21">
            <v>0.4868439847761532</v>
          </cell>
          <cell r="M21">
            <v>1.0415214118246066</v>
          </cell>
          <cell r="N21">
            <v>2.4954334272364047E-3</v>
          </cell>
          <cell r="O21">
            <v>3.5011591348186828E-2</v>
          </cell>
          <cell r="P21">
            <v>254.23851177178003</v>
          </cell>
          <cell r="Q21">
            <v>1.1216977037398481E-2</v>
          </cell>
          <cell r="R21">
            <v>0.11808453801711569</v>
          </cell>
          <cell r="S21">
            <v>0.47964430190348306</v>
          </cell>
          <cell r="T21">
            <v>0.91364226493459333</v>
          </cell>
          <cell r="U21">
            <v>2.4954333425274682E-3</v>
          </cell>
          <cell r="V21">
            <v>3.1083896854688039E-2</v>
          </cell>
          <cell r="W21">
            <v>254.23847707292109</v>
          </cell>
          <cell r="X21">
            <v>1.0654580267680711E-2</v>
          </cell>
          <cell r="Y21">
            <v>0.11222734178646317</v>
          </cell>
          <cell r="Z21">
            <v>0.4743040148615339</v>
          </cell>
          <cell r="AA21">
            <v>0.8003746229939348</v>
          </cell>
          <cell r="AB21">
            <v>2.4954338651265763E-3</v>
          </cell>
          <cell r="AC21">
            <v>2.7532185746590679E-2</v>
          </cell>
          <cell r="AD21">
            <v>254.23847108919361</v>
          </cell>
          <cell r="AE21">
            <v>1.0126092850486785E-2</v>
          </cell>
          <cell r="AF21">
            <v>0.10661563772845942</v>
          </cell>
          <cell r="AG21">
            <v>0.47045819652022075</v>
          </cell>
          <cell r="AH21">
            <v>0.69851558760965882</v>
          </cell>
          <cell r="AI21">
            <v>2.4954335273852284E-3</v>
          </cell>
          <cell r="AJ21">
            <v>2.4261146043949248E-2</v>
          </cell>
          <cell r="AK21">
            <v>254.23852719541449</v>
          </cell>
          <cell r="AL21">
            <v>9.6197582224700796E-3</v>
          </cell>
          <cell r="AM21">
            <v>0.10121913221118084</v>
          </cell>
          <cell r="AN21">
            <v>0.4676289611072546</v>
          </cell>
          <cell r="AO21">
            <v>0.60652272003530283</v>
          </cell>
          <cell r="AP21">
            <v>2.4954341522000403E-3</v>
          </cell>
          <cell r="AQ21">
            <v>2.1231201296007939E-2</v>
          </cell>
          <cell r="AR21">
            <v>254.23853104993103</v>
          </cell>
          <cell r="AS21">
            <v>9.1328399494481263E-3</v>
          </cell>
        </row>
        <row r="22">
          <cell r="D22">
            <v>0.13095174672218127</v>
          </cell>
          <cell r="E22">
            <v>0.49629082179248268</v>
          </cell>
          <cell r="F22">
            <v>1.186650127801262</v>
          </cell>
          <cell r="G22">
            <v>2.4954346257058686E-3</v>
          </cell>
          <cell r="H22">
            <v>3.9374236639522976E-2</v>
          </cell>
          <cell r="I22">
            <v>254.23854571385056</v>
          </cell>
          <cell r="J22">
            <v>1.1815564023556229E-2</v>
          </cell>
          <cell r="K22">
            <v>0.12431762378554365</v>
          </cell>
          <cell r="L22">
            <v>0.4868439847761532</v>
          </cell>
          <cell r="M22">
            <v>1.0415214118246066</v>
          </cell>
          <cell r="N22">
            <v>2.4954334272364047E-3</v>
          </cell>
          <cell r="O22">
            <v>3.5011591348186828E-2</v>
          </cell>
          <cell r="P22">
            <v>254.23851177178003</v>
          </cell>
          <cell r="Q22">
            <v>1.1216977037398481E-2</v>
          </cell>
          <cell r="R22">
            <v>0.11808453801711569</v>
          </cell>
          <cell r="S22">
            <v>0.47964430190348306</v>
          </cell>
          <cell r="T22">
            <v>0.91364226493459333</v>
          </cell>
          <cell r="U22">
            <v>2.4954333425274682E-3</v>
          </cell>
          <cell r="V22">
            <v>3.1083896854688039E-2</v>
          </cell>
          <cell r="W22">
            <v>254.23847707292109</v>
          </cell>
          <cell r="X22">
            <v>1.0654580267680711E-2</v>
          </cell>
          <cell r="Y22">
            <v>0.11222734178646317</v>
          </cell>
          <cell r="Z22">
            <v>0.4743040148615339</v>
          </cell>
          <cell r="AA22">
            <v>0.8003746229939348</v>
          </cell>
          <cell r="AB22">
            <v>2.4954338651265763E-3</v>
          </cell>
          <cell r="AC22">
            <v>2.7532185746590679E-2</v>
          </cell>
          <cell r="AD22">
            <v>254.23847108919361</v>
          </cell>
          <cell r="AE22">
            <v>1.0126092850486785E-2</v>
          </cell>
          <cell r="AF22">
            <v>0.10661563772845942</v>
          </cell>
          <cell r="AG22">
            <v>0.47045819652022075</v>
          </cell>
          <cell r="AH22">
            <v>0.69851558760965882</v>
          </cell>
          <cell r="AI22">
            <v>2.4954335273852284E-3</v>
          </cell>
          <cell r="AJ22">
            <v>2.4261146043949248E-2</v>
          </cell>
          <cell r="AK22">
            <v>254.23852719541449</v>
          </cell>
          <cell r="AL22">
            <v>9.6197582224700796E-3</v>
          </cell>
          <cell r="AM22">
            <v>0.10121913221118084</v>
          </cell>
          <cell r="AN22">
            <v>0.4676289611072546</v>
          </cell>
          <cell r="AO22">
            <v>0.60652272003530283</v>
          </cell>
          <cell r="AP22">
            <v>2.4954341522000403E-3</v>
          </cell>
          <cell r="AQ22">
            <v>2.1231201296007939E-2</v>
          </cell>
          <cell r="AR22">
            <v>254.23853104993103</v>
          </cell>
          <cell r="AS22">
            <v>9.1328399494481263E-3</v>
          </cell>
        </row>
        <row r="23">
          <cell r="D23">
            <v>1.5948887253296615E-2</v>
          </cell>
          <cell r="E23">
            <v>5.4422779633758432E-2</v>
          </cell>
          <cell r="F23">
            <v>0.10081226708497142</v>
          </cell>
          <cell r="G23">
            <v>1.6770241908781297E-4</v>
          </cell>
          <cell r="H23">
            <v>3.8631697060096657E-3</v>
          </cell>
          <cell r="I23">
            <v>13.217293885230841</v>
          </cell>
          <cell r="J23">
            <v>1.4390426214159915E-3</v>
          </cell>
          <cell r="K23">
            <v>1.594510335063087E-2</v>
          </cell>
          <cell r="L23">
            <v>5.4422783744872555E-2</v>
          </cell>
          <cell r="M23">
            <v>0.10076028789088502</v>
          </cell>
          <cell r="N23">
            <v>1.6770240347751571E-4</v>
          </cell>
          <cell r="O23">
            <v>3.8157649715352916E-3</v>
          </cell>
          <cell r="P23">
            <v>13.217292257606214</v>
          </cell>
          <cell r="Q23">
            <v>1.4387014990348871E-3</v>
          </cell>
          <cell r="R23">
            <v>1.5945103311665532E-2</v>
          </cell>
          <cell r="S23">
            <v>5.4422773131625232E-2</v>
          </cell>
          <cell r="T23">
            <v>0.10076027214065375</v>
          </cell>
          <cell r="U23">
            <v>1.6770233483260697E-4</v>
          </cell>
          <cell r="V23">
            <v>3.7784596414391488E-3</v>
          </cell>
          <cell r="W23">
            <v>13.217291741948072</v>
          </cell>
          <cell r="X23">
            <v>1.4387010542643562E-3</v>
          </cell>
          <cell r="Y23">
            <v>1.5945098772087649E-2</v>
          </cell>
          <cell r="Z23">
            <v>5.442276407057408E-2</v>
          </cell>
          <cell r="AA23">
            <v>0.10076025220092945</v>
          </cell>
          <cell r="AB23">
            <v>1.6770235588901616E-4</v>
          </cell>
          <cell r="AC23">
            <v>3.7620603753407964E-3</v>
          </cell>
          <cell r="AD23">
            <v>13.217291495541826</v>
          </cell>
          <cell r="AE23">
            <v>1.4387011113433123E-3</v>
          </cell>
          <cell r="AF23">
            <v>1.5945101750761009E-2</v>
          </cell>
          <cell r="AG23">
            <v>5.4422774559151649E-2</v>
          </cell>
          <cell r="AH23">
            <v>0.10076026996557157</v>
          </cell>
          <cell r="AI23">
            <v>1.6770237031265851E-4</v>
          </cell>
          <cell r="AJ23">
            <v>3.7599067044820915E-3</v>
          </cell>
          <cell r="AK23">
            <v>13.217289175336852</v>
          </cell>
          <cell r="AL23">
            <v>1.4387009726799956E-3</v>
          </cell>
          <cell r="AM23">
            <v>1.5945102824719573E-2</v>
          </cell>
          <cell r="AN23">
            <v>5.4422774488749978E-2</v>
          </cell>
          <cell r="AO23">
            <v>0.10076027326942415</v>
          </cell>
          <cell r="AP23">
            <v>1.6770238827263772E-4</v>
          </cell>
          <cell r="AQ23">
            <v>3.7629820724530312E-3</v>
          </cell>
          <cell r="AR23">
            <v>13.217291420484697</v>
          </cell>
          <cell r="AS23">
            <v>1.4387012607638549E-3</v>
          </cell>
        </row>
        <row r="24">
          <cell r="D24">
            <v>0.13095174672218127</v>
          </cell>
          <cell r="E24">
            <v>0.49629082179248268</v>
          </cell>
          <cell r="F24">
            <v>1.186650127801262</v>
          </cell>
          <cell r="G24">
            <v>2.4954346257058686E-3</v>
          </cell>
          <cell r="H24">
            <v>3.9374236639522976E-2</v>
          </cell>
          <cell r="I24">
            <v>254.23854571385056</v>
          </cell>
          <cell r="J24">
            <v>1.1815564023556229E-2</v>
          </cell>
          <cell r="K24">
            <v>0.12431762378554365</v>
          </cell>
          <cell r="L24">
            <v>0.4868439847761532</v>
          </cell>
          <cell r="M24">
            <v>1.0415214118246066</v>
          </cell>
          <cell r="N24">
            <v>2.4954334272364047E-3</v>
          </cell>
          <cell r="O24">
            <v>3.5011591348186828E-2</v>
          </cell>
          <cell r="P24">
            <v>254.23851177178003</v>
          </cell>
          <cell r="Q24">
            <v>1.1216977037398481E-2</v>
          </cell>
          <cell r="R24">
            <v>0.11808453801711569</v>
          </cell>
          <cell r="S24">
            <v>0.47964430190348306</v>
          </cell>
          <cell r="T24">
            <v>0.91364226493459333</v>
          </cell>
          <cell r="U24">
            <v>2.4954333425274682E-3</v>
          </cell>
          <cell r="V24">
            <v>3.1083896854688039E-2</v>
          </cell>
          <cell r="W24">
            <v>254.23847707292109</v>
          </cell>
          <cell r="X24">
            <v>1.0654580267680711E-2</v>
          </cell>
          <cell r="Y24">
            <v>0.11222734178646317</v>
          </cell>
          <cell r="Z24">
            <v>0.4743040148615339</v>
          </cell>
          <cell r="AA24">
            <v>0.8003746229939348</v>
          </cell>
          <cell r="AB24">
            <v>2.4954338651265763E-3</v>
          </cell>
          <cell r="AC24">
            <v>2.7532185746590679E-2</v>
          </cell>
          <cell r="AD24">
            <v>254.23847108919361</v>
          </cell>
          <cell r="AE24">
            <v>1.0126092850486785E-2</v>
          </cell>
          <cell r="AF24">
            <v>0.10661563772845942</v>
          </cell>
          <cell r="AG24">
            <v>0.47045819652022075</v>
          </cell>
          <cell r="AH24">
            <v>0.69851558760965882</v>
          </cell>
          <cell r="AI24">
            <v>2.4954335273852284E-3</v>
          </cell>
          <cell r="AJ24">
            <v>2.4261146043949248E-2</v>
          </cell>
          <cell r="AK24">
            <v>254.23852719541449</v>
          </cell>
          <cell r="AL24">
            <v>9.6197582224700796E-3</v>
          </cell>
          <cell r="AM24">
            <v>0.10121913221118084</v>
          </cell>
          <cell r="AN24">
            <v>0.4676289611072546</v>
          </cell>
          <cell r="AO24">
            <v>0.60652272003530283</v>
          </cell>
          <cell r="AP24">
            <v>2.4954341522000403E-3</v>
          </cell>
          <cell r="AQ24">
            <v>2.1231201296007939E-2</v>
          </cell>
          <cell r="AR24">
            <v>254.23853104993103</v>
          </cell>
          <cell r="AS24">
            <v>9.1328399494481263E-3</v>
          </cell>
        </row>
        <row r="25">
          <cell r="D25">
            <v>0.13095174672218127</v>
          </cell>
          <cell r="E25">
            <v>0.49629082179248268</v>
          </cell>
          <cell r="F25">
            <v>1.186650127801262</v>
          </cell>
          <cell r="G25">
            <v>2.4954346257058686E-3</v>
          </cell>
          <cell r="H25">
            <v>3.9374236639522976E-2</v>
          </cell>
          <cell r="I25">
            <v>254.23854571385056</v>
          </cell>
          <cell r="J25">
            <v>1.1815564023556229E-2</v>
          </cell>
          <cell r="K25">
            <v>0.12431762378554365</v>
          </cell>
          <cell r="L25">
            <v>0.4868439847761532</v>
          </cell>
          <cell r="M25">
            <v>1.0415214118246066</v>
          </cell>
          <cell r="N25">
            <v>2.4954334272364047E-3</v>
          </cell>
          <cell r="O25">
            <v>3.5011591348186828E-2</v>
          </cell>
          <cell r="P25">
            <v>254.23851177178003</v>
          </cell>
          <cell r="Q25">
            <v>1.1216977037398481E-2</v>
          </cell>
          <cell r="R25">
            <v>0.11808453801711569</v>
          </cell>
          <cell r="S25">
            <v>0.47964430190348306</v>
          </cell>
          <cell r="T25">
            <v>0.91364226493459333</v>
          </cell>
          <cell r="U25">
            <v>2.4954333425274682E-3</v>
          </cell>
          <cell r="V25">
            <v>3.1083896854688039E-2</v>
          </cell>
          <cell r="W25">
            <v>254.23847707292109</v>
          </cell>
          <cell r="X25">
            <v>1.0654580267680711E-2</v>
          </cell>
          <cell r="Y25">
            <v>0.11222734178646317</v>
          </cell>
          <cell r="Z25">
            <v>0.4743040148615339</v>
          </cell>
          <cell r="AA25">
            <v>0.8003746229939348</v>
          </cell>
          <cell r="AB25">
            <v>2.4954338651265763E-3</v>
          </cell>
          <cell r="AC25">
            <v>2.7532185746590679E-2</v>
          </cell>
          <cell r="AD25">
            <v>254.23847108919361</v>
          </cell>
          <cell r="AE25">
            <v>1.0126092850486785E-2</v>
          </cell>
          <cell r="AF25">
            <v>0.10661563772845942</v>
          </cell>
          <cell r="AG25">
            <v>0.47045819652022075</v>
          </cell>
          <cell r="AH25">
            <v>0.69851558760965882</v>
          </cell>
          <cell r="AI25">
            <v>2.4954335273852284E-3</v>
          </cell>
          <cell r="AJ25">
            <v>2.4261146043949248E-2</v>
          </cell>
          <cell r="AK25">
            <v>254.23852719541449</v>
          </cell>
          <cell r="AL25">
            <v>9.6197582224700796E-3</v>
          </cell>
          <cell r="AM25">
            <v>0.10121913221118084</v>
          </cell>
          <cell r="AN25">
            <v>0.4676289611072546</v>
          </cell>
          <cell r="AO25">
            <v>0.60652272003530283</v>
          </cell>
          <cell r="AP25">
            <v>2.4954341522000403E-3</v>
          </cell>
          <cell r="AQ25">
            <v>2.1231201296007939E-2</v>
          </cell>
          <cell r="AR25">
            <v>254.23853104993103</v>
          </cell>
          <cell r="AS25">
            <v>9.1328399494481263E-3</v>
          </cell>
        </row>
        <row r="26">
          <cell r="D26">
            <v>1.5948887253296615E-2</v>
          </cell>
          <cell r="E26">
            <v>5.4422779633758432E-2</v>
          </cell>
          <cell r="F26">
            <v>0.10081226708497142</v>
          </cell>
          <cell r="G26">
            <v>1.6770241908781297E-4</v>
          </cell>
          <cell r="H26">
            <v>3.8631697060096657E-3</v>
          </cell>
          <cell r="I26">
            <v>13.217293885230841</v>
          </cell>
          <cell r="J26">
            <v>1.4390426214159915E-3</v>
          </cell>
          <cell r="K26">
            <v>1.594510335063087E-2</v>
          </cell>
          <cell r="L26">
            <v>5.4422783744872555E-2</v>
          </cell>
          <cell r="M26">
            <v>0.10076028789088502</v>
          </cell>
          <cell r="N26">
            <v>1.6770240347751571E-4</v>
          </cell>
          <cell r="O26">
            <v>3.8157649715352916E-3</v>
          </cell>
          <cell r="P26">
            <v>13.217292257606214</v>
          </cell>
          <cell r="Q26">
            <v>1.4387014990348871E-3</v>
          </cell>
          <cell r="R26">
            <v>1.5945103311665532E-2</v>
          </cell>
          <cell r="S26">
            <v>5.4422773131625232E-2</v>
          </cell>
          <cell r="T26">
            <v>0.10076027214065375</v>
          </cell>
          <cell r="U26">
            <v>1.6770233483260697E-4</v>
          </cell>
          <cell r="V26">
            <v>3.7784596414391488E-3</v>
          </cell>
          <cell r="W26">
            <v>13.217291741948072</v>
          </cell>
          <cell r="X26">
            <v>1.4387010542643562E-3</v>
          </cell>
          <cell r="Y26">
            <v>1.5945098772087649E-2</v>
          </cell>
          <cell r="Z26">
            <v>5.442276407057408E-2</v>
          </cell>
          <cell r="AA26">
            <v>0.10076025220092945</v>
          </cell>
          <cell r="AB26">
            <v>1.6770235588901616E-4</v>
          </cell>
          <cell r="AC26">
            <v>3.7620603753407964E-3</v>
          </cell>
          <cell r="AD26">
            <v>13.217291495541826</v>
          </cell>
          <cell r="AE26">
            <v>1.4387011113433123E-3</v>
          </cell>
          <cell r="AF26">
            <v>1.5945101750761009E-2</v>
          </cell>
          <cell r="AG26">
            <v>5.4422774559151649E-2</v>
          </cell>
          <cell r="AH26">
            <v>0.10076026996557157</v>
          </cell>
          <cell r="AI26">
            <v>1.6770237031265851E-4</v>
          </cell>
          <cell r="AJ26">
            <v>3.7599067044820915E-3</v>
          </cell>
          <cell r="AK26">
            <v>13.217289175336852</v>
          </cell>
          <cell r="AL26">
            <v>1.4387009726799956E-3</v>
          </cell>
          <cell r="AM26">
            <v>1.5945102824719573E-2</v>
          </cell>
          <cell r="AN26">
            <v>5.4422774488749978E-2</v>
          </cell>
          <cell r="AO26">
            <v>0.10076027326942415</v>
          </cell>
          <cell r="AP26">
            <v>1.6770238827263772E-4</v>
          </cell>
          <cell r="AQ26">
            <v>3.7629820724530312E-3</v>
          </cell>
          <cell r="AR26">
            <v>13.217291420484697</v>
          </cell>
          <cell r="AS26">
            <v>1.4387012607638549E-3</v>
          </cell>
        </row>
        <row r="27">
          <cell r="D27">
            <v>3.7835624751667511E-2</v>
          </cell>
          <cell r="E27">
            <v>0.21382896248587013</v>
          </cell>
          <cell r="F27">
            <v>0.20522072331931707</v>
          </cell>
          <cell r="G27">
            <v>3.2989898219504352E-4</v>
          </cell>
          <cell r="H27">
            <v>1.1340996580682031E-2</v>
          </cell>
          <cell r="I27">
            <v>25.519145338424273</v>
          </cell>
          <cell r="J27">
            <v>3.413848047070189E-3</v>
          </cell>
          <cell r="K27">
            <v>3.2313389441625637E-2</v>
          </cell>
          <cell r="L27">
            <v>0.20888838973783272</v>
          </cell>
          <cell r="M27">
            <v>0.19528012870004316</v>
          </cell>
          <cell r="N27">
            <v>3.2989899838564078E-4</v>
          </cell>
          <cell r="O27">
            <v>9.4357694471528322E-3</v>
          </cell>
          <cell r="P27">
            <v>25.519155927350894</v>
          </cell>
          <cell r="Q27">
            <v>2.915585728687426E-3</v>
          </cell>
          <cell r="R27">
            <v>2.8760043847205142E-2</v>
          </cell>
          <cell r="S27">
            <v>0.2056622084896545</v>
          </cell>
          <cell r="T27">
            <v>0.18651098164383836</v>
          </cell>
          <cell r="U27">
            <v>3.2989891667688166E-4</v>
          </cell>
          <cell r="V27">
            <v>7.8581018865657003E-3</v>
          </cell>
          <cell r="W27">
            <v>25.519147952057935</v>
          </cell>
          <cell r="X27">
            <v>2.5949730637661525E-3</v>
          </cell>
          <cell r="Y27">
            <v>2.6321181794284464E-2</v>
          </cell>
          <cell r="Z27">
            <v>0.20347097469626613</v>
          </cell>
          <cell r="AA27">
            <v>0.17869028142028628</v>
          </cell>
          <cell r="AB27">
            <v>3.2989903974974726E-4</v>
          </cell>
          <cell r="AC27">
            <v>6.5051366941734539E-3</v>
          </cell>
          <cell r="AD27">
            <v>25.519164465886792</v>
          </cell>
          <cell r="AE27">
            <v>2.3749178457344233E-3</v>
          </cell>
          <cell r="AF27">
            <v>2.4499499630862814E-2</v>
          </cell>
          <cell r="AG27">
            <v>0.20187952825057154</v>
          </cell>
          <cell r="AH27">
            <v>0.17170195380948614</v>
          </cell>
          <cell r="AI27">
            <v>3.2989903632136842E-4</v>
          </cell>
          <cell r="AJ27">
            <v>5.3359458327880234E-3</v>
          </cell>
          <cell r="AK27">
            <v>25.519154699847764</v>
          </cell>
          <cell r="AL27">
            <v>2.2105503762096354E-3</v>
          </cell>
          <cell r="AM27">
            <v>2.2997456128846298E-2</v>
          </cell>
          <cell r="AN27">
            <v>0.2006067710254229</v>
          </cell>
          <cell r="AO27">
            <v>0.16548506068696145</v>
          </cell>
          <cell r="AP27">
            <v>3.2989894237595523E-4</v>
          </cell>
          <cell r="AQ27">
            <v>4.3199288987692706E-3</v>
          </cell>
          <cell r="AR27">
            <v>25.519150770246078</v>
          </cell>
          <cell r="AS27">
            <v>2.075023596652533E-3</v>
          </cell>
        </row>
        <row r="28">
          <cell r="D28">
            <v>7.9630470223994193E-2</v>
          </cell>
          <cell r="E28">
            <v>0.58637723086464177</v>
          </cell>
          <cell r="F28">
            <v>0.66358180384813992</v>
          </cell>
          <cell r="G28">
            <v>1.1984855682957594E-3</v>
          </cell>
          <cell r="H28">
            <v>3.3127048381557375E-2</v>
          </cell>
          <cell r="I28">
            <v>106.51583149623336</v>
          </cell>
          <cell r="J28">
            <v>7.184929780442325E-3</v>
          </cell>
          <cell r="K28">
            <v>7.286061057649322E-2</v>
          </cell>
          <cell r="L28">
            <v>0.58616128308347026</v>
          </cell>
          <cell r="M28">
            <v>0.58561044097076953</v>
          </cell>
          <cell r="N28">
            <v>1.1984861301590408E-3</v>
          </cell>
          <cell r="O28">
            <v>2.9059944528891633E-2</v>
          </cell>
          <cell r="P28">
            <v>106.51585692695846</v>
          </cell>
          <cell r="Q28">
            <v>6.5740964019932796E-3</v>
          </cell>
          <cell r="R28">
            <v>6.6518596416898113E-2</v>
          </cell>
          <cell r="S28">
            <v>0.58598292835088706</v>
          </cell>
          <cell r="T28">
            <v>0.51326755550207159</v>
          </cell>
          <cell r="U28">
            <v>1.1984855559537273E-3</v>
          </cell>
          <cell r="V28">
            <v>2.5239019637598413E-2</v>
          </cell>
          <cell r="W28">
            <v>106.51578469673143</v>
          </cell>
          <cell r="X28">
            <v>6.0018670018210487E-3</v>
          </cell>
          <cell r="Y28">
            <v>6.0803262455856037E-2</v>
          </cell>
          <cell r="Z28">
            <v>0.58590611045229057</v>
          </cell>
          <cell r="AA28">
            <v>0.44776718455555292</v>
          </cell>
          <cell r="AB28">
            <v>1.1984860337219379E-3</v>
          </cell>
          <cell r="AC28">
            <v>2.1762998114598715E-2</v>
          </cell>
          <cell r="AD28">
            <v>106.5158537913082</v>
          </cell>
          <cell r="AE28">
            <v>5.4861803870114613E-3</v>
          </cell>
          <cell r="AF28">
            <v>5.6239287968855772E-2</v>
          </cell>
          <cell r="AG28">
            <v>0.58588888371292769</v>
          </cell>
          <cell r="AH28">
            <v>0.39118463182040636</v>
          </cell>
          <cell r="AI28">
            <v>1.198486146050519E-3</v>
          </cell>
          <cell r="AJ28">
            <v>1.8880553868269818E-2</v>
          </cell>
          <cell r="AK28">
            <v>106.51584407134968</v>
          </cell>
          <cell r="AL28">
            <v>5.0743808831082643E-3</v>
          </cell>
          <cell r="AM28">
            <v>5.2428261523862159E-2</v>
          </cell>
          <cell r="AN28">
            <v>0.58586982193623949</v>
          </cell>
          <cell r="AO28">
            <v>0.34144050849615443</v>
          </cell>
          <cell r="AP28">
            <v>1.1984859903284837E-3</v>
          </cell>
          <cell r="AQ28">
            <v>1.642059451632661E-2</v>
          </cell>
          <cell r="AR28">
            <v>106.51582542370917</v>
          </cell>
          <cell r="AS28">
            <v>4.7305181949433943E-3</v>
          </cell>
        </row>
        <row r="29">
          <cell r="D29">
            <v>1.1765479299563907E-2</v>
          </cell>
          <cell r="E29">
            <v>6.1714715595037384E-2</v>
          </cell>
          <cell r="F29">
            <v>7.3679897784035414E-2</v>
          </cell>
          <cell r="G29">
            <v>1.572791439192002E-4</v>
          </cell>
          <cell r="H29">
            <v>2.8774150989504376E-3</v>
          </cell>
          <cell r="I29">
            <v>10.107340281314988</v>
          </cell>
          <cell r="J29">
            <v>1.0615801987134306E-3</v>
          </cell>
          <cell r="K29">
            <v>1.1765479064338774E-2</v>
          </cell>
          <cell r="L29">
            <v>6.1714712422279903E-2</v>
          </cell>
          <cell r="M29">
            <v>7.3679898690290249E-2</v>
          </cell>
          <cell r="N29">
            <v>1.5727915874240951E-4</v>
          </cell>
          <cell r="O29">
            <v>2.8790714915146775E-3</v>
          </cell>
          <cell r="P29">
            <v>10.107339932266072</v>
          </cell>
          <cell r="Q29">
            <v>1.0615801067499801E-3</v>
          </cell>
          <cell r="R29">
            <v>1.176547805155017E-2</v>
          </cell>
          <cell r="S29">
            <v>6.1714716989306695E-2</v>
          </cell>
          <cell r="T29">
            <v>7.3679895811831972E-2</v>
          </cell>
          <cell r="U29">
            <v>1.572791637934881E-4</v>
          </cell>
          <cell r="V29">
            <v>2.8790715865215336E-3</v>
          </cell>
          <cell r="W29">
            <v>10.107340259528531</v>
          </cell>
          <cell r="X29">
            <v>1.0615802148342963E-3</v>
          </cell>
          <cell r="Y29">
            <v>1.1765476462069602E-2</v>
          </cell>
          <cell r="Z29">
            <v>6.1714709525793505E-2</v>
          </cell>
          <cell r="AA29">
            <v>7.3679889623947101E-2</v>
          </cell>
          <cell r="AB29">
            <v>1.5727910183139585E-4</v>
          </cell>
          <cell r="AC29">
            <v>2.8790716861634286E-3</v>
          </cell>
          <cell r="AD29">
            <v>10.107340651040547</v>
          </cell>
          <cell r="AE29">
            <v>1.0615800521627282E-3</v>
          </cell>
          <cell r="AF29">
            <v>1.1765474967285321E-2</v>
          </cell>
          <cell r="AG29">
            <v>6.1714712671687447E-2</v>
          </cell>
          <cell r="AH29">
            <v>7.3679891062277458E-2</v>
          </cell>
          <cell r="AI29">
            <v>1.5727912768491971E-4</v>
          </cell>
          <cell r="AJ29">
            <v>2.8790710876289661E-3</v>
          </cell>
          <cell r="AK29">
            <v>10.107339530928645</v>
          </cell>
          <cell r="AL29">
            <v>1.0615798807708174E-3</v>
          </cell>
          <cell r="AM29">
            <v>1.1765473786187855E-2</v>
          </cell>
          <cell r="AN29">
            <v>6.1714707158800015E-2</v>
          </cell>
          <cell r="AO29">
            <v>7.3679887120874948E-2</v>
          </cell>
          <cell r="AP29">
            <v>1.572791321913264E-4</v>
          </cell>
          <cell r="AQ29">
            <v>2.8790707794713148E-3</v>
          </cell>
          <cell r="AR29">
            <v>10.107338562182004</v>
          </cell>
          <cell r="AS29">
            <v>1.061580028707935E-3</v>
          </cell>
        </row>
        <row r="30">
          <cell r="D30">
            <v>0.12515266972462641</v>
          </cell>
          <cell r="E30">
            <v>0.37018045112299897</v>
          </cell>
          <cell r="F30">
            <v>0.98177634452702278</v>
          </cell>
          <cell r="G30">
            <v>1.8739213528134147E-3</v>
          </cell>
          <cell r="H30">
            <v>3.2769564138102551E-2</v>
          </cell>
          <cell r="I30">
            <v>166.54539483446186</v>
          </cell>
          <cell r="J30">
            <v>1.1292325418869483E-2</v>
          </cell>
          <cell r="K30">
            <v>0.11792220738547983</v>
          </cell>
          <cell r="L30">
            <v>0.36512193352152528</v>
          </cell>
          <cell r="M30">
            <v>0.86781464282266541</v>
          </cell>
          <cell r="N30">
            <v>1.8739217498104396E-3</v>
          </cell>
          <cell r="O30">
            <v>2.9041712295589866E-2</v>
          </cell>
          <cell r="P30">
            <v>166.54541562452522</v>
          </cell>
          <cell r="Q30">
            <v>1.063993297769634E-2</v>
          </cell>
          <cell r="R30">
            <v>0.11087757550731449</v>
          </cell>
          <cell r="S30">
            <v>0.36084059419635078</v>
          </cell>
          <cell r="T30">
            <v>0.76252068294710729</v>
          </cell>
          <cell r="U30">
            <v>1.8739208211501423E-3</v>
          </cell>
          <cell r="V30">
            <v>2.5639490365790139E-2</v>
          </cell>
          <cell r="W30">
            <v>166.54536773790227</v>
          </cell>
          <cell r="X30">
            <v>1.0004303079381925E-2</v>
          </cell>
          <cell r="Y30">
            <v>0.1041767465113491</v>
          </cell>
          <cell r="Z30">
            <v>0.35715448415065187</v>
          </cell>
          <cell r="AA30">
            <v>0.66603800397589519</v>
          </cell>
          <cell r="AB30">
            <v>1.873921930245647E-3</v>
          </cell>
          <cell r="AC30">
            <v>2.2542352700611085E-2</v>
          </cell>
          <cell r="AD30">
            <v>166.54543379579488</v>
          </cell>
          <cell r="AE30">
            <v>9.3996999235005617E-3</v>
          </cell>
          <cell r="AF30">
            <v>9.8126501853339099E-2</v>
          </cell>
          <cell r="AG30">
            <v>0.35404986242713693</v>
          </cell>
          <cell r="AH30">
            <v>0.57972575059472697</v>
          </cell>
          <cell r="AI30">
            <v>1.8739219985869813E-3</v>
          </cell>
          <cell r="AJ30">
            <v>1.9765910620015432E-2</v>
          </cell>
          <cell r="AK30">
            <v>166.54541132463186</v>
          </cell>
          <cell r="AL30">
            <v>8.8537970071824509E-3</v>
          </cell>
          <cell r="AM30">
            <v>9.2725246112278115E-2</v>
          </cell>
          <cell r="AN30">
            <v>0.35143421911519712</v>
          </cell>
          <cell r="AO30">
            <v>0.50424090389582876</v>
          </cell>
          <cell r="AP30">
            <v>1.8739212869985323E-3</v>
          </cell>
          <cell r="AQ30">
            <v>1.7307373778617977E-2</v>
          </cell>
          <cell r="AR30">
            <v>166.54540745667055</v>
          </cell>
          <cell r="AS30">
            <v>8.3664496800051249E-3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D32">
            <v>0.13095174672218127</v>
          </cell>
          <cell r="E32">
            <v>0.49629082179248268</v>
          </cell>
          <cell r="F32">
            <v>1.186650127801262</v>
          </cell>
          <cell r="G32">
            <v>2.4954346257058686E-3</v>
          </cell>
          <cell r="H32">
            <v>3.9374236639522976E-2</v>
          </cell>
          <cell r="I32">
            <v>254.23854571385056</v>
          </cell>
          <cell r="J32">
            <v>1.1815564023556229E-2</v>
          </cell>
          <cell r="K32">
            <v>0.12431762378554365</v>
          </cell>
          <cell r="L32">
            <v>0.4868439847761532</v>
          </cell>
          <cell r="M32">
            <v>1.0415214118246066</v>
          </cell>
          <cell r="N32">
            <v>2.4954334272364047E-3</v>
          </cell>
          <cell r="O32">
            <v>3.5011591348186828E-2</v>
          </cell>
          <cell r="P32">
            <v>254.23851177178003</v>
          </cell>
          <cell r="Q32">
            <v>1.1216977037398481E-2</v>
          </cell>
          <cell r="R32">
            <v>0.11808453801711569</v>
          </cell>
          <cell r="S32">
            <v>0.47964430190348306</v>
          </cell>
          <cell r="T32">
            <v>0.91364226493459333</v>
          </cell>
          <cell r="U32">
            <v>2.4954333425274682E-3</v>
          </cell>
          <cell r="V32">
            <v>3.1083896854688039E-2</v>
          </cell>
          <cell r="W32">
            <v>254.23847707292109</v>
          </cell>
          <cell r="X32">
            <v>1.0654580267680711E-2</v>
          </cell>
          <cell r="Y32">
            <v>0.11222734178646317</v>
          </cell>
          <cell r="Z32">
            <v>0.4743040148615339</v>
          </cell>
          <cell r="AA32">
            <v>0.8003746229939348</v>
          </cell>
          <cell r="AB32">
            <v>2.4954338651265763E-3</v>
          </cell>
          <cell r="AC32">
            <v>2.7532185746590679E-2</v>
          </cell>
          <cell r="AD32">
            <v>254.23847108919361</v>
          </cell>
          <cell r="AE32">
            <v>1.0126092850486785E-2</v>
          </cell>
          <cell r="AF32">
            <v>0.10661563772845942</v>
          </cell>
          <cell r="AG32">
            <v>0.47045819652022075</v>
          </cell>
          <cell r="AH32">
            <v>0.69851558760965882</v>
          </cell>
          <cell r="AI32">
            <v>2.4954335273852284E-3</v>
          </cell>
          <cell r="AJ32">
            <v>2.4261146043949248E-2</v>
          </cell>
          <cell r="AK32">
            <v>254.23852719541449</v>
          </cell>
          <cell r="AL32">
            <v>9.6197582224700796E-3</v>
          </cell>
          <cell r="AM32">
            <v>0.10121913221118084</v>
          </cell>
          <cell r="AN32">
            <v>0.4676289611072546</v>
          </cell>
          <cell r="AO32">
            <v>0.60652272003530283</v>
          </cell>
          <cell r="AP32">
            <v>2.4954341522000403E-3</v>
          </cell>
          <cell r="AQ32">
            <v>2.1231201296007939E-2</v>
          </cell>
          <cell r="AR32">
            <v>254.23853104993103</v>
          </cell>
          <cell r="AS32">
            <v>9.1328399494481263E-3</v>
          </cell>
        </row>
        <row r="33">
          <cell r="D33">
            <v>0.12515266972462641</v>
          </cell>
          <cell r="E33">
            <v>0.37018045112299897</v>
          </cell>
          <cell r="F33">
            <v>0.98177634452702278</v>
          </cell>
          <cell r="G33">
            <v>1.8739213528134147E-3</v>
          </cell>
          <cell r="H33">
            <v>3.2769564138102551E-2</v>
          </cell>
          <cell r="I33">
            <v>166.54539483446186</v>
          </cell>
          <cell r="J33">
            <v>1.1292325418869483E-2</v>
          </cell>
          <cell r="K33">
            <v>0.11792220738547983</v>
          </cell>
          <cell r="L33">
            <v>0.36512193352152528</v>
          </cell>
          <cell r="M33">
            <v>0.86781464282266541</v>
          </cell>
          <cell r="N33">
            <v>1.8739217498104396E-3</v>
          </cell>
          <cell r="O33">
            <v>2.9041712295589866E-2</v>
          </cell>
          <cell r="P33">
            <v>166.54541562452522</v>
          </cell>
          <cell r="Q33">
            <v>1.063993297769634E-2</v>
          </cell>
          <cell r="R33">
            <v>0.11087757550731449</v>
          </cell>
          <cell r="S33">
            <v>0.36084059419635078</v>
          </cell>
          <cell r="T33">
            <v>0.76252068294710729</v>
          </cell>
          <cell r="U33">
            <v>1.8739208211501423E-3</v>
          </cell>
          <cell r="V33">
            <v>2.5639490365790139E-2</v>
          </cell>
          <cell r="W33">
            <v>166.54536773790227</v>
          </cell>
          <cell r="X33">
            <v>1.0004303079381925E-2</v>
          </cell>
          <cell r="Y33">
            <v>0.1041767465113491</v>
          </cell>
          <cell r="Z33">
            <v>0.35715448415065187</v>
          </cell>
          <cell r="AA33">
            <v>0.66603800397589519</v>
          </cell>
          <cell r="AB33">
            <v>1.873921930245647E-3</v>
          </cell>
          <cell r="AC33">
            <v>2.2542352700611085E-2</v>
          </cell>
          <cell r="AD33">
            <v>166.54543379579488</v>
          </cell>
          <cell r="AE33">
            <v>9.3996999235005617E-3</v>
          </cell>
          <cell r="AF33">
            <v>9.8126501853339099E-2</v>
          </cell>
          <cell r="AG33">
            <v>0.35404986242713693</v>
          </cell>
          <cell r="AH33">
            <v>0.57972575059472697</v>
          </cell>
          <cell r="AI33">
            <v>1.8739219985869813E-3</v>
          </cell>
          <cell r="AJ33">
            <v>1.9765910620015432E-2</v>
          </cell>
          <cell r="AK33">
            <v>166.54541132463186</v>
          </cell>
          <cell r="AL33">
            <v>8.8537970071824509E-3</v>
          </cell>
          <cell r="AM33">
            <v>9.2725246112278115E-2</v>
          </cell>
          <cell r="AN33">
            <v>0.35143421911519712</v>
          </cell>
          <cell r="AO33">
            <v>0.50424090389582876</v>
          </cell>
          <cell r="AP33">
            <v>1.8739212869985323E-3</v>
          </cell>
          <cell r="AQ33">
            <v>1.7307373778617977E-2</v>
          </cell>
          <cell r="AR33">
            <v>166.54540745667055</v>
          </cell>
          <cell r="AS33">
            <v>8.3664496800051249E-3</v>
          </cell>
        </row>
        <row r="34">
          <cell r="D34">
            <v>0.11682997373561009</v>
          </cell>
          <cell r="E34">
            <v>0.36497212028051473</v>
          </cell>
          <cell r="F34">
            <v>1.0385414755938709</v>
          </cell>
          <cell r="G34">
            <v>1.9217538838910294E-3</v>
          </cell>
          <cell r="H34">
            <v>3.3827044716151104E-2</v>
          </cell>
          <cell r="I34">
            <v>170.79652191325471</v>
          </cell>
          <cell r="J34">
            <v>1.054137705305298E-2</v>
          </cell>
          <cell r="K34">
            <v>0.1106987062146227</v>
          </cell>
          <cell r="L34">
            <v>0.35915897242367645</v>
          </cell>
          <cell r="M34">
            <v>0.92069260880701342</v>
          </cell>
          <cell r="N34">
            <v>1.9217541496869973E-3</v>
          </cell>
          <cell r="O34">
            <v>3.0248722998186674E-2</v>
          </cell>
          <cell r="P34">
            <v>170.79658133294615</v>
          </cell>
          <cell r="Q34">
            <v>9.9881647421294784E-3</v>
          </cell>
          <cell r="R34">
            <v>0.10466775108034276</v>
          </cell>
          <cell r="S34">
            <v>0.35438875349240817</v>
          </cell>
          <cell r="T34">
            <v>0.80975155365133689</v>
          </cell>
          <cell r="U34">
            <v>1.9217537823348386E-3</v>
          </cell>
          <cell r="V34">
            <v>2.6872167392374725E-2</v>
          </cell>
          <cell r="W34">
            <v>170.7965275458462</v>
          </cell>
          <cell r="X34">
            <v>9.4440053907250358E-3</v>
          </cell>
          <cell r="Y34">
            <v>9.8805100782597188E-2</v>
          </cell>
          <cell r="Z34">
            <v>0.35036767110371425</v>
          </cell>
          <cell r="AA34">
            <v>0.70752625158309979</v>
          </cell>
          <cell r="AB34">
            <v>1.9217538744324835E-3</v>
          </cell>
          <cell r="AC34">
            <v>2.3710607862665187E-2</v>
          </cell>
          <cell r="AD34">
            <v>170.79650239635384</v>
          </cell>
          <cell r="AE34">
            <v>8.9150258809723524E-3</v>
          </cell>
          <cell r="AF34">
            <v>9.3279677547361536E-2</v>
          </cell>
          <cell r="AG34">
            <v>0.3469789578869672</v>
          </cell>
          <cell r="AH34">
            <v>0.61771077996380697</v>
          </cell>
          <cell r="AI34">
            <v>1.9217535571108342E-3</v>
          </cell>
          <cell r="AJ34">
            <v>2.0842623410643534E-2</v>
          </cell>
          <cell r="AK34">
            <v>170.79652620178499</v>
          </cell>
          <cell r="AL34">
            <v>8.4164749041931771E-3</v>
          </cell>
          <cell r="AM34">
            <v>8.8062389127259652E-2</v>
          </cell>
          <cell r="AN34">
            <v>0.3441735162282189</v>
          </cell>
          <cell r="AO34">
            <v>0.53775960139519463</v>
          </cell>
          <cell r="AP34">
            <v>1.9217534791322944E-3</v>
          </cell>
          <cell r="AQ34">
            <v>1.8221327922139662E-2</v>
          </cell>
          <cell r="AR34">
            <v>170.79649043426906</v>
          </cell>
          <cell r="AS34">
            <v>7.9457285426872831E-3</v>
          </cell>
        </row>
        <row r="35">
          <cell r="D35">
            <v>0.12515266972462641</v>
          </cell>
          <cell r="E35">
            <v>0.37018045112299897</v>
          </cell>
          <cell r="F35">
            <v>0.98177634452702278</v>
          </cell>
          <cell r="G35">
            <v>1.8739213528134147E-3</v>
          </cell>
          <cell r="H35">
            <v>3.2769564138102551E-2</v>
          </cell>
          <cell r="I35">
            <v>166.54539483446186</v>
          </cell>
          <cell r="J35">
            <v>1.1292325418869483E-2</v>
          </cell>
          <cell r="K35">
            <v>0.11792220738547983</v>
          </cell>
          <cell r="L35">
            <v>0.36512193352152528</v>
          </cell>
          <cell r="M35">
            <v>0.86781464282266541</v>
          </cell>
          <cell r="N35">
            <v>1.8739217498104396E-3</v>
          </cell>
          <cell r="O35">
            <v>2.9041712295589866E-2</v>
          </cell>
          <cell r="P35">
            <v>166.54541562452522</v>
          </cell>
          <cell r="Q35">
            <v>1.063993297769634E-2</v>
          </cell>
          <cell r="R35">
            <v>0.11087757550731449</v>
          </cell>
          <cell r="S35">
            <v>0.36084059419635078</v>
          </cell>
          <cell r="T35">
            <v>0.76252068294710729</v>
          </cell>
          <cell r="U35">
            <v>1.8739208211501423E-3</v>
          </cell>
          <cell r="V35">
            <v>2.5639490365790139E-2</v>
          </cell>
          <cell r="W35">
            <v>166.54536773790227</v>
          </cell>
          <cell r="X35">
            <v>1.0004303079381925E-2</v>
          </cell>
          <cell r="Y35">
            <v>0.1041767465113491</v>
          </cell>
          <cell r="Z35">
            <v>0.35715448415065187</v>
          </cell>
          <cell r="AA35">
            <v>0.66603800397589519</v>
          </cell>
          <cell r="AB35">
            <v>1.873921930245647E-3</v>
          </cell>
          <cell r="AC35">
            <v>2.2542352700611085E-2</v>
          </cell>
          <cell r="AD35">
            <v>166.54543379579488</v>
          </cell>
          <cell r="AE35">
            <v>9.3996999235005617E-3</v>
          </cell>
          <cell r="AF35">
            <v>9.8126501853339099E-2</v>
          </cell>
          <cell r="AG35">
            <v>0.35404986242713693</v>
          </cell>
          <cell r="AH35">
            <v>0.57972575059472697</v>
          </cell>
          <cell r="AI35">
            <v>1.8739219985869813E-3</v>
          </cell>
          <cell r="AJ35">
            <v>1.9765910620015432E-2</v>
          </cell>
          <cell r="AK35">
            <v>166.54541132463186</v>
          </cell>
          <cell r="AL35">
            <v>8.8537970071824509E-3</v>
          </cell>
          <cell r="AM35">
            <v>9.2725246112278115E-2</v>
          </cell>
          <cell r="AN35">
            <v>0.35143421911519712</v>
          </cell>
          <cell r="AO35">
            <v>0.50424090389582876</v>
          </cell>
          <cell r="AP35">
            <v>1.8739212869985323E-3</v>
          </cell>
          <cell r="AQ35">
            <v>1.7307373778617977E-2</v>
          </cell>
          <cell r="AR35">
            <v>166.54540745667055</v>
          </cell>
          <cell r="AS35">
            <v>8.3664496800051249E-3</v>
          </cell>
        </row>
        <row r="36">
          <cell r="D36">
            <v>0.12515266972462641</v>
          </cell>
          <cell r="E36">
            <v>0.37018045112299897</v>
          </cell>
          <cell r="F36">
            <v>0.98177634452702278</v>
          </cell>
          <cell r="G36">
            <v>1.8739213528134147E-3</v>
          </cell>
          <cell r="H36">
            <v>3.2769564138102551E-2</v>
          </cell>
          <cell r="I36">
            <v>166.54539483446186</v>
          </cell>
          <cell r="J36">
            <v>1.1292325418869483E-2</v>
          </cell>
          <cell r="K36">
            <v>0.11792220738547983</v>
          </cell>
          <cell r="L36">
            <v>0.36512193352152528</v>
          </cell>
          <cell r="M36">
            <v>0.86781464282266541</v>
          </cell>
          <cell r="N36">
            <v>1.8739217498104396E-3</v>
          </cell>
          <cell r="O36">
            <v>2.9041712295589866E-2</v>
          </cell>
          <cell r="P36">
            <v>166.54541562452522</v>
          </cell>
          <cell r="Q36">
            <v>1.063993297769634E-2</v>
          </cell>
          <cell r="R36">
            <v>0.11087757550731449</v>
          </cell>
          <cell r="S36">
            <v>0.36084059419635078</v>
          </cell>
          <cell r="T36">
            <v>0.76252068294710729</v>
          </cell>
          <cell r="U36">
            <v>1.8739208211501423E-3</v>
          </cell>
          <cell r="V36">
            <v>2.5639490365790139E-2</v>
          </cell>
          <cell r="W36">
            <v>166.54536773790227</v>
          </cell>
          <cell r="X36">
            <v>1.0004303079381925E-2</v>
          </cell>
          <cell r="Y36">
            <v>0.1041767465113491</v>
          </cell>
          <cell r="Z36">
            <v>0.35715448415065187</v>
          </cell>
          <cell r="AA36">
            <v>0.66603800397589519</v>
          </cell>
          <cell r="AB36">
            <v>1.873921930245647E-3</v>
          </cell>
          <cell r="AC36">
            <v>2.2542352700611085E-2</v>
          </cell>
          <cell r="AD36">
            <v>166.54543379579488</v>
          </cell>
          <cell r="AE36">
            <v>9.3996999235005617E-3</v>
          </cell>
          <cell r="AF36">
            <v>9.8126501853339099E-2</v>
          </cell>
          <cell r="AG36">
            <v>0.35404986242713693</v>
          </cell>
          <cell r="AH36">
            <v>0.57972575059472697</v>
          </cell>
          <cell r="AI36">
            <v>1.8739219985869813E-3</v>
          </cell>
          <cell r="AJ36">
            <v>1.9765910620015432E-2</v>
          </cell>
          <cell r="AK36">
            <v>166.54541132463186</v>
          </cell>
          <cell r="AL36">
            <v>8.8537970071824509E-3</v>
          </cell>
          <cell r="AM36">
            <v>9.2725246112278115E-2</v>
          </cell>
          <cell r="AN36">
            <v>0.35143421911519712</v>
          </cell>
          <cell r="AO36">
            <v>0.50424090389582876</v>
          </cell>
          <cell r="AP36">
            <v>1.8739212869985323E-3</v>
          </cell>
          <cell r="AQ36">
            <v>1.7307373778617977E-2</v>
          </cell>
          <cell r="AR36">
            <v>166.54540745667055</v>
          </cell>
          <cell r="AS36">
            <v>8.3664496800051249E-3</v>
          </cell>
        </row>
        <row r="37">
          <cell r="D37">
            <v>0.12515266972462641</v>
          </cell>
          <cell r="E37">
            <v>0.37018045112299897</v>
          </cell>
          <cell r="F37">
            <v>0.98177634452702278</v>
          </cell>
          <cell r="G37">
            <v>1.8739213528134147E-3</v>
          </cell>
          <cell r="H37">
            <v>3.2769564138102551E-2</v>
          </cell>
          <cell r="I37">
            <v>166.54539483446186</v>
          </cell>
          <cell r="J37">
            <v>1.1292325418869483E-2</v>
          </cell>
          <cell r="K37">
            <v>0.11792220738547983</v>
          </cell>
          <cell r="L37">
            <v>0.36512193352152528</v>
          </cell>
          <cell r="M37">
            <v>0.86781464282266541</v>
          </cell>
          <cell r="N37">
            <v>1.8739217498104396E-3</v>
          </cell>
          <cell r="O37">
            <v>2.9041712295589866E-2</v>
          </cell>
          <cell r="P37">
            <v>166.54541562452522</v>
          </cell>
          <cell r="Q37">
            <v>1.063993297769634E-2</v>
          </cell>
          <cell r="R37">
            <v>0.11087757550731449</v>
          </cell>
          <cell r="S37">
            <v>0.36084059419635078</v>
          </cell>
          <cell r="T37">
            <v>0.76252068294710729</v>
          </cell>
          <cell r="U37">
            <v>1.8739208211501423E-3</v>
          </cell>
          <cell r="V37">
            <v>2.5639490365790139E-2</v>
          </cell>
          <cell r="W37">
            <v>166.54536773790227</v>
          </cell>
          <cell r="X37">
            <v>1.0004303079381925E-2</v>
          </cell>
          <cell r="Y37">
            <v>0.1041767465113491</v>
          </cell>
          <cell r="Z37">
            <v>0.35715448415065187</v>
          </cell>
          <cell r="AA37">
            <v>0.66603800397589519</v>
          </cell>
          <cell r="AB37">
            <v>1.873921930245647E-3</v>
          </cell>
          <cell r="AC37">
            <v>2.2542352700611085E-2</v>
          </cell>
          <cell r="AD37">
            <v>166.54543379579488</v>
          </cell>
          <cell r="AE37">
            <v>9.3996999235005617E-3</v>
          </cell>
          <cell r="AF37">
            <v>9.8126501853339099E-2</v>
          </cell>
          <cell r="AG37">
            <v>0.35404986242713693</v>
          </cell>
          <cell r="AH37">
            <v>0.57972575059472697</v>
          </cell>
          <cell r="AI37">
            <v>1.8739219985869813E-3</v>
          </cell>
          <cell r="AJ37">
            <v>1.9765910620015432E-2</v>
          </cell>
          <cell r="AK37">
            <v>166.54541132463186</v>
          </cell>
          <cell r="AL37">
            <v>8.8537970071824509E-3</v>
          </cell>
          <cell r="AM37">
            <v>9.2725246112278115E-2</v>
          </cell>
          <cell r="AN37">
            <v>0.35143421911519712</v>
          </cell>
          <cell r="AO37">
            <v>0.50424090389582876</v>
          </cell>
          <cell r="AP37">
            <v>1.8739212869985323E-3</v>
          </cell>
          <cell r="AQ37">
            <v>1.7307373778617977E-2</v>
          </cell>
          <cell r="AR37">
            <v>166.54540745667055</v>
          </cell>
          <cell r="AS37">
            <v>8.3664496800051249E-3</v>
          </cell>
        </row>
        <row r="38">
          <cell r="D38">
            <v>0.12515266972462641</v>
          </cell>
          <cell r="E38">
            <v>0.37018045112299897</v>
          </cell>
          <cell r="F38">
            <v>0.98177634452702278</v>
          </cell>
          <cell r="G38">
            <v>1.8739213528134147E-3</v>
          </cell>
          <cell r="H38">
            <v>3.2769564138102551E-2</v>
          </cell>
          <cell r="I38">
            <v>166.54539483446186</v>
          </cell>
          <cell r="J38">
            <v>1.1292325418869483E-2</v>
          </cell>
          <cell r="K38">
            <v>0.11792220738547983</v>
          </cell>
          <cell r="L38">
            <v>0.36512193352152528</v>
          </cell>
          <cell r="M38">
            <v>0.86781464282266541</v>
          </cell>
          <cell r="N38">
            <v>1.8739217498104396E-3</v>
          </cell>
          <cell r="O38">
            <v>2.9041712295589866E-2</v>
          </cell>
          <cell r="P38">
            <v>166.54541562452522</v>
          </cell>
          <cell r="Q38">
            <v>1.063993297769634E-2</v>
          </cell>
          <cell r="R38">
            <v>0.11087757550731449</v>
          </cell>
          <cell r="S38">
            <v>0.36084059419635078</v>
          </cell>
          <cell r="T38">
            <v>0.76252068294710729</v>
          </cell>
          <cell r="U38">
            <v>1.8739208211501423E-3</v>
          </cell>
          <cell r="V38">
            <v>2.5639490365790139E-2</v>
          </cell>
          <cell r="W38">
            <v>166.54536773790227</v>
          </cell>
          <cell r="X38">
            <v>1.0004303079381925E-2</v>
          </cell>
          <cell r="Y38">
            <v>0.1041767465113491</v>
          </cell>
          <cell r="Z38">
            <v>0.35715448415065187</v>
          </cell>
          <cell r="AA38">
            <v>0.66603800397589519</v>
          </cell>
          <cell r="AB38">
            <v>1.873921930245647E-3</v>
          </cell>
          <cell r="AC38">
            <v>2.2542352700611085E-2</v>
          </cell>
          <cell r="AD38">
            <v>166.54543379579488</v>
          </cell>
          <cell r="AE38">
            <v>9.3996999235005617E-3</v>
          </cell>
          <cell r="AF38">
            <v>9.8126501853339099E-2</v>
          </cell>
          <cell r="AG38">
            <v>0.35404986242713693</v>
          </cell>
          <cell r="AH38">
            <v>0.57972575059472697</v>
          </cell>
          <cell r="AI38">
            <v>1.8739219985869813E-3</v>
          </cell>
          <cell r="AJ38">
            <v>1.9765910620015432E-2</v>
          </cell>
          <cell r="AK38">
            <v>166.54541132463186</v>
          </cell>
          <cell r="AL38">
            <v>8.8537970071824509E-3</v>
          </cell>
          <cell r="AM38">
            <v>9.2725246112278115E-2</v>
          </cell>
          <cell r="AN38">
            <v>0.35143421911519712</v>
          </cell>
          <cell r="AO38">
            <v>0.50424090389582876</v>
          </cell>
          <cell r="AP38">
            <v>1.8739212869985323E-3</v>
          </cell>
          <cell r="AQ38">
            <v>1.7307373778617977E-2</v>
          </cell>
          <cell r="AR38">
            <v>166.54540745667055</v>
          </cell>
          <cell r="AS38">
            <v>8.3664496800051249E-3</v>
          </cell>
        </row>
        <row r="39">
          <cell r="D39">
            <v>8.9194427456220915E-2</v>
          </cell>
          <cell r="E39">
            <v>0.47588598065531251</v>
          </cell>
          <cell r="F39">
            <v>0.62485036611149536</v>
          </cell>
          <cell r="G39">
            <v>8.6981465614259827E-4</v>
          </cell>
          <cell r="H39">
            <v>4.8645513154218903E-2</v>
          </cell>
          <cell r="I39">
            <v>74.149777594362092</v>
          </cell>
          <cell r="J39">
            <v>8.0478710667049036E-3</v>
          </cell>
          <cell r="K39">
            <v>8.088743621564265E-2</v>
          </cell>
          <cell r="L39">
            <v>0.47242368137001767</v>
          </cell>
          <cell r="M39">
            <v>0.57832333595570939</v>
          </cell>
          <cell r="N39">
            <v>8.6981466581136514E-4</v>
          </cell>
          <cell r="O39">
            <v>4.3553220005783246E-2</v>
          </cell>
          <cell r="P39">
            <v>74.149761562139503</v>
          </cell>
          <cell r="Q39">
            <v>7.2983432328555444E-3</v>
          </cell>
          <cell r="R39">
            <v>7.2761761685150181E-2</v>
          </cell>
          <cell r="S39">
            <v>0.46910704585317148</v>
          </cell>
          <cell r="T39">
            <v>0.53312445478708514</v>
          </cell>
          <cell r="U39">
            <v>8.6981483894468532E-4</v>
          </cell>
          <cell r="V39">
            <v>3.8467476901284173E-2</v>
          </cell>
          <cell r="W39">
            <v>74.149765435550776</v>
          </cell>
          <cell r="X39">
            <v>6.5651775720710461E-3</v>
          </cell>
          <cell r="Y39">
            <v>6.5035449166983644E-2</v>
          </cell>
          <cell r="Z39">
            <v>0.4660526350357202</v>
          </cell>
          <cell r="AA39">
            <v>0.48982019071219368</v>
          </cell>
          <cell r="AB39">
            <v>8.6981447951418422E-4</v>
          </cell>
          <cell r="AC39">
            <v>3.3516309506929007E-2</v>
          </cell>
          <cell r="AD39">
            <v>74.149755370363465</v>
          </cell>
          <cell r="AE39">
            <v>5.8680430255882874E-3</v>
          </cell>
          <cell r="AF39">
            <v>5.788476499218987E-2</v>
          </cell>
          <cell r="AG39">
            <v>0.46330471430567344</v>
          </cell>
          <cell r="AH39">
            <v>0.44903550513051782</v>
          </cell>
          <cell r="AI39">
            <v>8.6981496082941278E-4</v>
          </cell>
          <cell r="AJ39">
            <v>2.8796859936875436E-2</v>
          </cell>
          <cell r="AK39">
            <v>74.149756971132675</v>
          </cell>
          <cell r="AL39">
            <v>5.2228499935204785E-3</v>
          </cell>
          <cell r="AM39">
            <v>5.2432956824627411E-2</v>
          </cell>
          <cell r="AN39">
            <v>0.46128306481617182</v>
          </cell>
          <cell r="AO39">
            <v>0.41276235354276336</v>
          </cell>
          <cell r="AP39">
            <v>8.6981472599564533E-4</v>
          </cell>
          <cell r="AQ39">
            <v>2.4915900507412405E-2</v>
          </cell>
          <cell r="AR39">
            <v>74.149751216943628</v>
          </cell>
          <cell r="AS39">
            <v>4.7309412577465279E-3</v>
          </cell>
        </row>
        <row r="40">
          <cell r="D40">
            <v>8.7955694152625344E-2</v>
          </cell>
          <cell r="E40">
            <v>0.50555270131761576</v>
          </cell>
          <cell r="F40">
            <v>0.58933946645446467</v>
          </cell>
          <cell r="G40">
            <v>8.8025899780622727E-4</v>
          </cell>
          <cell r="H40">
            <v>4.6600457252215434E-2</v>
          </cell>
          <cell r="I40">
            <v>75.040106767621964</v>
          </cell>
          <cell r="J40">
            <v>7.9361010948412886E-3</v>
          </cell>
          <cell r="K40">
            <v>7.7350469494183435E-2</v>
          </cell>
          <cell r="L40">
            <v>0.50168655138603524</v>
          </cell>
          <cell r="M40">
            <v>0.53236808560333904</v>
          </cell>
          <cell r="N40">
            <v>8.8025852246575076E-4</v>
          </cell>
          <cell r="O40">
            <v>3.9192407788964947E-2</v>
          </cell>
          <cell r="P40">
            <v>75.040091008231684</v>
          </cell>
          <cell r="Q40">
            <v>6.9792086054076847E-3</v>
          </cell>
          <cell r="R40">
            <v>7.0116746532446331E-2</v>
          </cell>
          <cell r="S40">
            <v>0.49958237595612087</v>
          </cell>
          <cell r="T40">
            <v>0.48549859496686681</v>
          </cell>
          <cell r="U40">
            <v>8.8025906727070495E-4</v>
          </cell>
          <cell r="V40">
            <v>3.3620739999875568E-2</v>
          </cell>
          <cell r="W40">
            <v>75.04010701718272</v>
          </cell>
          <cell r="X40">
            <v>6.3265212608436218E-3</v>
          </cell>
          <cell r="Y40">
            <v>6.4671046373677321E-2</v>
          </cell>
          <cell r="Z40">
            <v>0.49828076993283715</v>
          </cell>
          <cell r="AA40">
            <v>0.44419940827312021</v>
          </cell>
          <cell r="AB40">
            <v>8.8025889143317259E-4</v>
          </cell>
          <cell r="AC40">
            <v>2.9062558165371281E-2</v>
          </cell>
          <cell r="AD40">
            <v>75.040110741903291</v>
          </cell>
          <cell r="AE40">
            <v>5.8351652717944765E-3</v>
          </cell>
          <cell r="AF40">
            <v>6.0025662663760616E-2</v>
          </cell>
          <cell r="AG40">
            <v>0.49728218875951191</v>
          </cell>
          <cell r="AH40">
            <v>0.4063983716191843</v>
          </cell>
          <cell r="AI40">
            <v>8.8025902612352011E-4</v>
          </cell>
          <cell r="AJ40">
            <v>2.5000128837762401E-2</v>
          </cell>
          <cell r="AK40">
            <v>75.040113678471272</v>
          </cell>
          <cell r="AL40">
            <v>5.4160196010833899E-3</v>
          </cell>
          <cell r="AM40">
            <v>5.5510816431680862E-2</v>
          </cell>
          <cell r="AN40">
            <v>0.4959246277446715</v>
          </cell>
          <cell r="AO40">
            <v>0.3693718128891354</v>
          </cell>
          <cell r="AP40">
            <v>8.8025877805070977E-4</v>
          </cell>
          <cell r="AQ40">
            <v>2.1011585716730681E-2</v>
          </cell>
          <cell r="AR40">
            <v>75.040114179628446</v>
          </cell>
          <cell r="AS40">
            <v>5.0086515341831389E-3</v>
          </cell>
        </row>
        <row r="41">
          <cell r="D41">
            <v>0.11668351522751008</v>
          </cell>
          <cell r="E41">
            <v>0.56462778829639482</v>
          </cell>
          <cell r="F41">
            <v>0.73738475401109616</v>
          </cell>
          <cell r="G41">
            <v>9.7528684475001604E-4</v>
          </cell>
          <cell r="H41">
            <v>6.2922889977327021E-2</v>
          </cell>
          <cell r="I41">
            <v>83.141017958227678</v>
          </cell>
          <cell r="J41">
            <v>1.0528166694101284E-2</v>
          </cell>
          <cell r="K41">
            <v>0.1053900677134727</v>
          </cell>
          <cell r="L41">
            <v>0.55936611992968899</v>
          </cell>
          <cell r="M41">
            <v>0.67746948304735854</v>
          </cell>
          <cell r="N41">
            <v>9.7528674948548725E-4</v>
          </cell>
          <cell r="O41">
            <v>5.5488341008544537E-2</v>
          </cell>
          <cell r="P41">
            <v>83.141015454507183</v>
          </cell>
          <cell r="Q41">
            <v>9.5091756960655246E-3</v>
          </cell>
          <cell r="R41">
            <v>9.4782691625445281E-2</v>
          </cell>
          <cell r="S41">
            <v>0.5546987260925953</v>
          </cell>
          <cell r="T41">
            <v>0.62098260375478598</v>
          </cell>
          <cell r="U41">
            <v>9.7528678299629553E-4</v>
          </cell>
          <cell r="V41">
            <v>4.8365506458946959E-2</v>
          </cell>
          <cell r="W41">
            <v>83.141017825387635</v>
          </cell>
          <cell r="X41">
            <v>8.5520873546339263E-3</v>
          </cell>
          <cell r="Y41">
            <v>8.4939156934155088E-2</v>
          </cell>
          <cell r="Z41">
            <v>0.55061572906465905</v>
          </cell>
          <cell r="AA41">
            <v>0.56791546986745522</v>
          </cell>
          <cell r="AB41">
            <v>9.7528671938062529E-4</v>
          </cell>
          <cell r="AC41">
            <v>4.1619869387293104E-2</v>
          </cell>
          <cell r="AD41">
            <v>83.141004324038946</v>
          </cell>
          <cell r="AE41">
            <v>7.6639240715927395E-3</v>
          </cell>
          <cell r="AF41">
            <v>7.5960067324570127E-2</v>
          </cell>
          <cell r="AG41">
            <v>0.5470804512659091</v>
          </cell>
          <cell r="AH41">
            <v>0.51848628047988188</v>
          </cell>
          <cell r="AI41">
            <v>9.7528667119803597E-4</v>
          </cell>
          <cell r="AJ41">
            <v>3.5317954485166281E-2</v>
          </cell>
          <cell r="AK41">
            <v>83.141028835362306</v>
          </cell>
          <cell r="AL41">
            <v>6.8537558173780112E-3</v>
          </cell>
          <cell r="AM41">
            <v>6.9214202788219562E-2</v>
          </cell>
          <cell r="AN41">
            <v>0.54464491390092518</v>
          </cell>
          <cell r="AO41">
            <v>0.47536344881667547</v>
          </cell>
          <cell r="AP41">
            <v>9.7528682357528968E-4</v>
          </cell>
          <cell r="AQ41">
            <v>3.0242541150061867E-2</v>
          </cell>
          <cell r="AR41">
            <v>83.141037426958448</v>
          </cell>
          <cell r="AS41">
            <v>6.2450880687081045E-3</v>
          </cell>
        </row>
        <row r="42">
          <cell r="D42">
            <v>9.6878720821570966E-2</v>
          </cell>
          <cell r="E42">
            <v>0.38912776172514435</v>
          </cell>
          <cell r="F42">
            <v>0.58740490595044859</v>
          </cell>
          <cell r="G42">
            <v>6.3930572383665419E-4</v>
          </cell>
          <cell r="H42">
            <v>5.0260655192000195E-2</v>
          </cell>
          <cell r="I42">
            <v>54.49938047051117</v>
          </cell>
          <cell r="J42">
            <v>8.7412099797587687E-3</v>
          </cell>
          <cell r="K42">
            <v>9.1200429935198821E-2</v>
          </cell>
          <cell r="L42">
            <v>0.38616931132685484</v>
          </cell>
          <cell r="M42">
            <v>0.55224873363899141</v>
          </cell>
          <cell r="N42">
            <v>6.3930550374640587E-4</v>
          </cell>
          <cell r="O42">
            <v>4.6757244530697455E-2</v>
          </cell>
          <cell r="P42">
            <v>54.499377463768809</v>
          </cell>
          <cell r="Q42">
            <v>8.228868799522799E-3</v>
          </cell>
          <cell r="R42">
            <v>8.5757900735508277E-2</v>
          </cell>
          <cell r="S42">
            <v>0.38342750126569547</v>
          </cell>
          <cell r="T42">
            <v>0.51874691702050202</v>
          </cell>
          <cell r="U42">
            <v>6.3930561423081124E-4</v>
          </cell>
          <cell r="V42">
            <v>4.3343578380042026E-2</v>
          </cell>
          <cell r="W42">
            <v>54.499382176056208</v>
          </cell>
          <cell r="X42">
            <v>7.737797812848589E-3</v>
          </cell>
          <cell r="Y42">
            <v>8.0547964568081235E-2</v>
          </cell>
          <cell r="Z42">
            <v>0.3808726636975826</v>
          </cell>
          <cell r="AA42">
            <v>0.48688192761422927</v>
          </cell>
          <cell r="AB42">
            <v>6.3930556871242519E-4</v>
          </cell>
          <cell r="AC42">
            <v>4.0032638590278578E-2</v>
          </cell>
          <cell r="AD42">
            <v>54.499364810665796</v>
          </cell>
          <cell r="AE42">
            <v>7.2677152639502376E-3</v>
          </cell>
          <cell r="AF42">
            <v>7.5562977596499076E-2</v>
          </cell>
          <cell r="AG42">
            <v>0.37848297943279735</v>
          </cell>
          <cell r="AH42">
            <v>0.45663854203575854</v>
          </cell>
          <cell r="AI42">
            <v>6.3930547733937176E-4</v>
          </cell>
          <cell r="AJ42">
            <v>3.682641247046816E-2</v>
          </cell>
          <cell r="AK42">
            <v>54.499369831683119</v>
          </cell>
          <cell r="AL42">
            <v>6.8179254077302184E-3</v>
          </cell>
          <cell r="AM42">
            <v>7.0791560583568808E-2</v>
          </cell>
          <cell r="AN42">
            <v>0.37624168701797139</v>
          </cell>
          <cell r="AO42">
            <v>0.42799780492794465</v>
          </cell>
          <cell r="AP42">
            <v>6.3930579784994839E-4</v>
          </cell>
          <cell r="AQ42">
            <v>3.3719287467512842E-2</v>
          </cell>
          <cell r="AR42">
            <v>54.499384662220642</v>
          </cell>
          <cell r="AS42">
            <v>6.3874089853107243E-3</v>
          </cell>
        </row>
        <row r="43">
          <cell r="D43">
            <v>7.1819076358046203E-3</v>
          </cell>
          <cell r="E43">
            <v>3.7672015501247734E-2</v>
          </cell>
          <cell r="F43">
            <v>4.4975835899274251E-2</v>
          </cell>
          <cell r="G43">
            <v>9.6006650553722128E-5</v>
          </cell>
          <cell r="H43">
            <v>1.7574488590592367E-3</v>
          </cell>
          <cell r="I43">
            <v>6.1697435407429388</v>
          </cell>
          <cell r="J43">
            <v>6.4801190876982576E-4</v>
          </cell>
          <cell r="K43">
            <v>7.1819042171482588E-3</v>
          </cell>
          <cell r="L43">
            <v>3.7672011405727068E-2</v>
          </cell>
          <cell r="M43">
            <v>4.4975819029795812E-2</v>
          </cell>
          <cell r="N43">
            <v>9.6006621553707824E-5</v>
          </cell>
          <cell r="O43">
            <v>1.757448444642367E-3</v>
          </cell>
          <cell r="P43">
            <v>6.1697416835141938</v>
          </cell>
          <cell r="Q43">
            <v>6.4801176908851194E-4</v>
          </cell>
          <cell r="R43">
            <v>7.1819048828458678E-3</v>
          </cell>
          <cell r="S43">
            <v>3.7672011175546513E-2</v>
          </cell>
          <cell r="T43">
            <v>4.4975817544890176E-2</v>
          </cell>
          <cell r="U43">
            <v>9.6006613245633624E-5</v>
          </cell>
          <cell r="V43">
            <v>1.7574478777113293E-3</v>
          </cell>
          <cell r="W43">
            <v>6.1697403161854645</v>
          </cell>
          <cell r="X43">
            <v>6.4801166902622178E-4</v>
          </cell>
          <cell r="Y43">
            <v>7.1819060341132114E-3</v>
          </cell>
          <cell r="Z43">
            <v>3.7672010932224421E-2</v>
          </cell>
          <cell r="AA43">
            <v>4.4975821828574056E-2</v>
          </cell>
          <cell r="AB43">
            <v>9.6006633704493857E-5</v>
          </cell>
          <cell r="AC43">
            <v>1.7574484311297502E-3</v>
          </cell>
          <cell r="AD43">
            <v>6.1697413025986503</v>
          </cell>
          <cell r="AE43">
            <v>6.4801168714526385E-4</v>
          </cell>
          <cell r="AF43">
            <v>7.1819059201588169E-3</v>
          </cell>
          <cell r="AG43">
            <v>3.7672011948603305E-2</v>
          </cell>
          <cell r="AH43">
            <v>4.4975826192409585E-2</v>
          </cell>
          <cell r="AI43">
            <v>9.6006635525263304E-5</v>
          </cell>
          <cell r="AJ43">
            <v>1.7574483049558665E-3</v>
          </cell>
          <cell r="AK43">
            <v>6.169742506270067</v>
          </cell>
          <cell r="AL43">
            <v>6.4801189520347709E-4</v>
          </cell>
          <cell r="AM43">
            <v>7.1819053326675122E-3</v>
          </cell>
          <cell r="AN43">
            <v>3.76720134369459E-2</v>
          </cell>
          <cell r="AO43">
            <v>4.4975818460546997E-2</v>
          </cell>
          <cell r="AP43">
            <v>9.6006626585351071E-5</v>
          </cell>
          <cell r="AQ43">
            <v>1.7574483638617537E-3</v>
          </cell>
          <cell r="AR43">
            <v>6.1697419807654175</v>
          </cell>
          <cell r="AS43">
            <v>6.4801175698490281E-4</v>
          </cell>
        </row>
        <row r="44">
          <cell r="D44">
            <v>0.12515266972462641</v>
          </cell>
          <cell r="E44">
            <v>0.37018045112299897</v>
          </cell>
          <cell r="F44">
            <v>0.98177634452702278</v>
          </cell>
          <cell r="G44">
            <v>1.8739213528134147E-3</v>
          </cell>
          <cell r="H44">
            <v>3.2769564138102551E-2</v>
          </cell>
          <cell r="I44">
            <v>166.54539483446186</v>
          </cell>
          <cell r="J44">
            <v>1.1292325418869483E-2</v>
          </cell>
          <cell r="K44">
            <v>0.11792220738547983</v>
          </cell>
          <cell r="L44">
            <v>0.36512193352152528</v>
          </cell>
          <cell r="M44">
            <v>0.86781464282266541</v>
          </cell>
          <cell r="N44">
            <v>1.8739217498104396E-3</v>
          </cell>
          <cell r="O44">
            <v>2.9041712295589866E-2</v>
          </cell>
          <cell r="P44">
            <v>166.54541562452522</v>
          </cell>
          <cell r="Q44">
            <v>1.063993297769634E-2</v>
          </cell>
          <cell r="R44">
            <v>0.11087757550731449</v>
          </cell>
          <cell r="S44">
            <v>0.36084059419635078</v>
          </cell>
          <cell r="T44">
            <v>0.76252068294710729</v>
          </cell>
          <cell r="U44">
            <v>1.8739208211501423E-3</v>
          </cell>
          <cell r="V44">
            <v>2.5639490365790139E-2</v>
          </cell>
          <cell r="W44">
            <v>166.54536773790227</v>
          </cell>
          <cell r="X44">
            <v>1.0004303079381925E-2</v>
          </cell>
          <cell r="Y44">
            <v>0.1041767465113491</v>
          </cell>
          <cell r="Z44">
            <v>0.35715448415065187</v>
          </cell>
          <cell r="AA44">
            <v>0.66603800397589519</v>
          </cell>
          <cell r="AB44">
            <v>1.873921930245647E-3</v>
          </cell>
          <cell r="AC44">
            <v>2.2542352700611085E-2</v>
          </cell>
          <cell r="AD44">
            <v>166.54543379579488</v>
          </cell>
          <cell r="AE44">
            <v>9.3996999235005617E-3</v>
          </cell>
          <cell r="AF44">
            <v>9.8126501853339099E-2</v>
          </cell>
          <cell r="AG44">
            <v>0.35404986242713693</v>
          </cell>
          <cell r="AH44">
            <v>0.57972575059472697</v>
          </cell>
          <cell r="AI44">
            <v>1.8739219985869813E-3</v>
          </cell>
          <cell r="AJ44">
            <v>1.9765910620015432E-2</v>
          </cell>
          <cell r="AK44">
            <v>166.54541132463186</v>
          </cell>
          <cell r="AL44">
            <v>8.8537970071824509E-3</v>
          </cell>
          <cell r="AM44">
            <v>9.2725246112278115E-2</v>
          </cell>
          <cell r="AN44">
            <v>0.35143421911519712</v>
          </cell>
          <cell r="AO44">
            <v>0.50424090389582876</v>
          </cell>
          <cell r="AP44">
            <v>1.8739212869985323E-3</v>
          </cell>
          <cell r="AQ44">
            <v>1.7307373778617977E-2</v>
          </cell>
          <cell r="AR44">
            <v>166.54540745667055</v>
          </cell>
          <cell r="AS44">
            <v>8.3664496800051249E-3</v>
          </cell>
        </row>
      </sheetData>
      <sheetData sheetId="34">
        <row r="3">
          <cell r="D3">
            <v>4.3209876543209874E-2</v>
          </cell>
          <cell r="E3">
            <v>0.80246913580246915</v>
          </cell>
          <cell r="F3">
            <v>0.46296296296296291</v>
          </cell>
          <cell r="H3">
            <v>4.6296296296296294E-3</v>
          </cell>
          <cell r="K3">
            <v>4.3209876543209874E-2</v>
          </cell>
          <cell r="L3">
            <v>0.67901234567901225</v>
          </cell>
          <cell r="M3">
            <v>9.2592592592592587E-2</v>
          </cell>
          <cell r="O3">
            <v>4.6296296296296294E-3</v>
          </cell>
        </row>
        <row r="4">
          <cell r="D4">
            <v>4.429012345679012E-2</v>
          </cell>
          <cell r="E4">
            <v>0.82253086419753085</v>
          </cell>
          <cell r="F4">
            <v>0.47453703703703703</v>
          </cell>
          <cell r="H4">
            <v>4.7453703703703694E-3</v>
          </cell>
          <cell r="K4">
            <v>4.429012345679012E-2</v>
          </cell>
          <cell r="L4">
            <v>0.69598765432098764</v>
          </cell>
          <cell r="M4">
            <v>9.4907407407407399E-2</v>
          </cell>
          <cell r="O4">
            <v>4.7453703703703694E-3</v>
          </cell>
        </row>
        <row r="5">
          <cell r="D5">
            <v>5.185185185185185E-2</v>
          </cell>
          <cell r="E5">
            <v>0.96296296296296291</v>
          </cell>
          <cell r="F5">
            <v>0.55555555555555558</v>
          </cell>
          <cell r="H5">
            <v>5.5555555555555549E-3</v>
          </cell>
          <cell r="K5">
            <v>5.185185185185185E-2</v>
          </cell>
          <cell r="L5">
            <v>0.81481481481481477</v>
          </cell>
          <cell r="M5">
            <v>0.1111111111111111</v>
          </cell>
          <cell r="O5">
            <v>5.5555555555555549E-3</v>
          </cell>
        </row>
        <row r="6">
          <cell r="D6">
            <v>2.9320987654320986E-2</v>
          </cell>
          <cell r="E6">
            <v>0.54453262786596113</v>
          </cell>
          <cell r="F6">
            <v>0.31415343915343913</v>
          </cell>
          <cell r="H6">
            <v>3.1415343915343909E-3</v>
          </cell>
          <cell r="K6">
            <v>2.9320987654320986E-2</v>
          </cell>
          <cell r="L6">
            <v>0.46075837742504405</v>
          </cell>
          <cell r="M6">
            <v>6.283068783068782E-2</v>
          </cell>
          <cell r="O6">
            <v>3.1415343915343909E-3</v>
          </cell>
        </row>
        <row r="7">
          <cell r="D7">
            <v>2.2222222222222223E-2</v>
          </cell>
          <cell r="E7">
            <v>0.41269841269841268</v>
          </cell>
          <cell r="F7">
            <v>0.23809523809523808</v>
          </cell>
          <cell r="H7">
            <v>2.3809523809523807E-3</v>
          </cell>
          <cell r="K7">
            <v>2.2222222222222223E-2</v>
          </cell>
          <cell r="L7">
            <v>0.34920634920634919</v>
          </cell>
          <cell r="M7">
            <v>4.7619047619047616E-2</v>
          </cell>
          <cell r="O7">
            <v>2.3809523809523807E-3</v>
          </cell>
        </row>
        <row r="8">
          <cell r="D8">
            <v>2.0524691358024691E-2</v>
          </cell>
          <cell r="E8">
            <v>0.38117283950617281</v>
          </cell>
          <cell r="F8">
            <v>0.21990740740740738</v>
          </cell>
          <cell r="H8">
            <v>2.1990740740740738E-3</v>
          </cell>
          <cell r="K8">
            <v>2.0524691358024691E-2</v>
          </cell>
          <cell r="L8">
            <v>0.32253086419753085</v>
          </cell>
          <cell r="M8">
            <v>4.3981481481481483E-2</v>
          </cell>
          <cell r="O8">
            <v>2.1990740740740738E-3</v>
          </cell>
        </row>
        <row r="9">
          <cell r="D9">
            <v>2.7561728395061727E-2</v>
          </cell>
          <cell r="E9">
            <v>0.5118606701940035</v>
          </cell>
          <cell r="F9">
            <v>0.29530423280423279</v>
          </cell>
          <cell r="H9">
            <v>2.9530423280423276E-3</v>
          </cell>
          <cell r="K9">
            <v>2.7561728395061727E-2</v>
          </cell>
          <cell r="L9">
            <v>0.43311287477954141</v>
          </cell>
          <cell r="M9">
            <v>5.9060846560846557E-2</v>
          </cell>
          <cell r="O9">
            <v>2.9530423280423276E-3</v>
          </cell>
        </row>
        <row r="10">
          <cell r="D10">
            <v>3.5185185185185187E-2</v>
          </cell>
          <cell r="E10">
            <v>0.65343915343915338</v>
          </cell>
          <cell r="F10">
            <v>0.37698412698412698</v>
          </cell>
          <cell r="H10">
            <v>3.7698412698412695E-3</v>
          </cell>
          <cell r="K10">
            <v>3.5185185185185187E-2</v>
          </cell>
          <cell r="L10">
            <v>0.55291005291005291</v>
          </cell>
          <cell r="M10">
            <v>7.5396825396825393E-2</v>
          </cell>
          <cell r="O10">
            <v>3.7698412698412695E-3</v>
          </cell>
        </row>
        <row r="11">
          <cell r="D11">
            <v>1.2654320987654321E-2</v>
          </cell>
          <cell r="E11">
            <v>0.33443562610229277</v>
          </cell>
          <cell r="F11">
            <v>0.22597001763668428</v>
          </cell>
          <cell r="H11">
            <v>1.3558201058201057E-3</v>
          </cell>
          <cell r="K11">
            <v>1.2654320987654321E-2</v>
          </cell>
          <cell r="L11">
            <v>0.33443562610229277</v>
          </cell>
          <cell r="M11">
            <v>2.7116402116402115E-2</v>
          </cell>
          <cell r="O11">
            <v>1.3558201058201057E-3</v>
          </cell>
        </row>
        <row r="12">
          <cell r="D12">
            <v>6.7129629629629631E-3</v>
          </cell>
          <cell r="E12">
            <v>0.17741402116402116</v>
          </cell>
          <cell r="F12">
            <v>0.11987433862433862</v>
          </cell>
          <cell r="H12">
            <v>7.1924603174603168E-4</v>
          </cell>
          <cell r="K12">
            <v>6.7129629629629631E-3</v>
          </cell>
          <cell r="L12">
            <v>0.17741402116402116</v>
          </cell>
          <cell r="M12">
            <v>1.4384920634920634E-2</v>
          </cell>
          <cell r="O12">
            <v>7.1924603174603168E-4</v>
          </cell>
        </row>
        <row r="13">
          <cell r="D13">
            <v>2.7561728395061727E-2</v>
          </cell>
          <cell r="E13">
            <v>0.5118606701940035</v>
          </cell>
          <cell r="F13">
            <v>0.29530423280423279</v>
          </cell>
          <cell r="H13">
            <v>2.9530423280423276E-3</v>
          </cell>
          <cell r="K13">
            <v>2.7561728395061727E-2</v>
          </cell>
          <cell r="L13">
            <v>0.43311287477954141</v>
          </cell>
          <cell r="M13">
            <v>5.9060846560846557E-2</v>
          </cell>
          <cell r="O13">
            <v>2.9530423280423276E-3</v>
          </cell>
        </row>
        <row r="14">
          <cell r="D14">
            <v>9.4444444444444428E-3</v>
          </cell>
          <cell r="E14">
            <v>0.24960317460317458</v>
          </cell>
          <cell r="F14">
            <v>0.16865079365079363</v>
          </cell>
          <cell r="H14">
            <v>1.0119047619047616E-3</v>
          </cell>
          <cell r="K14">
            <v>9.4444444444444428E-3</v>
          </cell>
          <cell r="L14">
            <v>0.24960317460317458</v>
          </cell>
          <cell r="M14">
            <v>2.0238095238095236E-2</v>
          </cell>
          <cell r="O14">
            <v>1.0119047619047616E-3</v>
          </cell>
        </row>
        <row r="15">
          <cell r="D15">
            <v>2.7561728395061727E-2</v>
          </cell>
          <cell r="E15">
            <v>0.5118606701940035</v>
          </cell>
          <cell r="F15">
            <v>0.29530423280423279</v>
          </cell>
          <cell r="H15">
            <v>2.9530423280423276E-3</v>
          </cell>
          <cell r="K15">
            <v>2.7561728395061727E-2</v>
          </cell>
          <cell r="L15">
            <v>0.43311287477954141</v>
          </cell>
          <cell r="M15">
            <v>5.9060846560846557E-2</v>
          </cell>
          <cell r="O15">
            <v>2.9530423280423276E-3</v>
          </cell>
        </row>
        <row r="16">
          <cell r="D16">
            <v>3.571296296296296E-2</v>
          </cell>
          <cell r="E16">
            <v>0.66324074074074069</v>
          </cell>
          <cell r="F16">
            <v>0.38263888888888886</v>
          </cell>
          <cell r="H16">
            <v>3.8263888888888883E-3</v>
          </cell>
          <cell r="K16">
            <v>3.571296296296296E-2</v>
          </cell>
          <cell r="L16">
            <v>0.56120370370370365</v>
          </cell>
          <cell r="M16">
            <v>7.6527777777777764E-2</v>
          </cell>
          <cell r="O16">
            <v>3.8263888888888883E-3</v>
          </cell>
        </row>
        <row r="17">
          <cell r="D17">
            <v>2.7561728395061727E-2</v>
          </cell>
          <cell r="E17">
            <v>0.5118606701940035</v>
          </cell>
          <cell r="F17">
            <v>0.29530423280423279</v>
          </cell>
          <cell r="H17">
            <v>2.9530423280423276E-3</v>
          </cell>
          <cell r="K17">
            <v>2.7561728395061727E-2</v>
          </cell>
          <cell r="L17">
            <v>0.43311287477954141</v>
          </cell>
          <cell r="M17">
            <v>5.9060846560846557E-2</v>
          </cell>
          <cell r="O17">
            <v>2.9530423280423276E-3</v>
          </cell>
        </row>
        <row r="18">
          <cell r="D18">
            <v>7.1759259259259259E-3</v>
          </cell>
          <cell r="E18">
            <v>0.1896494708994709</v>
          </cell>
          <cell r="F18">
            <v>0.12814153439153439</v>
          </cell>
          <cell r="H18">
            <v>7.6884920634920622E-4</v>
          </cell>
          <cell r="K18">
            <v>7.1759259259259259E-3</v>
          </cell>
          <cell r="L18">
            <v>0.1896494708994709</v>
          </cell>
          <cell r="M18">
            <v>1.5376984126984126E-2</v>
          </cell>
          <cell r="O18">
            <v>7.6884920634920622E-4</v>
          </cell>
        </row>
        <row r="19">
          <cell r="E19">
            <v>0.40674603174603174</v>
          </cell>
          <cell r="F19">
            <v>0.55555555555555558</v>
          </cell>
          <cell r="H19">
            <v>2.1825396825396824E-2</v>
          </cell>
          <cell r="L19">
            <v>0.40674603174603174</v>
          </cell>
          <cell r="M19">
            <v>0.34722222222222221</v>
          </cell>
          <cell r="O19">
            <v>1.984126984126984E-3</v>
          </cell>
        </row>
        <row r="20">
          <cell r="D20">
            <v>3.888888888888889E-2</v>
          </cell>
          <cell r="E20">
            <v>0.72222222222222221</v>
          </cell>
          <cell r="F20">
            <v>0.41666666666666663</v>
          </cell>
          <cell r="H20">
            <v>4.1666666666666657E-3</v>
          </cell>
          <cell r="K20">
            <v>3.888888888888889E-2</v>
          </cell>
          <cell r="L20">
            <v>0.61111111111111105</v>
          </cell>
          <cell r="M20">
            <v>8.3333333333333329E-2</v>
          </cell>
          <cell r="O20">
            <v>4.1666666666666657E-3</v>
          </cell>
        </row>
        <row r="21">
          <cell r="D21">
            <v>3.888888888888889E-2</v>
          </cell>
          <cell r="E21">
            <v>0.72222222222222221</v>
          </cell>
          <cell r="F21">
            <v>0.41666666666666663</v>
          </cell>
          <cell r="H21">
            <v>4.1666666666666657E-3</v>
          </cell>
          <cell r="K21">
            <v>3.888888888888889E-2</v>
          </cell>
          <cell r="L21">
            <v>0.61111111111111105</v>
          </cell>
          <cell r="M21">
            <v>8.3333333333333329E-2</v>
          </cell>
          <cell r="O21">
            <v>4.1666666666666657E-3</v>
          </cell>
        </row>
        <row r="22">
          <cell r="D22">
            <v>3.888888888888889E-2</v>
          </cell>
          <cell r="E22">
            <v>0.72222222222222221</v>
          </cell>
          <cell r="F22">
            <v>0.41666666666666663</v>
          </cell>
          <cell r="H22">
            <v>4.1666666666666657E-3</v>
          </cell>
          <cell r="K22">
            <v>3.888888888888889E-2</v>
          </cell>
          <cell r="L22">
            <v>0.61111111111111105</v>
          </cell>
          <cell r="M22">
            <v>8.3333333333333329E-2</v>
          </cell>
          <cell r="O22">
            <v>4.1666666666666657E-3</v>
          </cell>
        </row>
        <row r="23">
          <cell r="E23">
            <v>0.22597001763668428</v>
          </cell>
          <cell r="F23">
            <v>0.30864197530864196</v>
          </cell>
          <cell r="H23">
            <v>1.2125220458553791E-2</v>
          </cell>
          <cell r="L23">
            <v>0.22597001763668428</v>
          </cell>
          <cell r="M23">
            <v>0.19290123456790123</v>
          </cell>
          <cell r="O23">
            <v>1.1022927689594356E-3</v>
          </cell>
        </row>
        <row r="24">
          <cell r="D24">
            <v>3.888888888888889E-2</v>
          </cell>
          <cell r="E24">
            <v>0.72222222222222221</v>
          </cell>
          <cell r="F24">
            <v>0.41666666666666663</v>
          </cell>
          <cell r="H24">
            <v>4.1666666666666657E-3</v>
          </cell>
          <cell r="K24">
            <v>3.888888888888889E-2</v>
          </cell>
          <cell r="L24">
            <v>0.61111111111111105</v>
          </cell>
          <cell r="M24">
            <v>8.3333333333333329E-2</v>
          </cell>
          <cell r="O24">
            <v>4.1666666666666657E-3</v>
          </cell>
        </row>
        <row r="25">
          <cell r="D25">
            <v>3.5185185185185187E-2</v>
          </cell>
          <cell r="E25">
            <v>0.65343915343915338</v>
          </cell>
          <cell r="F25">
            <v>0.37698412698412698</v>
          </cell>
          <cell r="H25">
            <v>3.7698412698412695E-3</v>
          </cell>
          <cell r="K25">
            <v>3.5185185185185187E-2</v>
          </cell>
          <cell r="L25">
            <v>0.55291005291005291</v>
          </cell>
          <cell r="M25">
            <v>7.5396825396825393E-2</v>
          </cell>
          <cell r="O25">
            <v>3.7698412698412695E-3</v>
          </cell>
        </row>
        <row r="26">
          <cell r="E26">
            <v>0.22597001763668428</v>
          </cell>
          <cell r="F26">
            <v>0.30864197530864196</v>
          </cell>
          <cell r="H26">
            <v>1.2125220458553791E-2</v>
          </cell>
          <cell r="L26">
            <v>0.22597001763668428</v>
          </cell>
          <cell r="M26">
            <v>0.19290123456790123</v>
          </cell>
          <cell r="O26">
            <v>1.1022927689594356E-3</v>
          </cell>
        </row>
        <row r="27">
          <cell r="E27">
            <v>0.12374118165784831</v>
          </cell>
          <cell r="F27">
            <v>0.16901234567901233</v>
          </cell>
          <cell r="H27">
            <v>6.6397707231040555E-3</v>
          </cell>
          <cell r="L27">
            <v>0.12374118165784831</v>
          </cell>
          <cell r="M27">
            <v>0.10563271604938271</v>
          </cell>
          <cell r="O27">
            <v>6.0361552028218685E-4</v>
          </cell>
        </row>
        <row r="28">
          <cell r="D28">
            <v>2.1388888888888888E-2</v>
          </cell>
          <cell r="E28">
            <v>0.3972222222222222</v>
          </cell>
          <cell r="F28">
            <v>0.22916666666666666</v>
          </cell>
          <cell r="H28">
            <v>2.2916666666666662E-3</v>
          </cell>
          <cell r="K28">
            <v>2.1388888888888888E-2</v>
          </cell>
          <cell r="L28">
            <v>0.33611111111111108</v>
          </cell>
          <cell r="M28">
            <v>4.583333333333333E-2</v>
          </cell>
          <cell r="O28">
            <v>2.2916666666666662E-3</v>
          </cell>
        </row>
        <row r="30">
          <cell r="D30">
            <v>2.7561728395061727E-2</v>
          </cell>
          <cell r="E30">
            <v>0.5118606701940035</v>
          </cell>
          <cell r="F30">
            <v>0.29530423280423279</v>
          </cell>
          <cell r="H30">
            <v>2.9530423280423276E-3</v>
          </cell>
          <cell r="K30">
            <v>2.7561728395061727E-2</v>
          </cell>
          <cell r="L30">
            <v>0.43311287477954141</v>
          </cell>
          <cell r="M30">
            <v>5.9060846560846557E-2</v>
          </cell>
          <cell r="O30">
            <v>2.9530423280423276E-3</v>
          </cell>
        </row>
        <row r="31">
          <cell r="D31">
            <v>0</v>
          </cell>
          <cell r="E31">
            <v>0</v>
          </cell>
          <cell r="F31">
            <v>0</v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</row>
        <row r="32">
          <cell r="D32">
            <v>3.5185185185185187E-2</v>
          </cell>
          <cell r="E32">
            <v>0.65343915343915338</v>
          </cell>
          <cell r="F32">
            <v>0.37698412698412698</v>
          </cell>
          <cell r="H32">
            <v>3.7698412698412695E-3</v>
          </cell>
          <cell r="K32">
            <v>3.5185185185185187E-2</v>
          </cell>
          <cell r="L32">
            <v>0.55291005291005291</v>
          </cell>
          <cell r="M32">
            <v>7.5396825396825393E-2</v>
          </cell>
          <cell r="O32">
            <v>3.7698412698412695E-3</v>
          </cell>
        </row>
        <row r="33">
          <cell r="D33">
            <v>2.0524691358024691E-2</v>
          </cell>
          <cell r="E33">
            <v>0.38117283950617281</v>
          </cell>
          <cell r="F33">
            <v>0.21990740740740738</v>
          </cell>
          <cell r="H33">
            <v>2.1990740740740738E-3</v>
          </cell>
          <cell r="K33">
            <v>2.0524691358024691E-2</v>
          </cell>
          <cell r="L33">
            <v>0.32253086419753085</v>
          </cell>
          <cell r="M33">
            <v>4.3981481481481483E-2</v>
          </cell>
          <cell r="O33">
            <v>2.1990740740740738E-3</v>
          </cell>
        </row>
        <row r="34">
          <cell r="D34">
            <v>2.2222222222222223E-2</v>
          </cell>
          <cell r="E34">
            <v>0.41269841269841268</v>
          </cell>
          <cell r="F34">
            <v>0.23809523809523808</v>
          </cell>
          <cell r="H34">
            <v>2.3809523809523807E-3</v>
          </cell>
          <cell r="K34">
            <v>2.2222222222222223E-2</v>
          </cell>
          <cell r="L34">
            <v>0.34920634920634919</v>
          </cell>
          <cell r="M34">
            <v>4.7619047619047616E-2</v>
          </cell>
          <cell r="O34">
            <v>2.3809523809523807E-3</v>
          </cell>
        </row>
        <row r="35">
          <cell r="D35">
            <v>2.7561728395061727E-2</v>
          </cell>
          <cell r="E35">
            <v>0.5118606701940035</v>
          </cell>
          <cell r="F35">
            <v>0.29530423280423279</v>
          </cell>
          <cell r="H35">
            <v>2.9530423280423276E-3</v>
          </cell>
          <cell r="K35">
            <v>2.7561728395061727E-2</v>
          </cell>
          <cell r="L35">
            <v>0.43311287477954141</v>
          </cell>
          <cell r="M35">
            <v>5.9060846560846557E-2</v>
          </cell>
          <cell r="O35">
            <v>2.9530423280423276E-3</v>
          </cell>
        </row>
        <row r="36">
          <cell r="D36">
            <v>2.7561728395061727E-2</v>
          </cell>
          <cell r="E36">
            <v>0.5118606701940035</v>
          </cell>
          <cell r="F36">
            <v>0.29530423280423279</v>
          </cell>
          <cell r="H36">
            <v>2.9530423280423276E-3</v>
          </cell>
          <cell r="K36">
            <v>2.7561728395061727E-2</v>
          </cell>
          <cell r="L36">
            <v>0.43311287477954141</v>
          </cell>
          <cell r="M36">
            <v>5.9060846560846557E-2</v>
          </cell>
          <cell r="O36">
            <v>2.9530423280423276E-3</v>
          </cell>
        </row>
        <row r="37">
          <cell r="D37">
            <v>2.7561728395061727E-2</v>
          </cell>
          <cell r="E37">
            <v>0.5118606701940035</v>
          </cell>
          <cell r="F37">
            <v>0.29530423280423279</v>
          </cell>
          <cell r="H37">
            <v>2.9530423280423276E-3</v>
          </cell>
          <cell r="K37">
            <v>2.7561728395061727E-2</v>
          </cell>
          <cell r="L37">
            <v>0.43311287477954141</v>
          </cell>
          <cell r="M37">
            <v>5.9060846560846557E-2</v>
          </cell>
          <cell r="O37">
            <v>2.9530423280423276E-3</v>
          </cell>
        </row>
        <row r="38">
          <cell r="D38">
            <v>2.0524691358024691E-2</v>
          </cell>
          <cell r="E38">
            <v>0.38117283950617281</v>
          </cell>
          <cell r="F38">
            <v>0.21990740740740738</v>
          </cell>
          <cell r="H38">
            <v>2.1990740740740738E-3</v>
          </cell>
          <cell r="K38">
            <v>2.0524691358024691E-2</v>
          </cell>
          <cell r="L38">
            <v>0.32253086419753085</v>
          </cell>
          <cell r="M38">
            <v>4.3981481481481483E-2</v>
          </cell>
          <cell r="O38">
            <v>2.1990740740740738E-3</v>
          </cell>
        </row>
        <row r="39">
          <cell r="D39">
            <v>2.7561728395061727E-2</v>
          </cell>
          <cell r="E39">
            <v>0.5118606701940035</v>
          </cell>
          <cell r="F39">
            <v>0.29530423280423279</v>
          </cell>
          <cell r="H39">
            <v>2.9530423280423276E-3</v>
          </cell>
          <cell r="K39">
            <v>2.7561728395061727E-2</v>
          </cell>
          <cell r="L39">
            <v>0.43311287477954141</v>
          </cell>
          <cell r="M39">
            <v>5.9060846560846557E-2</v>
          </cell>
          <cell r="O39">
            <v>2.9530423280423276E-3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6"/>
  <sheetViews>
    <sheetView topLeftCell="A10" zoomScale="75" zoomScaleNormal="75" workbookViewId="0">
      <selection activeCell="E23" sqref="E23"/>
    </sheetView>
  </sheetViews>
  <sheetFormatPr defaultRowHeight="13.2" x14ac:dyDescent="0.25"/>
  <cols>
    <col min="1" max="1" width="72.44140625" customWidth="1"/>
    <col min="2" max="2" width="12.5546875" style="1" bestFit="1" customWidth="1"/>
    <col min="3" max="4" width="8" style="1" customWidth="1"/>
    <col min="5" max="5" width="8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547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1" spans="1:25" x14ac:dyDescent="0.25">
      <c r="C1" s="496"/>
      <c r="D1" s="496"/>
      <c r="E1" s="497"/>
      <c r="F1" s="497"/>
    </row>
    <row r="2" spans="1:25" x14ac:dyDescent="0.25">
      <c r="A2" s="581" t="s">
        <v>615</v>
      </c>
      <c r="C2" s="496"/>
      <c r="D2" s="496"/>
      <c r="E2" s="1"/>
      <c r="F2" s="497"/>
    </row>
    <row r="3" spans="1:25" x14ac:dyDescent="0.25">
      <c r="A3" s="1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575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548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548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548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ht="13.8" x14ac:dyDescent="0.3">
      <c r="A7" s="19" t="s">
        <v>237</v>
      </c>
      <c r="B7" s="34">
        <v>2019</v>
      </c>
      <c r="C7" s="25"/>
      <c r="D7" s="20"/>
      <c r="E7" s="543"/>
      <c r="F7" s="183"/>
      <c r="G7" s="183"/>
      <c r="H7" s="183"/>
      <c r="I7" s="183"/>
      <c r="J7" s="162"/>
      <c r="K7" s="184"/>
      <c r="L7" s="183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193</v>
      </c>
      <c r="B8" s="34">
        <v>2019</v>
      </c>
      <c r="C8" s="25">
        <v>350</v>
      </c>
      <c r="D8" s="538">
        <v>0.4</v>
      </c>
      <c r="E8" s="546">
        <f>VLOOKUP($A8,EFROGS!$A$1:$J$44,(IF($B8=2015,4,IF($B8=2016,5,IF($B8=2017,6,IF($B8=2018,7,IF($B8=2019,8,IF($B8=2020,9,0))))))),FALSE)</f>
        <v>0.16170672025220467</v>
      </c>
      <c r="F8" s="546">
        <f>VLOOKUP($A8,EFCOS!$A$1:$J$44,(IF($B8=2015,4,IF($B8=2016,5,IF($B8=2017,6,IF($B8=2018,7,IF($B8=2019,8,IF($B8=2020,9,0))))))),FALSE)</f>
        <v>0.85799129832501397</v>
      </c>
      <c r="G8" s="546">
        <f>VLOOKUP($A8,EFNOXS!$A$1:$J$44,(IF($B8=2015,4,IF($B8=2016,5,IF($B8=2017,6,IF($B8=2018,7,IF($B8=2019,8,IF($B8=2020,9,0))))))),FALSE)</f>
        <v>1.1250881073923746</v>
      </c>
      <c r="H8" s="546">
        <f>VLOOKUP($A8,EFSOXS!$A$1:$J$44,(IF($B8=2015,4,IF($B8=2016,5,IF($B8=2017,6,IF($B8=2018,7,IF($B8=2019,8,IF($B8=2020,9,0))))))),FALSE)</f>
        <v>2.599810147793907E-3</v>
      </c>
      <c r="I8" s="546">
        <f>VLOOKUP($A8,EFPMS!$A$1:$J$44,(IF($B8=2015,4,IF($B8=2016,5,IF($B8=2017,6,IF($B8=2018,7,IF($B8=2019,8,IF($B8=2020,9,0))))))),FALSE)</f>
        <v>4.554369024504213E-2</v>
      </c>
      <c r="J8" s="536">
        <f t="shared" ref="J8:J17" si="0">0.89*I8</f>
        <v>4.0533884318087493E-2</v>
      </c>
      <c r="K8" s="549">
        <f>VLOOKUP($A8,EFCO2S!$A$1:$J$44,(IF($B8=2015,4,IF($B8=2016,5,IF($B8=2017,6,IF($B8=2018,7,IF($B8=2019,8,IF($B8=2020,9,0))))))),FALSE)</f>
        <v>264.87254421657707</v>
      </c>
      <c r="L8" s="546">
        <f>VLOOKUP($A8,EFCH4S!$A$1:$J$44,(IF($B8=2015,4,IF($B8=2016,5,IF($B8=2017,6,IF($B8=2018,7,IF($B8=2019,8,IF($B8=2020,9,0))))))),FALSE)</f>
        <v>2.1718388632719882E-2</v>
      </c>
      <c r="M8" s="540">
        <f t="shared" ref="M8:M18" si="1">0.095*G8</f>
        <v>0.10688337020227559</v>
      </c>
      <c r="N8" s="135">
        <v>2</v>
      </c>
      <c r="O8" s="135">
        <v>6</v>
      </c>
      <c r="P8" s="136">
        <f>1.5*22</f>
        <v>33</v>
      </c>
      <c r="Q8" s="39">
        <f t="shared" ref="Q8:Y18" si="2">(E8*$N8*$O8)</f>
        <v>1.9404806430264561</v>
      </c>
      <c r="R8" s="29">
        <f t="shared" si="2"/>
        <v>10.295895579900169</v>
      </c>
      <c r="S8" s="29">
        <f t="shared" si="2"/>
        <v>13.501057288708495</v>
      </c>
      <c r="T8" s="29">
        <f t="shared" si="2"/>
        <v>3.1197721773526886E-2</v>
      </c>
      <c r="U8" s="29">
        <f t="shared" si="2"/>
        <v>0.54652428294050559</v>
      </c>
      <c r="V8" s="29">
        <f t="shared" si="2"/>
        <v>0.48640661181704992</v>
      </c>
      <c r="W8" s="29">
        <f t="shared" si="2"/>
        <v>3178.4705305989246</v>
      </c>
      <c r="X8" s="29">
        <f t="shared" si="2"/>
        <v>0.26062066359263858</v>
      </c>
      <c r="Y8" s="29">
        <f t="shared" si="2"/>
        <v>1.2826004424273072</v>
      </c>
    </row>
    <row r="9" spans="1:25" s="3" customFormat="1" x14ac:dyDescent="0.25">
      <c r="A9" s="27" t="s">
        <v>194</v>
      </c>
      <c r="B9" s="34">
        <v>2019</v>
      </c>
      <c r="C9" s="25">
        <v>350</v>
      </c>
      <c r="D9" s="538">
        <v>0.41</v>
      </c>
      <c r="E9" s="546">
        <f>VLOOKUP($A9,EFROGS!$A$1:$J$44,(IF($B9=2015,4,IF($B9=2016,5,IF($B9=2017,6,IF($B9=2018,7,IF($B9=2019,8,IF($B9=2020,9,0))))))),FALSE)</f>
        <v>9.8702022682727431E-2</v>
      </c>
      <c r="F9" s="546">
        <f>VLOOKUP($A9,EFCOS!$A$1:$J$44,(IF($B9=2015,4,IF($B9=2016,5,IF($B9=2017,6,IF($B9=2018,7,IF($B9=2019,8,IF($B9=2020,9,0))))))),FALSE)</f>
        <v>0.58273413827780207</v>
      </c>
      <c r="G9" s="546">
        <f>VLOOKUP($A9,EFNOXS!$A$1:$J$44,(IF($B9=2015,4,IF($B9=2016,5,IF($B9=2017,6,IF($B9=2018,7,IF($B9=2019,8,IF($B9=2020,9,0))))))),FALSE)</f>
        <v>0.57434158476764108</v>
      </c>
      <c r="H9" s="546">
        <f>VLOOKUP($A9,EFSOXS!$A$1:$J$44,(IF($B9=2015,4,IF($B9=2016,5,IF($B9=2017,6,IF($B9=2018,7,IF($B9=2019,8,IF($B9=2020,9,0))))))),FALSE)</f>
        <v>2.2524636529229324E-3</v>
      </c>
      <c r="I9" s="546">
        <f>VLOOKUP($A9,EFPMS!$A$1:$J$44,(IF($B9=2015,4,IF($B9=2016,5,IF($B9=2017,6,IF($B9=2018,7,IF($B9=2019,8,IF($B9=2020,9,0))))))),FALSE)</f>
        <v>2.1220188327076863E-2</v>
      </c>
      <c r="J9" s="536">
        <f t="shared" si="0"/>
        <v>1.8885967611098408E-2</v>
      </c>
      <c r="K9" s="549">
        <f>VLOOKUP($A9,EFCO2S!$A$1:$J$44,(IF($B9=2015,4,IF($B9=2016,5,IF($B9=2017,6,IF($B9=2018,7,IF($B9=2019,8,IF($B9=2020,9,0))))))),FALSE)</f>
        <v>229.48421950990104</v>
      </c>
      <c r="L9" s="546">
        <f>VLOOKUP($A9,EFCH4S!$A$1:$J$44,(IF($B9=2015,4,IF($B9=2016,5,IF($B9=2017,6,IF($B9=2018,7,IF($B9=2019,8,IF($B9=2020,9,0))))))),FALSE)</f>
        <v>1.2178721396469788E-2</v>
      </c>
      <c r="M9" s="540">
        <f t="shared" si="1"/>
        <v>5.4562450552925905E-2</v>
      </c>
      <c r="N9" s="135">
        <v>1</v>
      </c>
      <c r="O9" s="135">
        <v>8</v>
      </c>
      <c r="P9" s="136">
        <f>1*22</f>
        <v>22</v>
      </c>
      <c r="Q9" s="39">
        <f t="shared" si="2"/>
        <v>0.78961618146181944</v>
      </c>
      <c r="R9" s="29">
        <f t="shared" si="2"/>
        <v>4.6618731062224166</v>
      </c>
      <c r="S9" s="29">
        <f t="shared" si="2"/>
        <v>4.5947326781411286</v>
      </c>
      <c r="T9" s="29">
        <f t="shared" si="2"/>
        <v>1.8019709223383459E-2</v>
      </c>
      <c r="U9" s="29">
        <f t="shared" si="2"/>
        <v>0.1697615066166149</v>
      </c>
      <c r="V9" s="29">
        <f t="shared" si="2"/>
        <v>0.15108774088878726</v>
      </c>
      <c r="W9" s="29">
        <f t="shared" si="2"/>
        <v>1835.8737560792083</v>
      </c>
      <c r="X9" s="29">
        <f t="shared" si="2"/>
        <v>9.74297711717583E-2</v>
      </c>
      <c r="Y9" s="29">
        <f t="shared" si="2"/>
        <v>0.43649960442340724</v>
      </c>
    </row>
    <row r="10" spans="1:25" s="3" customFormat="1" ht="12.75" customHeight="1" x14ac:dyDescent="0.25">
      <c r="A10" s="27" t="s">
        <v>195</v>
      </c>
      <c r="B10" s="34">
        <v>2019</v>
      </c>
      <c r="C10" s="25">
        <v>350</v>
      </c>
      <c r="D10" s="538">
        <v>0.48</v>
      </c>
      <c r="E10" s="546">
        <f>VLOOKUP($A10,EFROGS!$A$1:$J$44,(IF($B10=2015,4,IF($B10=2016,5,IF($B10=2017,6,IF($B10=2018,7,IF($B10=2019,8,IF($B10=2020,9,0))))))),FALSE)</f>
        <v>0.1605582423299094</v>
      </c>
      <c r="F10" s="546">
        <f>VLOOKUP($A10,EFCOS!$A$1:$J$44,(IF($B10=2015,4,IF($B10=2016,5,IF($B10=2017,6,IF($B10=2018,7,IF($B10=2019,8,IF($B10=2020,9,0))))))),FALSE)</f>
        <v>0.8530099475615206</v>
      </c>
      <c r="G10" s="546">
        <f>VLOOKUP($A10,EFNOXS!$A$1:$J$44,(IF($B10=2015,4,IF($B10=2016,5,IF($B10=2017,6,IF($B10=2018,7,IF($B10=2019,8,IF($B10=2020,9,0))))))),FALSE)</f>
        <v>1.0699706323957581</v>
      </c>
      <c r="H10" s="546">
        <f>VLOOKUP($A10,EFSOXS!$A$1:$J$44,(IF($B10=2015,4,IF($B10=2016,5,IF($B10=2017,6,IF($B10=2018,7,IF($B10=2019,8,IF($B10=2020,9,0))))))),FALSE)</f>
        <v>3.1549256422564666E-3</v>
      </c>
      <c r="I10" s="546">
        <f>VLOOKUP($A10,EFPMS!$A$1:$J$44,(IF($B10=2015,4,IF($B10=2016,5,IF($B10=2017,6,IF($B10=2018,7,IF($B10=2019,8,IF($B10=2020,9,0))))))),FALSE)</f>
        <v>4.0782230728342743E-2</v>
      </c>
      <c r="J10" s="536">
        <f t="shared" si="0"/>
        <v>3.6296185348225041E-2</v>
      </c>
      <c r="K10" s="549">
        <f>VLOOKUP($A10,EFCO2S!$A$1:$J$44,(IF($B10=2015,4,IF($B10=2016,5,IF($B10=2017,6,IF($B10=2018,7,IF($B10=2019,8,IF($B10=2020,9,0))))))),FALSE)</f>
        <v>321.42843554242222</v>
      </c>
      <c r="L10" s="546">
        <f>VLOOKUP($A10,EFCH4S!$A$1:$J$44,(IF($B10=2015,4,IF($B10=2016,5,IF($B10=2017,6,IF($B10=2018,7,IF($B10=2019,8,IF($B10=2020,9,0))))))),FALSE)</f>
        <v>2.1025852051004948E-2</v>
      </c>
      <c r="M10" s="540">
        <f t="shared" si="1"/>
        <v>0.10164721007759701</v>
      </c>
      <c r="N10" s="135">
        <v>1</v>
      </c>
      <c r="O10" s="135">
        <v>3</v>
      </c>
      <c r="P10" s="136">
        <f>2*22</f>
        <v>44</v>
      </c>
      <c r="Q10" s="39">
        <f t="shared" si="2"/>
        <v>0.48167472698972819</v>
      </c>
      <c r="R10" s="29">
        <f t="shared" si="2"/>
        <v>2.5590298426845619</v>
      </c>
      <c r="S10" s="29">
        <f t="shared" si="2"/>
        <v>3.2099118971872742</v>
      </c>
      <c r="T10" s="29">
        <f t="shared" si="2"/>
        <v>9.4647769267694002E-3</v>
      </c>
      <c r="U10" s="29">
        <f t="shared" si="2"/>
        <v>0.12234669218502822</v>
      </c>
      <c r="V10" s="29">
        <f t="shared" si="2"/>
        <v>0.10888855604467512</v>
      </c>
      <c r="W10" s="29">
        <f t="shared" si="2"/>
        <v>964.28530662726666</v>
      </c>
      <c r="X10" s="29">
        <f t="shared" si="2"/>
        <v>6.3077556153014844E-2</v>
      </c>
      <c r="Y10" s="29">
        <f t="shared" si="2"/>
        <v>0.30494163023279103</v>
      </c>
    </row>
    <row r="11" spans="1:25" s="3" customFormat="1" ht="14.25" customHeight="1" x14ac:dyDescent="0.25">
      <c r="A11" s="27" t="s">
        <v>196</v>
      </c>
      <c r="B11" s="34">
        <v>2019</v>
      </c>
      <c r="C11" s="25">
        <v>250</v>
      </c>
      <c r="D11" s="538">
        <v>0.38</v>
      </c>
      <c r="E11" s="546">
        <f>VLOOKUP($A11,EFROGS!$A$1:$J$44,(IF($B11=2015,4,IF($B11=2016,5,IF($B11=2017,6,IF($B11=2018,7,IF($B11=2019,8,IF($B11=2020,9,0))))))),FALSE)</f>
        <v>6.4907591581502125E-2</v>
      </c>
      <c r="F11" s="546">
        <f>VLOOKUP($A11,EFCOS!$A$1:$J$44,(IF($B11=2015,4,IF($B11=2016,5,IF($B11=2017,6,IF($B11=2018,7,IF($B11=2019,8,IF($B11=2020,9,0))))))),FALSE)</f>
        <v>0.37926042703511742</v>
      </c>
      <c r="G11" s="546">
        <f>VLOOKUP($A11,EFNOXS!$A$1:$J$44,(IF($B11=2015,4,IF($B11=2016,5,IF($B11=2017,6,IF($B11=2018,7,IF($B11=2019,8,IF($B11=2020,9,0))))))),FALSE)</f>
        <v>0.46592493202644208</v>
      </c>
      <c r="H11" s="546">
        <f>VLOOKUP($A11,EFSOXS!$A$1:$J$44,(IF($B11=2015,4,IF($B11=2016,5,IF($B11=2017,6,IF($B11=2018,7,IF($B11=2019,8,IF($B11=2020,9,0))))))),FALSE)</f>
        <v>1.7225238768631813E-3</v>
      </c>
      <c r="I11" s="546">
        <f>VLOOKUP($A11,EFPMS!$A$1:$J$44,(IF($B11=2015,4,IF($B11=2016,5,IF($B11=2017,6,IF($B11=2018,7,IF($B11=2019,8,IF($B11=2020,9,0))))))),FALSE)</f>
        <v>1.6111419358862331E-2</v>
      </c>
      <c r="J11" s="536">
        <f t="shared" si="0"/>
        <v>1.4339163229387475E-2</v>
      </c>
      <c r="K11" s="549">
        <f>VLOOKUP($A11,EFCO2S!$A$1:$J$44,(IF($B11=2015,4,IF($B11=2016,5,IF($B11=2017,6,IF($B11=2018,7,IF($B11=2019,8,IF($B11=2020,9,0))))))),FALSE)</f>
        <v>153.08987122896906</v>
      </c>
      <c r="L11" s="546">
        <f>VLOOKUP($A11,EFCH4S!$A$1:$J$44,(IF($B11=2015,4,IF($B11=2016,5,IF($B11=2017,6,IF($B11=2018,7,IF($B11=2019,8,IF($B11=2020,9,0))))))),FALSE)</f>
        <v>7.9971216054625441E-3</v>
      </c>
      <c r="M11" s="540">
        <f t="shared" si="1"/>
        <v>4.4262868542511997E-2</v>
      </c>
      <c r="N11" s="135">
        <v>1</v>
      </c>
      <c r="O11" s="135">
        <v>4</v>
      </c>
      <c r="P11" s="136">
        <f>3*22</f>
        <v>66</v>
      </c>
      <c r="Q11" s="39">
        <f t="shared" si="2"/>
        <v>0.2596303663260085</v>
      </c>
      <c r="R11" s="29">
        <f t="shared" si="2"/>
        <v>1.5170417081404697</v>
      </c>
      <c r="S11" s="29">
        <f t="shared" si="2"/>
        <v>1.8636997281057683</v>
      </c>
      <c r="T11" s="29">
        <f t="shared" si="2"/>
        <v>6.8900955074527254E-3</v>
      </c>
      <c r="U11" s="29">
        <f t="shared" si="2"/>
        <v>6.4445677435449322E-2</v>
      </c>
      <c r="V11" s="29">
        <f t="shared" si="2"/>
        <v>5.7356652917549898E-2</v>
      </c>
      <c r="W11" s="29">
        <f t="shared" si="2"/>
        <v>612.35948491587624</v>
      </c>
      <c r="X11" s="29">
        <f t="shared" si="2"/>
        <v>3.1988486421850176E-2</v>
      </c>
      <c r="Y11" s="29">
        <f t="shared" si="2"/>
        <v>0.17705147417004799</v>
      </c>
    </row>
    <row r="12" spans="1:25" s="3" customFormat="1" x14ac:dyDescent="0.25">
      <c r="A12" s="27" t="s">
        <v>197</v>
      </c>
      <c r="B12" s="34">
        <v>2019</v>
      </c>
      <c r="C12" s="134">
        <v>200</v>
      </c>
      <c r="D12" s="538">
        <v>0.36</v>
      </c>
      <c r="E12" s="546">
        <f>VLOOKUP($A12,EFROGS!$A$1:$J$44,(IF($B12=2015,4,IF($B12=2016,5,IF($B12=2017,6,IF($B12=2018,7,IF($B12=2019,8,IF($B12=2020,9,0))))))),FALSE)</f>
        <v>6.2620965153998093E-2</v>
      </c>
      <c r="F12" s="546">
        <f>VLOOKUP($A12,EFCOS!$A$1:$J$44,(IF($B12=2015,4,IF($B12=2016,5,IF($B12=2017,6,IF($B12=2018,7,IF($B12=2019,8,IF($B12=2020,9,0))))))),FALSE)</f>
        <v>0.33133639961939571</v>
      </c>
      <c r="G12" s="546">
        <f>VLOOKUP($A12,EFNOXS!$A$1:$J$44,(IF($B12=2015,4,IF($B12=2016,5,IF($B12=2017,6,IF($B12=2018,7,IF($B12=2019,8,IF($B12=2020,9,0))))))),FALSE)</f>
        <v>0.4010295074054433</v>
      </c>
      <c r="H12" s="546">
        <f>VLOOKUP($A12,EFSOXS!$A$1:$J$44,(IF($B12=2015,4,IF($B12=2016,5,IF($B12=2017,6,IF($B12=2018,7,IF($B12=2019,8,IF($B12=2020,9,0))))))),FALSE)</f>
        <v>1.6762437114831023E-3</v>
      </c>
      <c r="I12" s="546">
        <f>VLOOKUP($A12,EFPMS!$A$1:$J$44,(IF($B12=2015,4,IF($B12=2016,5,IF($B12=2017,6,IF($B12=2018,7,IF($B12=2019,8,IF($B12=2020,9,0))))))),FALSE)</f>
        <v>1.4015045851226302E-2</v>
      </c>
      <c r="J12" s="536">
        <f t="shared" si="0"/>
        <v>1.2473390807591408E-2</v>
      </c>
      <c r="K12" s="549">
        <f>VLOOKUP($A12,EFCO2S!$A$1:$J$44,(IF($B12=2015,4,IF($B12=2016,5,IF($B12=2017,6,IF($B12=2018,7,IF($B12=2019,8,IF($B12=2020,9,0))))))),FALSE)</f>
        <v>148.97671844641377</v>
      </c>
      <c r="L12" s="546">
        <f>VLOOKUP($A12,EFCH4S!$A$1:$J$44,(IF($B12=2015,4,IF($B12=2016,5,IF($B12=2017,6,IF($B12=2018,7,IF($B12=2019,8,IF($B12=2020,9,0))))))),FALSE)</f>
        <v>8.0802618506061671E-3</v>
      </c>
      <c r="M12" s="540">
        <f t="shared" si="1"/>
        <v>3.8097803203517112E-2</v>
      </c>
      <c r="N12" s="135">
        <v>2</v>
      </c>
      <c r="O12" s="135">
        <v>4</v>
      </c>
      <c r="P12" s="136">
        <f>2*22</f>
        <v>44</v>
      </c>
      <c r="Q12" s="39">
        <f t="shared" si="2"/>
        <v>0.50096772123198474</v>
      </c>
      <c r="R12" s="29">
        <f t="shared" si="2"/>
        <v>2.6506911969551656</v>
      </c>
      <c r="S12" s="29">
        <f t="shared" si="2"/>
        <v>3.2082360592435464</v>
      </c>
      <c r="T12" s="29">
        <f t="shared" si="2"/>
        <v>1.3409949691864818E-2</v>
      </c>
      <c r="U12" s="29">
        <f t="shared" si="2"/>
        <v>0.11212036680981041</v>
      </c>
      <c r="V12" s="29">
        <f t="shared" si="2"/>
        <v>9.9787126460731262E-2</v>
      </c>
      <c r="W12" s="29">
        <f t="shared" si="2"/>
        <v>1191.8137475713102</v>
      </c>
      <c r="X12" s="29">
        <f t="shared" si="2"/>
        <v>6.4642094804849337E-2</v>
      </c>
      <c r="Y12" s="29">
        <f t="shared" si="2"/>
        <v>0.3047824256281369</v>
      </c>
    </row>
    <row r="13" spans="1:25" s="3" customFormat="1" x14ac:dyDescent="0.25">
      <c r="A13" s="27" t="s">
        <v>199</v>
      </c>
      <c r="B13" s="34">
        <v>2019</v>
      </c>
      <c r="C13" s="25">
        <v>175</v>
      </c>
      <c r="D13" s="538">
        <v>0.38</v>
      </c>
      <c r="E13" s="546">
        <f>VLOOKUP($A13,EFROGS!$A$1:$J$44,(IF($B13=2015,4,IF($B13=2016,5,IF($B13=2017,6,IF($B13=2018,7,IF($B13=2019,8,IF($B13=2020,9,0))))))),FALSE)</f>
        <v>6.7085777655213327E-2</v>
      </c>
      <c r="F13" s="546">
        <f>VLOOKUP($A13,EFCOS!$A$1:$J$44,(IF($B13=2015,4,IF($B13=2016,5,IF($B13=2017,6,IF($B13=2018,7,IF($B13=2019,8,IF($B13=2020,9,0))))))),FALSE)</f>
        <v>0.34144226313529447</v>
      </c>
      <c r="G13" s="546">
        <f>VLOOKUP($A13,EFNOXS!$A$1:$J$44,(IF($B13=2015,4,IF($B13=2016,5,IF($B13=2017,6,IF($B13=2018,7,IF($B13=2019,8,IF($B13=2020,9,0))))))),FALSE)</f>
        <v>0.36542804294942877</v>
      </c>
      <c r="H13" s="546">
        <f>VLOOKUP($A13,EFSOXS!$A$1:$J$44,(IF($B13=2015,4,IF($B13=2016,5,IF($B13=2017,6,IF($B13=2018,7,IF($B13=2019,8,IF($B13=2020,9,0))))))),FALSE)</f>
        <v>1.8739219985869813E-3</v>
      </c>
      <c r="I13" s="546">
        <f>VLOOKUP($A13,EFPMS!$A$1:$J$44,(IF($B13=2015,4,IF($B13=2016,5,IF($B13=2017,6,IF($B13=2018,7,IF($B13=2019,8,IF($B13=2020,9,0))))))),FALSE)</f>
        <v>1.2739176001638888E-2</v>
      </c>
      <c r="J13" s="536">
        <f t="shared" si="0"/>
        <v>1.133786664145861E-2</v>
      </c>
      <c r="K13" s="549">
        <f>VLOOKUP($A13,EFCO2S!$A$1:$J$44,(IF($B13=2015,4,IF($B13=2016,5,IF($B13=2017,6,IF($B13=2018,7,IF($B13=2019,8,IF($B13=2020,9,0))))))),FALSE)</f>
        <v>166.54541132463186</v>
      </c>
      <c r="L13" s="546">
        <f>VLOOKUP($A13,EFCH4S!$A$1:$J$44,(IF($B13=2015,4,IF($B13=2016,5,IF($B13=2017,6,IF($B13=2018,7,IF($B13=2019,8,IF($B13=2020,9,0))))))),FALSE)</f>
        <v>8.8537970071824509E-3</v>
      </c>
      <c r="M13" s="540">
        <f t="shared" si="1"/>
        <v>3.4715664080195732E-2</v>
      </c>
      <c r="N13" s="135">
        <v>2</v>
      </c>
      <c r="O13" s="135">
        <v>5</v>
      </c>
      <c r="P13" s="136">
        <f>3*22</f>
        <v>66</v>
      </c>
      <c r="Q13" s="39">
        <f t="shared" si="2"/>
        <v>0.6708577765521333</v>
      </c>
      <c r="R13" s="29">
        <f t="shared" si="2"/>
        <v>3.4144226313529447</v>
      </c>
      <c r="S13" s="29">
        <f t="shared" si="2"/>
        <v>3.6542804294942877</v>
      </c>
      <c r="T13" s="29">
        <f t="shared" si="2"/>
        <v>1.8739219985869814E-2</v>
      </c>
      <c r="U13" s="29">
        <f t="shared" si="2"/>
        <v>0.12739176001638888</v>
      </c>
      <c r="V13" s="29">
        <f t="shared" si="2"/>
        <v>0.1133786664145861</v>
      </c>
      <c r="W13" s="29">
        <f t="shared" si="2"/>
        <v>1665.4541132463187</v>
      </c>
      <c r="X13" s="29">
        <f t="shared" si="2"/>
        <v>8.8537970071824512E-2</v>
      </c>
      <c r="Y13" s="29">
        <f t="shared" si="2"/>
        <v>0.34715664080195729</v>
      </c>
    </row>
    <row r="14" spans="1:25" s="3" customFormat="1" x14ac:dyDescent="0.25">
      <c r="A14" s="27" t="s">
        <v>200</v>
      </c>
      <c r="B14" s="34">
        <v>2019</v>
      </c>
      <c r="C14" s="25">
        <v>235</v>
      </c>
      <c r="D14" s="538">
        <v>0.38</v>
      </c>
      <c r="E14" s="546">
        <f>VLOOKUP($A14,EFROGS!$A$1:$J$44,(IF($B14=2015,4,IF($B14=2016,5,IF($B14=2017,6,IF($B14=2018,7,IF($B14=2019,8,IF($B14=2020,9,0))))))),FALSE)</f>
        <v>6.9900592470028153E-2</v>
      </c>
      <c r="F14" s="546">
        <f>VLOOKUP($A14,EFCOS!$A$1:$J$44,(IF($B14=2015,4,IF($B14=2016,5,IF($B14=2017,6,IF($B14=2018,7,IF($B14=2019,8,IF($B14=2020,9,0))))))),FALSE)</f>
        <v>0.38567506736809876</v>
      </c>
      <c r="G14" s="546">
        <f>VLOOKUP($A14,EFNOXS!$A$1:$J$44,(IF($B14=2015,4,IF($B14=2016,5,IF($B14=2017,6,IF($B14=2018,7,IF($B14=2019,8,IF($B14=2020,9,0))))))),FALSE)</f>
        <v>0.37145978898117477</v>
      </c>
      <c r="H14" s="546">
        <f>VLOOKUP($A14,EFSOXS!$A$1:$J$44,(IF($B14=2015,4,IF($B14=2016,5,IF($B14=2017,6,IF($B14=2018,7,IF($B14=2019,8,IF($B14=2020,9,0))))))),FALSE)</f>
        <v>1.8739219985869813E-3</v>
      </c>
      <c r="I14" s="546">
        <f>VLOOKUP($A14,EFPMS!$A$1:$J$44,(IF($B14=2015,4,IF($B14=2016,5,IF($B14=2017,6,IF($B14=2018,7,IF($B14=2019,8,IF($B14=2020,9,0))))))),FALSE)</f>
        <v>1.3040763303226189E-2</v>
      </c>
      <c r="J14" s="536">
        <f t="shared" ref="J14" si="3">0.89*I14</f>
        <v>1.1606279339871309E-2</v>
      </c>
      <c r="K14" s="549">
        <f>VLOOKUP($A14,EFCO2S!$A$1:$J$44,(IF($B14=2015,4,IF($B14=2016,5,IF($B14=2017,6,IF($B14=2018,7,IF($B14=2019,8,IF($B14=2020,9,0))))))),FALSE)</f>
        <v>166.54541132463186</v>
      </c>
      <c r="L14" s="546">
        <f>VLOOKUP($A14,EFCH4S!$A$1:$J$44,(IF($B14=2015,4,IF($B14=2016,5,IF($B14=2017,6,IF($B14=2018,7,IF($B14=2019,8,IF($B14=2020,9,0))))))),FALSE)</f>
        <v>8.8537970071824509E-3</v>
      </c>
      <c r="M14" s="540">
        <f t="shared" si="1"/>
        <v>3.5288679953211603E-2</v>
      </c>
      <c r="N14" s="135">
        <v>3</v>
      </c>
      <c r="O14" s="135">
        <v>8</v>
      </c>
      <c r="P14" s="136">
        <f>2*22</f>
        <v>44</v>
      </c>
      <c r="Q14" s="39">
        <f t="shared" si="2"/>
        <v>1.6776142192806756</v>
      </c>
      <c r="R14" s="29">
        <f t="shared" si="2"/>
        <v>9.256201616834371</v>
      </c>
      <c r="S14" s="29">
        <f t="shared" si="2"/>
        <v>8.9150349355481939</v>
      </c>
      <c r="T14" s="29">
        <f t="shared" si="2"/>
        <v>4.4974127966087553E-2</v>
      </c>
      <c r="U14" s="29">
        <f t="shared" si="2"/>
        <v>0.31297831927742853</v>
      </c>
      <c r="V14" s="29">
        <f t="shared" si="2"/>
        <v>0.27855070415691141</v>
      </c>
      <c r="W14" s="29">
        <f t="shared" si="2"/>
        <v>3997.0898717911646</v>
      </c>
      <c r="X14" s="29">
        <f t="shared" si="2"/>
        <v>0.21249112817237881</v>
      </c>
      <c r="Y14" s="29">
        <f t="shared" si="2"/>
        <v>0.84692831887707842</v>
      </c>
    </row>
    <row r="15" spans="1:25" s="3" customFormat="1" x14ac:dyDescent="0.25">
      <c r="A15" s="27" t="s">
        <v>201</v>
      </c>
      <c r="B15" s="34">
        <v>2019</v>
      </c>
      <c r="C15" s="25">
        <v>300</v>
      </c>
      <c r="D15" s="538">
        <v>0.38</v>
      </c>
      <c r="E15" s="546">
        <f>VLOOKUP($A15,EFROGS!$A$1:$J$44,(IF($B15=2015,4,IF($B15=2016,5,IF($B15=2017,6,IF($B15=2018,7,IF($B15=2019,8,IF($B15=2020,9,0))))))),FALSE)</f>
        <v>9.0027095659543435E-2</v>
      </c>
      <c r="F15" s="546">
        <f>VLOOKUP($A15,EFCOS!$A$1:$J$44,(IF($B15=2015,4,IF($B15=2016,5,IF($B15=2017,6,IF($B15=2018,7,IF($B15=2019,8,IF($B15=2020,9,0))))))),FALSE)</f>
        <v>0.49909307769164696</v>
      </c>
      <c r="G15" s="546">
        <f>VLOOKUP($A15,EFNOXS!$A$1:$J$44,(IF($B15=2015,4,IF($B15=2016,5,IF($B15=2017,6,IF($B15=2018,7,IF($B15=2019,8,IF($B15=2020,9,0))))))),FALSE)</f>
        <v>0.44416145719239825</v>
      </c>
      <c r="H15" s="546">
        <f>VLOOKUP($A15,EFSOXS!$A$1:$J$44,(IF($B15=2015,4,IF($B15=2016,5,IF($B15=2017,6,IF($B15=2018,7,IF($B15=2019,8,IF($B15=2020,9,0))))))),FALSE)</f>
        <v>2.2941889803797964E-3</v>
      </c>
      <c r="I15" s="546">
        <f>VLOOKUP($A15,EFPMS!$A$1:$J$44,(IF($B15=2015,4,IF($B15=2016,5,IF($B15=2017,6,IF($B15=2018,7,IF($B15=2019,8,IF($B15=2020,9,0))))))),FALSE)</f>
        <v>1.6503674071042872E-2</v>
      </c>
      <c r="J15" s="536">
        <f t="shared" si="0"/>
        <v>1.4688269923228157E-2</v>
      </c>
      <c r="K15" s="549">
        <f>VLOOKUP($A15,EFCO2S!$A$1:$J$44,(IF($B15=2015,4,IF($B15=2016,5,IF($B15=2017,6,IF($B15=2018,7,IF($B15=2019,8,IF($B15=2020,9,0))))))),FALSE)</f>
        <v>233.73530479202901</v>
      </c>
      <c r="L15" s="546">
        <f>VLOOKUP($A15,EFCH4S!$A$1:$J$44,(IF($B15=2015,4,IF($B15=2016,5,IF($B15=2017,6,IF($B15=2018,7,IF($B15=2019,8,IF($B15=2020,9,0))))))),FALSE)</f>
        <v>1.1421864606287866E-2</v>
      </c>
      <c r="M15" s="540">
        <f t="shared" si="1"/>
        <v>4.2195338433277836E-2</v>
      </c>
      <c r="N15" s="135">
        <v>2</v>
      </c>
      <c r="O15" s="135">
        <v>6</v>
      </c>
      <c r="P15" s="136">
        <f>2*22</f>
        <v>44</v>
      </c>
      <c r="Q15" s="39">
        <f t="shared" si="2"/>
        <v>1.0803251479145213</v>
      </c>
      <c r="R15" s="29">
        <f t="shared" si="2"/>
        <v>5.9891169322997637</v>
      </c>
      <c r="S15" s="29">
        <f t="shared" si="2"/>
        <v>5.3299374863087792</v>
      </c>
      <c r="T15" s="29">
        <f t="shared" si="2"/>
        <v>2.7530267764557557E-2</v>
      </c>
      <c r="U15" s="29">
        <f t="shared" si="2"/>
        <v>0.19804408885251445</v>
      </c>
      <c r="V15" s="29">
        <f t="shared" si="2"/>
        <v>0.17625923907873789</v>
      </c>
      <c r="W15" s="29">
        <f t="shared" si="2"/>
        <v>2804.8236575043484</v>
      </c>
      <c r="X15" s="29">
        <f t="shared" si="2"/>
        <v>0.1370623752754544</v>
      </c>
      <c r="Y15" s="29">
        <f t="shared" si="2"/>
        <v>0.50634406119933406</v>
      </c>
    </row>
    <row r="16" spans="1:25" s="3" customFormat="1" x14ac:dyDescent="0.25">
      <c r="A16" s="27" t="s">
        <v>155</v>
      </c>
      <c r="B16" s="34">
        <v>2019</v>
      </c>
      <c r="C16" s="134">
        <v>82</v>
      </c>
      <c r="D16" s="538">
        <v>0.5</v>
      </c>
      <c r="E16" s="546">
        <f>VLOOKUP($A16,EFROGS!$A$1:$J$44,(IF($B16=2015,4,IF($B16=2016,5,IF($B16=2017,6,IF($B16=2018,7,IF($B16=2019,8,IF($B16=2020,9,0))))))),FALSE)</f>
        <v>2.2638771537541364E-2</v>
      </c>
      <c r="F16" s="546">
        <f>VLOOKUP($A16,EFCOS!$A$1:$J$44,(IF($B16=2015,4,IF($B16=2016,5,IF($B16=2017,6,IF($B16=2018,7,IF($B16=2019,8,IF($B16=2020,9,0))))))),FALSE)</f>
        <v>0.41357942053287283</v>
      </c>
      <c r="G16" s="546">
        <f>VLOOKUP($A16,EFNOXS!$A$1:$J$44,(IF($B16=2015,4,IF($B16=2016,5,IF($B16=2017,6,IF($B16=2018,7,IF($B16=2019,8,IF($B16=2020,9,0))))))),FALSE)</f>
        <v>0.160886432215434</v>
      </c>
      <c r="H16" s="546">
        <f>VLOOKUP($A16,EFSOXS!$A$1:$J$44,(IF($B16=2015,4,IF($B16=2016,5,IF($B16=2017,6,IF($B16=2018,7,IF($B16=2019,8,IF($B16=2020,9,0))))))),FALSE)</f>
        <v>9.046777577488526E-4</v>
      </c>
      <c r="I16" s="546">
        <f>VLOOKUP($A16,EFPMS!$A$1:$J$44,(IF($B16=2015,4,IF($B16=2016,5,IF($B16=2017,6,IF($B16=2018,7,IF($B16=2019,8,IF($B16=2020,9,0))))))),FALSE)</f>
        <v>3.7752492862157534E-3</v>
      </c>
      <c r="J16" s="536">
        <f t="shared" si="0"/>
        <v>3.3599718647320206E-3</v>
      </c>
      <c r="K16" s="549">
        <f>VLOOKUP($A16,EFCO2S!$A$1:$J$44,(IF($B16=2015,4,IF($B16=2016,5,IF($B16=2017,6,IF($B16=2018,7,IF($B16=2019,8,IF($B16=2020,9,0))))))),FALSE)</f>
        <v>77.121752202638532</v>
      </c>
      <c r="L16" s="546">
        <f>VLOOKUP($A16,EFCH4S!$A$1:$J$44,(IF($B16=2015,4,IF($B16=2016,5,IF($B16=2017,6,IF($B16=2018,7,IF($B16=2019,8,IF($B16=2020,9,0))))))),FALSE)</f>
        <v>2.6432463875258158E-3</v>
      </c>
      <c r="M16" s="541">
        <f t="shared" si="1"/>
        <v>1.528421106046623E-2</v>
      </c>
      <c r="N16" s="108">
        <v>2</v>
      </c>
      <c r="O16" s="108">
        <v>8</v>
      </c>
      <c r="P16" s="109">
        <v>22</v>
      </c>
      <c r="Q16" s="39">
        <f t="shared" si="2"/>
        <v>0.36222034460066183</v>
      </c>
      <c r="R16" s="29">
        <f t="shared" si="2"/>
        <v>6.6172707285259653</v>
      </c>
      <c r="S16" s="29">
        <f t="shared" si="2"/>
        <v>2.574182915446944</v>
      </c>
      <c r="T16" s="29">
        <f t="shared" si="2"/>
        <v>1.4474844123981642E-2</v>
      </c>
      <c r="U16" s="29">
        <f t="shared" si="2"/>
        <v>6.0403988579452055E-2</v>
      </c>
      <c r="V16" s="29">
        <f t="shared" si="2"/>
        <v>5.3759549835712329E-2</v>
      </c>
      <c r="W16" s="29">
        <f t="shared" si="2"/>
        <v>1233.9480352422165</v>
      </c>
      <c r="X16" s="29">
        <f t="shared" si="2"/>
        <v>4.2291942200413053E-2</v>
      </c>
      <c r="Y16" s="29">
        <f t="shared" si="2"/>
        <v>0.24454737696745968</v>
      </c>
    </row>
    <row r="17" spans="1:25" s="3" customFormat="1" x14ac:dyDescent="0.25">
      <c r="A17" s="27" t="s">
        <v>204</v>
      </c>
      <c r="B17" s="34">
        <v>2019</v>
      </c>
      <c r="C17" s="25">
        <v>75</v>
      </c>
      <c r="D17" s="538">
        <v>0.28999999999999998</v>
      </c>
      <c r="E17" s="546">
        <f>VLOOKUP($A17,EFROGS!$A$1:$J$44,(IF($B17=2015,4,IF($B17=2016,5,IF($B17=2017,6,IF($B17=2018,7,IF($B17=2019,8,IF($B17=2020,9,0))))))),FALSE)</f>
        <v>3.8046255521407342E-2</v>
      </c>
      <c r="F17" s="546">
        <f>VLOOKUP($A17,EFCOS!$A$1:$J$44,(IF($B17=2015,4,IF($B17=2016,5,IF($B17=2017,6,IF($B17=2018,7,IF($B17=2019,8,IF($B17=2020,9,0))))))),FALSE)</f>
        <v>0.27888114578186085</v>
      </c>
      <c r="G17" s="546">
        <f>VLOOKUP($A17,EFNOXS!$A$1:$J$44,(IF($B17=2015,4,IF($B17=2016,5,IF($B17=2017,6,IF($B17=2018,7,IF($B17=2019,8,IF($B17=2020,9,0))))))),FALSE)</f>
        <v>0.22047187018750058</v>
      </c>
      <c r="H17" s="546">
        <f>VLOOKUP($A17,EFSOXS!$A$1:$J$44,(IF($B17=2015,4,IF($B17=2016,5,IF($B17=2017,6,IF($B17=2018,7,IF($B17=2019,8,IF($B17=2020,9,0))))))),FALSE)</f>
        <v>5.8826119369513683E-4</v>
      </c>
      <c r="I17" s="546">
        <f>VLOOKUP($A17,EFPMS!$A$1:$J$44,(IF($B17=2015,4,IF($B17=2016,5,IF($B17=2017,6,IF($B17=2018,7,IF($B17=2019,8,IF($B17=2020,9,0))))))),FALSE)</f>
        <v>1.66364993658683E-2</v>
      </c>
      <c r="J17" s="536">
        <f t="shared" si="0"/>
        <v>1.4806484435622788E-2</v>
      </c>
      <c r="K17" s="549">
        <f>VLOOKUP($A17,EFCO2S!$A$1:$J$44,(IF($B17=2015,4,IF($B17=2016,5,IF($B17=2017,6,IF($B17=2018,7,IF($B17=2019,8,IF($B17=2020,9,0))))))),FALSE)</f>
        <v>50.147949925498153</v>
      </c>
      <c r="L17" s="546">
        <f>VLOOKUP($A17,EFCH4S!$A$1:$J$44,(IF($B17=2015,4,IF($B17=2016,5,IF($B17=2017,6,IF($B17=2018,7,IF($B17=2019,8,IF($B17=2020,9,0))))))),FALSE)</f>
        <v>5.3176226032023424E-3</v>
      </c>
      <c r="M17" s="541">
        <f t="shared" si="1"/>
        <v>2.0944827667812554E-2</v>
      </c>
      <c r="N17" s="108">
        <v>2</v>
      </c>
      <c r="O17" s="108">
        <v>8</v>
      </c>
      <c r="P17" s="109">
        <v>22</v>
      </c>
      <c r="Q17" s="39">
        <f t="shared" si="2"/>
        <v>0.60874008834251747</v>
      </c>
      <c r="R17" s="29">
        <f t="shared" si="2"/>
        <v>4.4620983325097736</v>
      </c>
      <c r="S17" s="29">
        <f t="shared" si="2"/>
        <v>3.5275499230000094</v>
      </c>
      <c r="T17" s="29">
        <f t="shared" si="2"/>
        <v>9.4121790991221893E-3</v>
      </c>
      <c r="U17" s="29">
        <f t="shared" si="2"/>
        <v>0.2661839898538928</v>
      </c>
      <c r="V17" s="29">
        <f t="shared" si="2"/>
        <v>0.2369037509699646</v>
      </c>
      <c r="W17" s="29">
        <f t="shared" si="2"/>
        <v>802.36719880797045</v>
      </c>
      <c r="X17" s="29">
        <f t="shared" si="2"/>
        <v>8.5081961651237478E-2</v>
      </c>
      <c r="Y17" s="29">
        <f t="shared" si="2"/>
        <v>0.33511724268500087</v>
      </c>
    </row>
    <row r="18" spans="1:25" s="3" customFormat="1" x14ac:dyDescent="0.25">
      <c r="A18" s="37" t="s">
        <v>157</v>
      </c>
      <c r="B18" s="34">
        <v>2019</v>
      </c>
      <c r="C18" s="25">
        <v>235</v>
      </c>
      <c r="D18" s="538">
        <v>0.38</v>
      </c>
      <c r="E18" s="546">
        <f>VLOOKUP($A18,EFROGS!$A$1:$J$44,(IF($B18=2015,4,IF($B18=2016,5,IF($B18=2017,6,IF($B18=2018,7,IF($B18=2019,8,IF($B18=2020,9,0))))))),FALSE)</f>
        <v>6.9900592470028153E-2</v>
      </c>
      <c r="F18" s="546">
        <f>VLOOKUP($A18,EFCOS!$A$1:$J$44,(IF($B18=2015,4,IF($B18=2016,5,IF($B18=2017,6,IF($B18=2018,7,IF($B18=2019,8,IF($B18=2020,9,0))))))),FALSE)</f>
        <v>0.38567506736809876</v>
      </c>
      <c r="G18" s="546">
        <f>VLOOKUP($A18,EFNOXS!$A$1:$J$44,(IF($B18=2015,4,IF($B18=2016,5,IF($B18=2017,6,IF($B18=2018,7,IF($B18=2019,8,IF($B18=2020,9,0))))))),FALSE)</f>
        <v>0.37145978898117477</v>
      </c>
      <c r="H18" s="546">
        <f>VLOOKUP($A18,EFSOXS!$A$1:$J$44,(IF($B18=2015,4,IF($B18=2016,5,IF($B18=2017,6,IF($B18=2018,7,IF($B18=2019,8,IF($B18=2020,9,0))))))),FALSE)</f>
        <v>1.8739219985869813E-3</v>
      </c>
      <c r="I18" s="546">
        <f>VLOOKUP($A18,EFPMS!$A$1:$J$44,(IF($B18=2015,4,IF($B18=2016,5,IF($B18=2017,6,IF($B18=2018,7,IF($B18=2019,8,IF($B18=2020,9,0))))))),FALSE)</f>
        <v>1.3040763303226189E-2</v>
      </c>
      <c r="J18" s="536">
        <f t="shared" ref="J18" si="4">0.89*I18</f>
        <v>1.1606279339871309E-2</v>
      </c>
      <c r="K18" s="549">
        <f>VLOOKUP($A18,EFCO2S!$A$1:$J$44,(IF($B18=2015,4,IF($B18=2016,5,IF($B18=2017,6,IF($B18=2018,7,IF($B18=2019,8,IF($B18=2020,9,0))))))),FALSE)</f>
        <v>166.54541132463186</v>
      </c>
      <c r="L18" s="546">
        <f>VLOOKUP($A18,EFCH4S!$A$1:$J$44,(IF($B18=2015,4,IF($B18=2016,5,IF($B18=2017,6,IF($B18=2018,7,IF($B18=2019,8,IF($B18=2020,9,0))))))),FALSE)</f>
        <v>8.8537970071824509E-3</v>
      </c>
      <c r="M18" s="541">
        <f t="shared" si="1"/>
        <v>3.5288679953211603E-2</v>
      </c>
      <c r="N18" s="108">
        <v>2</v>
      </c>
      <c r="O18" s="108">
        <v>8</v>
      </c>
      <c r="P18" s="109">
        <v>22</v>
      </c>
      <c r="Q18" s="39">
        <f t="shared" si="2"/>
        <v>1.1184094795204504</v>
      </c>
      <c r="R18" s="29">
        <f t="shared" si="2"/>
        <v>6.1708010778895801</v>
      </c>
      <c r="S18" s="29">
        <f t="shared" si="2"/>
        <v>5.9433566236987962</v>
      </c>
      <c r="T18" s="29">
        <f t="shared" si="2"/>
        <v>2.9982751977391701E-2</v>
      </c>
      <c r="U18" s="29">
        <f t="shared" si="2"/>
        <v>0.20865221285161903</v>
      </c>
      <c r="V18" s="29">
        <f t="shared" si="2"/>
        <v>0.18570046943794094</v>
      </c>
      <c r="W18" s="29">
        <f t="shared" si="2"/>
        <v>2664.7265811941097</v>
      </c>
      <c r="X18" s="29">
        <f t="shared" si="2"/>
        <v>0.14166075211491921</v>
      </c>
      <c r="Y18" s="29">
        <f t="shared" si="2"/>
        <v>0.56461887925138565</v>
      </c>
    </row>
    <row r="19" spans="1:25" s="3" customFormat="1" x14ac:dyDescent="0.25">
      <c r="A19" s="19" t="s">
        <v>38</v>
      </c>
      <c r="B19" s="34"/>
      <c r="C19" s="25"/>
      <c r="D19" s="539"/>
      <c r="E19" s="26"/>
      <c r="F19" s="26"/>
      <c r="G19" s="26"/>
      <c r="H19" s="26"/>
      <c r="I19" s="26"/>
      <c r="J19" s="537"/>
      <c r="K19" s="28"/>
      <c r="L19" s="26"/>
      <c r="M19" s="542"/>
      <c r="N19" s="135"/>
      <c r="O19" s="135"/>
      <c r="P19" s="136"/>
      <c r="Q19" s="138">
        <f>SUM(Q8:Q18)</f>
        <v>9.4905366952469574</v>
      </c>
      <c r="R19" s="138">
        <f t="shared" ref="R19:Y19" si="5">SUM(R8:R18)</f>
        <v>57.594442753315185</v>
      </c>
      <c r="S19" s="138">
        <f t="shared" si="5"/>
        <v>56.321979964883226</v>
      </c>
      <c r="T19" s="138">
        <f t="shared" si="5"/>
        <v>0.22409564404000776</v>
      </c>
      <c r="U19" s="138">
        <f t="shared" si="5"/>
        <v>2.1888528854187044</v>
      </c>
      <c r="V19" s="138">
        <f t="shared" si="5"/>
        <v>1.9480790680226467</v>
      </c>
      <c r="W19" s="138">
        <f t="shared" si="5"/>
        <v>20951.212283578716</v>
      </c>
      <c r="X19" s="138">
        <f t="shared" si="5"/>
        <v>1.2248847016303388</v>
      </c>
      <c r="Y19" s="138">
        <f t="shared" si="5"/>
        <v>5.3505880966639072</v>
      </c>
    </row>
    <row r="20" spans="1:25" s="3" customFormat="1" x14ac:dyDescent="0.25">
      <c r="A20" s="19" t="s">
        <v>629</v>
      </c>
      <c r="B20" s="34"/>
      <c r="C20" s="25"/>
      <c r="D20" s="539"/>
      <c r="E20" s="26"/>
      <c r="F20" s="26"/>
      <c r="G20" s="26"/>
      <c r="H20" s="26"/>
      <c r="I20" s="26"/>
      <c r="J20" s="537"/>
      <c r="K20" s="28"/>
      <c r="L20" s="26"/>
      <c r="M20" s="542"/>
      <c r="N20" s="135"/>
      <c r="O20" s="135"/>
      <c r="P20" s="136"/>
      <c r="Q20" s="39">
        <f>Q19</f>
        <v>9.4905366952469574</v>
      </c>
      <c r="R20" s="39">
        <f t="shared" ref="R20:Y20" si="6">R19</f>
        <v>57.594442753315185</v>
      </c>
      <c r="S20" s="39">
        <f t="shared" si="6"/>
        <v>56.321979964883226</v>
      </c>
      <c r="T20" s="39">
        <f t="shared" si="6"/>
        <v>0.22409564404000776</v>
      </c>
      <c r="U20" s="39">
        <f t="shared" si="6"/>
        <v>2.1888528854187044</v>
      </c>
      <c r="V20" s="39">
        <f t="shared" si="6"/>
        <v>1.9480790680226467</v>
      </c>
      <c r="W20" s="39">
        <f t="shared" si="6"/>
        <v>20951.212283578716</v>
      </c>
      <c r="X20" s="39">
        <f t="shared" si="6"/>
        <v>1.2248847016303388</v>
      </c>
      <c r="Y20" s="39">
        <f t="shared" si="6"/>
        <v>5.3505880966639072</v>
      </c>
    </row>
    <row r="21" spans="1:25" s="3" customFormat="1" x14ac:dyDescent="0.25">
      <c r="A21" s="27"/>
      <c r="B21" s="34"/>
      <c r="C21" s="25"/>
      <c r="D21" s="539"/>
      <c r="E21" s="26"/>
      <c r="F21" s="26"/>
      <c r="G21" s="26"/>
      <c r="H21" s="26"/>
      <c r="I21" s="26"/>
      <c r="J21" s="537"/>
      <c r="K21" s="28"/>
      <c r="L21" s="26"/>
      <c r="M21" s="542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19" t="s">
        <v>238</v>
      </c>
      <c r="B22" s="34">
        <v>2020</v>
      </c>
      <c r="C22" s="25"/>
      <c r="D22" s="539"/>
      <c r="E22" s="26"/>
      <c r="F22" s="26"/>
      <c r="G22" s="26"/>
      <c r="H22" s="26"/>
      <c r="I22" s="26"/>
      <c r="J22" s="537"/>
      <c r="K22" s="28"/>
      <c r="L22" s="26"/>
      <c r="M22" s="542"/>
      <c r="N22" s="135"/>
      <c r="O22" s="135"/>
      <c r="P22" s="136"/>
      <c r="Q22" s="39"/>
      <c r="R22" s="29"/>
      <c r="S22" s="29"/>
      <c r="T22" s="29"/>
      <c r="U22" s="29"/>
      <c r="V22" s="29"/>
      <c r="W22" s="29"/>
      <c r="X22" s="29"/>
      <c r="Y22" s="29"/>
    </row>
    <row r="23" spans="1:25" s="3" customFormat="1" x14ac:dyDescent="0.25">
      <c r="A23" s="37" t="s">
        <v>157</v>
      </c>
      <c r="B23" s="34">
        <v>2020</v>
      </c>
      <c r="C23" s="25">
        <v>235</v>
      </c>
      <c r="D23" s="538">
        <v>0.38</v>
      </c>
      <c r="E23" s="546">
        <f>VLOOKUP($A23,EFROGS!$A$1:$J$44,(IF($B23=2015,4,IF($B23=2016,5,IF($B23=2017,6,IF($B23=2018,7,IF($B23=2019,8,IF($B23=2020,9,0))))))),FALSE)</f>
        <v>6.0143487253669921E-2</v>
      </c>
      <c r="F23" s="546">
        <f>VLOOKUP($A23,EFCOS!$A$1:$J$44,(IF($B23=2015,4,IF($B23=2016,5,IF($B23=2017,6,IF($B23=2018,7,IF($B23=2019,8,IF($B23=2020,9,0))))))),FALSE)</f>
        <v>0.39227354694736927</v>
      </c>
      <c r="G23" s="546">
        <f>VLOOKUP($A23,EFNOXS!$A$1:$J$44,(IF($B23=2015,4,IF($B23=2016,5,IF($B23=2017,6,IF($B23=2018,7,IF($B23=2019,8,IF($B23=2020,9,0))))))),FALSE)</f>
        <v>0.28165087522833765</v>
      </c>
      <c r="H23" s="546">
        <f>VLOOKUP($A23,EFSOXS!$A$1:$J$44,(IF($B23=2015,4,IF($B23=2016,5,IF($B23=2017,6,IF($B23=2018,7,IF($B23=2019,8,IF($B23=2020,9,0))))))),FALSE)</f>
        <v>1.8739212869985323E-3</v>
      </c>
      <c r="I23" s="546">
        <f>VLOOKUP($A23,EFPMS!$A$1:$J$44,(IF($B23=2015,4,IF($B23=2016,5,IF($B23=2017,6,IF($B23=2018,7,IF($B23=2019,8,IF($B23=2020,9,0))))))),FALSE)</f>
        <v>1.0130208053330153E-2</v>
      </c>
      <c r="J23" s="536">
        <f t="shared" ref="J23:J24" si="7">0.89*I23</f>
        <v>9.0158851674638357E-3</v>
      </c>
      <c r="K23" s="549">
        <f>VLOOKUP($A23,EFCO2S!$A$1:$J$44,(IF($B23=2015,4,IF($B23=2016,5,IF($B23=2017,6,IF($B23=2018,7,IF($B23=2019,8,IF($B23=2020,9,0))))))),FALSE)</f>
        <v>166.54540745667055</v>
      </c>
      <c r="L23" s="546">
        <f>VLOOKUP($A23,EFCH4S!$A$1:$J$44,(IF($B23=2015,4,IF($B23=2016,5,IF($B23=2017,6,IF($B23=2018,7,IF($B23=2019,8,IF($B23=2020,9,0))))))),FALSE)</f>
        <v>8.3664496800051249E-3</v>
      </c>
      <c r="M23" s="541">
        <f t="shared" ref="M23:M25" si="8">0.095*G23</f>
        <v>2.6756833146692076E-2</v>
      </c>
      <c r="N23" s="108">
        <v>1</v>
      </c>
      <c r="O23" s="108">
        <v>2</v>
      </c>
      <c r="P23" s="109">
        <f>3*22</f>
        <v>66</v>
      </c>
      <c r="Q23" s="39">
        <f t="shared" ref="Q23:Y26" si="9">(E23*$N23*$O23)</f>
        <v>0.12028697450733984</v>
      </c>
      <c r="R23" s="29">
        <f t="shared" si="9"/>
        <v>0.78454709389473853</v>
      </c>
      <c r="S23" s="29">
        <f t="shared" si="9"/>
        <v>0.5633017504566753</v>
      </c>
      <c r="T23" s="29">
        <f t="shared" si="9"/>
        <v>3.7478425739970646E-3</v>
      </c>
      <c r="U23" s="29">
        <f t="shared" si="9"/>
        <v>2.0260416106660305E-2</v>
      </c>
      <c r="V23" s="29">
        <f t="shared" si="9"/>
        <v>1.8031770334927671E-2</v>
      </c>
      <c r="W23" s="29">
        <f t="shared" si="9"/>
        <v>333.09081491334109</v>
      </c>
      <c r="X23" s="29">
        <f t="shared" si="9"/>
        <v>1.673289936001025E-2</v>
      </c>
      <c r="Y23" s="29">
        <f t="shared" si="9"/>
        <v>5.3513666293384152E-2</v>
      </c>
    </row>
    <row r="24" spans="1:25" s="3" customFormat="1" x14ac:dyDescent="0.25">
      <c r="A24" s="27" t="s">
        <v>155</v>
      </c>
      <c r="B24" s="34">
        <v>2020</v>
      </c>
      <c r="C24" s="134">
        <v>82</v>
      </c>
      <c r="D24" s="538">
        <v>0.5</v>
      </c>
      <c r="E24" s="546">
        <f>VLOOKUP($A24,EFROGS!$A$1:$J$44,(IF($B24=2015,4,IF($B24=2016,5,IF($B24=2017,6,IF($B24=2018,7,IF($B24=2019,8,IF($B24=2020,9,0))))))),FALSE)</f>
        <v>2.0322862690302396E-2</v>
      </c>
      <c r="F24" s="546">
        <f>VLOOKUP($A24,EFCOS!$A$1:$J$44,(IF($B24=2015,4,IF($B24=2016,5,IF($B24=2017,6,IF($B24=2018,7,IF($B24=2019,8,IF($B24=2020,9,0))))))),FALSE)</f>
        <v>0.40032860958692951</v>
      </c>
      <c r="G24" s="546">
        <f>VLOOKUP($A24,EFNOXS!$A$1:$J$44,(IF($B24=2015,4,IF($B24=2016,5,IF($B24=2017,6,IF($B24=2018,7,IF($B24=2019,8,IF($B24=2020,9,0))))))),FALSE)</f>
        <v>0.13001567244095247</v>
      </c>
      <c r="H24" s="546">
        <f>VLOOKUP($A24,EFSOXS!$A$1:$J$44,(IF($B24=2015,4,IF($B24=2016,5,IF($B24=2017,6,IF($B24=2018,7,IF($B24=2019,8,IF($B24=2020,9,0))))))),FALSE)</f>
        <v>9.0467776054069422E-4</v>
      </c>
      <c r="I24" s="546">
        <f>VLOOKUP($A24,EFPMS!$A$1:$J$44,(IF($B24=2015,4,IF($B24=2016,5,IF($B24=2017,6,IF($B24=2018,7,IF($B24=2019,8,IF($B24=2020,9,0))))))),FALSE)</f>
        <v>2.6628236131493268E-3</v>
      </c>
      <c r="J24" s="536">
        <f t="shared" si="7"/>
        <v>2.3699130157029008E-3</v>
      </c>
      <c r="K24" s="549">
        <f>VLOOKUP($A24,EFCO2S!$A$1:$J$44,(IF($B24=2015,4,IF($B24=2016,5,IF($B24=2017,6,IF($B24=2018,7,IF($B24=2019,8,IF($B24=2020,9,0))))))),FALSE)</f>
        <v>77.121793273199756</v>
      </c>
      <c r="L24" s="546">
        <f>VLOOKUP($A24,EFCH4S!$A$1:$J$44,(IF($B24=2015,4,IF($B24=2016,5,IF($B24=2017,6,IF($B24=2018,7,IF($B24=2019,8,IF($B24=2020,9,0))))))),FALSE)</f>
        <v>2.5256197261084475E-3</v>
      </c>
      <c r="M24" s="541">
        <f t="shared" si="8"/>
        <v>1.2351488881890485E-2</v>
      </c>
      <c r="N24" s="108">
        <v>2</v>
      </c>
      <c r="O24" s="108">
        <v>6</v>
      </c>
      <c r="P24" s="109">
        <f>3*22</f>
        <v>66</v>
      </c>
      <c r="Q24" s="39">
        <f t="shared" si="9"/>
        <v>0.24387435228362875</v>
      </c>
      <c r="R24" s="29">
        <f t="shared" si="9"/>
        <v>4.8039433150431545</v>
      </c>
      <c r="S24" s="29">
        <f t="shared" si="9"/>
        <v>1.5601880692914296</v>
      </c>
      <c r="T24" s="29">
        <f t="shared" si="9"/>
        <v>1.0856133126488331E-2</v>
      </c>
      <c r="U24" s="29">
        <f t="shared" si="9"/>
        <v>3.1953883357791923E-2</v>
      </c>
      <c r="V24" s="29">
        <f t="shared" si="9"/>
        <v>2.8438956188434811E-2</v>
      </c>
      <c r="W24" s="29">
        <f t="shared" si="9"/>
        <v>925.46151927839708</v>
      </c>
      <c r="X24" s="29">
        <f t="shared" si="9"/>
        <v>3.0307436713301369E-2</v>
      </c>
      <c r="Y24" s="29">
        <f t="shared" si="9"/>
        <v>0.14821786658268582</v>
      </c>
    </row>
    <row r="25" spans="1:25" s="3" customFormat="1" x14ac:dyDescent="0.25">
      <c r="A25" s="37" t="s">
        <v>62</v>
      </c>
      <c r="B25" s="34">
        <v>2020</v>
      </c>
      <c r="C25" s="25">
        <v>85</v>
      </c>
      <c r="D25" s="538">
        <v>0.36</v>
      </c>
      <c r="E25" s="546">
        <f>VLOOKUP($A25,EFROGS!$A$1:$J$44,(IF($B25=2015,4,IF($B25=2016,5,IF($B25=2017,6,IF($B25=2018,7,IF($B25=2019,8,IF($B25=2020,9,0))))))),FALSE)</f>
        <v>3.284960736195533E-2</v>
      </c>
      <c r="F25" s="546">
        <f>VLOOKUP($A25,EFCOS!$A$1:$J$44,(IF($B25=2015,4,IF($B25=2016,5,IF($B25=2017,6,IF($B25=2018,7,IF($B25=2019,8,IF($B25=2020,9,0))))))),FALSE)</f>
        <v>0.32363598273876659</v>
      </c>
      <c r="G25" s="546">
        <f>VLOOKUP($A25,EFNOXS!$A$1:$J$44,(IF($B25=2015,4,IF($B25=2016,5,IF($B25=2017,6,IF($B25=2018,7,IF($B25=2019,8,IF($B25=2020,9,0))))))),FALSE)</f>
        <v>0.18656817524346153</v>
      </c>
      <c r="H25" s="546">
        <f>VLOOKUP($A25,EFSOXS!$A$1:$J$44,(IF($B25=2015,4,IF($B25=2016,5,IF($B25=2017,6,IF($B25=2018,7,IF($B25=2019,8,IF($B25=2020,9,0))))))),FALSE)</f>
        <v>6.9108557140033007E-4</v>
      </c>
      <c r="I25" s="546">
        <f>VLOOKUP($A25,EFPMS!$A$1:$J$44,(IF($B25=2015,4,IF($B25=2016,5,IF($B25=2017,6,IF($B25=2018,7,IF($B25=2019,8,IF($B25=2020,9,0))))))),FALSE)</f>
        <v>1.2351981307621154E-2</v>
      </c>
      <c r="J25" s="536">
        <f t="shared" ref="J25:J26" si="10">0.89*I25</f>
        <v>1.0993263363782826E-2</v>
      </c>
      <c r="K25" s="549">
        <f>VLOOKUP($A25,EFCO2S!$A$1:$J$44,(IF($B25=2015,4,IF($B25=2016,5,IF($B25=2017,6,IF($B25=2018,7,IF($B25=2019,8,IF($B25=2020,9,0))))))),FALSE)</f>
        <v>58.91350482958574</v>
      </c>
      <c r="L25" s="546">
        <f>VLOOKUP($A25,EFCH4S!$A$1:$J$44,(IF($B25=2015,4,IF($B25=2016,5,IF($B25=2017,6,IF($B25=2018,7,IF($B25=2019,8,IF($B25=2020,9,0))))))),FALSE)</f>
        <v>5.075776224453629E-3</v>
      </c>
      <c r="M25" s="541">
        <f t="shared" si="8"/>
        <v>1.7723976648128845E-2</v>
      </c>
      <c r="N25" s="108">
        <v>2</v>
      </c>
      <c r="O25" s="108">
        <v>4</v>
      </c>
      <c r="P25" s="109">
        <f>3*22</f>
        <v>66</v>
      </c>
      <c r="Q25" s="39">
        <f t="shared" si="9"/>
        <v>0.26279685889564264</v>
      </c>
      <c r="R25" s="29">
        <f t="shared" si="9"/>
        <v>2.5890878619101327</v>
      </c>
      <c r="S25" s="29">
        <f t="shared" si="9"/>
        <v>1.4925454019476923</v>
      </c>
      <c r="T25" s="29">
        <f t="shared" si="9"/>
        <v>5.5286845712026406E-3</v>
      </c>
      <c r="U25" s="29">
        <f t="shared" si="9"/>
        <v>9.8815850460969232E-2</v>
      </c>
      <c r="V25" s="29">
        <f t="shared" si="9"/>
        <v>8.7946106910262611E-2</v>
      </c>
      <c r="W25" s="29">
        <f t="shared" si="9"/>
        <v>471.30803863668592</v>
      </c>
      <c r="X25" s="29">
        <f t="shared" si="9"/>
        <v>4.0606209795629032E-2</v>
      </c>
      <c r="Y25" s="29">
        <f t="shared" si="9"/>
        <v>0.14179181318503076</v>
      </c>
    </row>
    <row r="26" spans="1:25" s="3" customFormat="1" x14ac:dyDescent="0.25">
      <c r="A26" s="37" t="s">
        <v>61</v>
      </c>
      <c r="B26" s="34">
        <v>2020</v>
      </c>
      <c r="C26" s="25">
        <v>235</v>
      </c>
      <c r="D26" s="538">
        <v>0.38</v>
      </c>
      <c r="E26" s="546">
        <f>VLOOKUP($A26,EFROGS!$A$1:$J$44,(IF($B26=2015,4,IF($B26=2016,5,IF($B26=2017,6,IF($B26=2018,7,IF($B26=2019,8,IF($B26=2020,9,0))))))),FALSE)</f>
        <v>6.0143487253669921E-2</v>
      </c>
      <c r="F26" s="546">
        <f>VLOOKUP($A26,EFCOS!$A$1:$J$44,(IF($B26=2015,4,IF($B26=2016,5,IF($B26=2017,6,IF($B26=2018,7,IF($B26=2019,8,IF($B26=2020,9,0))))))),FALSE)</f>
        <v>0.39227354694736927</v>
      </c>
      <c r="G26" s="546">
        <f>VLOOKUP($A26,EFNOXS!$A$1:$J$44,(IF($B26=2015,4,IF($B26=2016,5,IF($B26=2017,6,IF($B26=2018,7,IF($B26=2019,8,IF($B26=2020,9,0))))))),FALSE)</f>
        <v>0.28165087522833765</v>
      </c>
      <c r="H26" s="546">
        <f>VLOOKUP($A26,EFSOXS!$A$1:$J$44,(IF($B26=2015,4,IF($B26=2016,5,IF($B26=2017,6,IF($B26=2018,7,IF($B26=2019,8,IF($B26=2020,9,0))))))),FALSE)</f>
        <v>1.8739212869985323E-3</v>
      </c>
      <c r="I26" s="546">
        <f>VLOOKUP($A26,EFPMS!$A$1:$J$44,(IF($B26=2015,4,IF($B26=2016,5,IF($B26=2017,6,IF($B26=2018,7,IF($B26=2019,8,IF($B26=2020,9,0))))))),FALSE)</f>
        <v>1.0130208053330153E-2</v>
      </c>
      <c r="J26" s="536">
        <f t="shared" si="10"/>
        <v>9.0158851674638357E-3</v>
      </c>
      <c r="K26" s="549">
        <f>VLOOKUP($A26,EFCO2S!$A$1:$J$44,(IF($B26=2015,4,IF($B26=2016,5,IF($B26=2017,6,IF($B26=2018,7,IF($B26=2019,8,IF($B26=2020,9,0))))))),FALSE)</f>
        <v>166.54540745667055</v>
      </c>
      <c r="L26" s="546">
        <f>VLOOKUP($A26,EFCH4S!$A$1:$J$44,(IF($B26=2015,4,IF($B26=2016,5,IF($B26=2017,6,IF($B26=2018,7,IF($B26=2019,8,IF($B26=2020,9,0))))))),FALSE)</f>
        <v>8.3664496800051249E-3</v>
      </c>
      <c r="M26" s="541">
        <f t="shared" ref="M26" si="11">0.095*G26</f>
        <v>2.6756833146692076E-2</v>
      </c>
      <c r="N26" s="108">
        <v>2</v>
      </c>
      <c r="O26" s="108">
        <v>4</v>
      </c>
      <c r="P26" s="109">
        <f>3*22</f>
        <v>66</v>
      </c>
      <c r="Q26" s="39">
        <f t="shared" si="9"/>
        <v>0.48114789802935937</v>
      </c>
      <c r="R26" s="29">
        <f t="shared" si="9"/>
        <v>3.1381883755789541</v>
      </c>
      <c r="S26" s="29">
        <f t="shared" si="9"/>
        <v>2.2532070018267012</v>
      </c>
      <c r="T26" s="29">
        <f t="shared" si="9"/>
        <v>1.4991370295988259E-2</v>
      </c>
      <c r="U26" s="29">
        <f t="shared" si="9"/>
        <v>8.1041664426641222E-2</v>
      </c>
      <c r="V26" s="29">
        <f t="shared" si="9"/>
        <v>7.2127081339710686E-2</v>
      </c>
      <c r="W26" s="29">
        <f t="shared" si="9"/>
        <v>1332.3632596533644</v>
      </c>
      <c r="X26" s="29">
        <f t="shared" si="9"/>
        <v>6.6931597440040999E-2</v>
      </c>
      <c r="Y26" s="29">
        <f t="shared" si="9"/>
        <v>0.21405466517353661</v>
      </c>
    </row>
    <row r="27" spans="1:25" s="3" customFormat="1" x14ac:dyDescent="0.25">
      <c r="A27" s="19" t="s">
        <v>38</v>
      </c>
      <c r="B27" s="34"/>
      <c r="C27" s="25"/>
      <c r="D27" s="538"/>
      <c r="E27" s="26"/>
      <c r="F27" s="26"/>
      <c r="G27" s="26"/>
      <c r="H27" s="26"/>
      <c r="I27" s="26"/>
      <c r="J27" s="537"/>
      <c r="K27" s="28"/>
      <c r="L27" s="26"/>
      <c r="M27" s="542"/>
      <c r="N27" s="135"/>
      <c r="O27" s="135"/>
      <c r="P27" s="136"/>
      <c r="Q27" s="138">
        <f>SUM(Q23:Q26)</f>
        <v>1.1081060837159706</v>
      </c>
      <c r="R27" s="138">
        <f t="shared" ref="R27:Y27" si="12">SUM(R23:R26)</f>
        <v>11.315766646426981</v>
      </c>
      <c r="S27" s="138">
        <f t="shared" si="12"/>
        <v>5.8692422235224981</v>
      </c>
      <c r="T27" s="138">
        <f t="shared" si="12"/>
        <v>3.5124030567676295E-2</v>
      </c>
      <c r="U27" s="138">
        <f t="shared" si="12"/>
        <v>0.2320718143520627</v>
      </c>
      <c r="V27" s="138">
        <f t="shared" si="12"/>
        <v>0.20654391477333578</v>
      </c>
      <c r="W27" s="138">
        <f t="shared" si="12"/>
        <v>3062.2236324817886</v>
      </c>
      <c r="X27" s="138">
        <f t="shared" si="12"/>
        <v>0.15457814330898167</v>
      </c>
      <c r="Y27" s="138">
        <f t="shared" si="12"/>
        <v>0.55757801123463735</v>
      </c>
    </row>
    <row r="28" spans="1:25" s="3" customFormat="1" x14ac:dyDescent="0.25">
      <c r="A28" s="27"/>
      <c r="B28" s="34"/>
      <c r="C28" s="25"/>
      <c r="D28" s="538"/>
      <c r="E28" s="26"/>
      <c r="F28" s="26"/>
      <c r="G28" s="26"/>
      <c r="H28" s="26"/>
      <c r="I28" s="26"/>
      <c r="J28" s="537"/>
      <c r="K28" s="28"/>
      <c r="L28" s="26"/>
      <c r="M28" s="542"/>
      <c r="N28" s="135"/>
      <c r="O28" s="135"/>
      <c r="P28" s="136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19" t="s">
        <v>239</v>
      </c>
      <c r="B29" s="34">
        <v>2020</v>
      </c>
      <c r="C29" s="25"/>
      <c r="D29" s="533"/>
      <c r="E29" s="26"/>
      <c r="F29" s="26"/>
      <c r="G29" s="26"/>
      <c r="H29" s="26"/>
      <c r="I29" s="26"/>
      <c r="J29" s="537"/>
      <c r="K29" s="28"/>
      <c r="L29" s="26"/>
      <c r="M29" s="542"/>
      <c r="N29" s="135"/>
      <c r="O29" s="135"/>
      <c r="P29" s="136"/>
      <c r="Q29" s="39"/>
      <c r="R29" s="29"/>
      <c r="S29" s="29"/>
      <c r="T29" s="29"/>
      <c r="U29" s="29"/>
      <c r="V29" s="29"/>
      <c r="W29" s="29"/>
      <c r="X29" s="29"/>
      <c r="Y29" s="29"/>
    </row>
    <row r="30" spans="1:25" s="3" customFormat="1" x14ac:dyDescent="0.25">
      <c r="A30" s="27" t="s">
        <v>205</v>
      </c>
      <c r="B30" s="34">
        <v>2020</v>
      </c>
      <c r="C30" s="25">
        <v>235</v>
      </c>
      <c r="D30" s="533">
        <v>0.38</v>
      </c>
      <c r="E30" s="546">
        <f>VLOOKUP($A30,EFROGS!$A$1:$J$44,(IF($B30=2015,4,IF($B30=2016,5,IF($B30=2017,6,IF($B30=2018,7,IF($B30=2019,8,IF($B30=2020,9,0))))))),FALSE)</f>
        <v>6.0143487253669921E-2</v>
      </c>
      <c r="F30" s="546">
        <f>VLOOKUP($A30,EFCOS!$A$1:$J$44,(IF($B30=2015,4,IF($B30=2016,5,IF($B30=2017,6,IF($B30=2018,7,IF($B30=2019,8,IF($B30=2020,9,0))))))),FALSE)</f>
        <v>0.39227354694736927</v>
      </c>
      <c r="G30" s="546">
        <f>VLOOKUP($A30,EFNOXS!$A$1:$J$44,(IF($B30=2015,4,IF($B30=2016,5,IF($B30=2017,6,IF($B30=2018,7,IF($B30=2019,8,IF($B30=2020,9,0))))))),FALSE)</f>
        <v>0.28165087522833765</v>
      </c>
      <c r="H30" s="546">
        <f>VLOOKUP($A30,EFSOXS!$A$1:$J$44,(IF($B30=2015,4,IF($B30=2016,5,IF($B30=2017,6,IF($B30=2018,7,IF($B30=2019,8,IF($B30=2020,9,0))))))),FALSE)</f>
        <v>1.8739212869985323E-3</v>
      </c>
      <c r="I30" s="546">
        <f>VLOOKUP($A30,EFPMS!$A$1:$J$44,(IF($B30=2015,4,IF($B30=2016,5,IF($B30=2017,6,IF($B30=2018,7,IF($B30=2019,8,IF($B30=2020,9,0))))))),FALSE)</f>
        <v>1.0130208053330153E-2</v>
      </c>
      <c r="J30" s="536">
        <f t="shared" ref="J30:J31" si="13">0.89*I30</f>
        <v>9.0158851674638357E-3</v>
      </c>
      <c r="K30" s="549">
        <f>VLOOKUP($A30,EFCO2S!$A$1:$J$44,(IF($B30=2015,4,IF($B30=2016,5,IF($B30=2017,6,IF($B30=2018,7,IF($B30=2019,8,IF($B30=2020,9,0))))))),FALSE)</f>
        <v>166.54540745667055</v>
      </c>
      <c r="L30" s="546">
        <f>VLOOKUP($A30,EFCH4S!$A$1:$J$44,(IF($B30=2015,4,IF($B30=2016,5,IF($B30=2017,6,IF($B30=2018,7,IF($B30=2019,8,IF($B30=2020,9,0))))))),FALSE)</f>
        <v>8.3664496800051249E-3</v>
      </c>
      <c r="M30" s="541">
        <f t="shared" ref="M30:M31" si="14">0.095*G30</f>
        <v>2.6756833146692076E-2</v>
      </c>
      <c r="N30" s="135">
        <v>1</v>
      </c>
      <c r="O30" s="135">
        <v>2</v>
      </c>
      <c r="P30" s="109">
        <f t="shared" ref="P30:P33" si="15">5*22</f>
        <v>110</v>
      </c>
      <c r="Q30" s="39">
        <f t="shared" ref="Q30:Y32" si="16">(E30*$N30*$O30)</f>
        <v>0.12028697450733984</v>
      </c>
      <c r="R30" s="29">
        <f t="shared" si="16"/>
        <v>0.78454709389473853</v>
      </c>
      <c r="S30" s="29">
        <f t="shared" si="16"/>
        <v>0.5633017504566753</v>
      </c>
      <c r="T30" s="29">
        <f t="shared" si="16"/>
        <v>3.7478425739970646E-3</v>
      </c>
      <c r="U30" s="29">
        <f t="shared" si="16"/>
        <v>2.0260416106660305E-2</v>
      </c>
      <c r="V30" s="29">
        <f t="shared" si="16"/>
        <v>1.8031770334927671E-2</v>
      </c>
      <c r="W30" s="29">
        <f t="shared" si="16"/>
        <v>333.09081491334109</v>
      </c>
      <c r="X30" s="29">
        <f t="shared" si="16"/>
        <v>1.673289936001025E-2</v>
      </c>
      <c r="Y30" s="29">
        <f t="shared" si="16"/>
        <v>5.3513666293384152E-2</v>
      </c>
    </row>
    <row r="31" spans="1:25" s="3" customFormat="1" x14ac:dyDescent="0.25">
      <c r="A31" s="27" t="s">
        <v>202</v>
      </c>
      <c r="B31" s="34">
        <v>2020</v>
      </c>
      <c r="C31" s="25">
        <v>399</v>
      </c>
      <c r="D31" s="533">
        <v>0.28999999999999998</v>
      </c>
      <c r="E31" s="546">
        <f>VLOOKUP($A31,EFROGS!$A$1:$J$44,(IF($B31=2015,4,IF($B31=2016,5,IF($B31=2017,6,IF($B31=2018,7,IF($B31=2019,8,IF($B31=2020,9,0))))))),FALSE)</f>
        <v>7.2230270108486982E-2</v>
      </c>
      <c r="F31" s="546">
        <f>VLOOKUP($A31,EFCOS!$A$1:$J$44,(IF($B31=2015,4,IF($B31=2016,5,IF($B31=2017,6,IF($B31=2018,7,IF($B31=2019,8,IF($B31=2020,9,0))))))),FALSE)</f>
        <v>0.47254102223366623</v>
      </c>
      <c r="G31" s="546">
        <f>VLOOKUP($A31,EFNOXS!$A$1:$J$44,(IF($B31=2015,4,IF($B31=2016,5,IF($B31=2017,6,IF($B31=2018,7,IF($B31=2019,8,IF($B31=2020,9,0))))))),FALSE)</f>
        <v>0.39060344164754407</v>
      </c>
      <c r="H31" s="546">
        <f>VLOOKUP($A31,EFSOXS!$A$1:$J$44,(IF($B31=2015,4,IF($B31=2016,5,IF($B31=2017,6,IF($B31=2018,7,IF($B31=2019,8,IF($B31=2020,9,0))))))),FALSE)</f>
        <v>1.7677530586477012E-3</v>
      </c>
      <c r="I31" s="546">
        <f>VLOOKUP($A31,EFPMS!$A$1:$J$44,(IF($B31=2015,4,IF($B31=2016,5,IF($B31=2017,6,IF($B31=2018,7,IF($B31=2019,8,IF($B31=2020,9,0))))))),FALSE)</f>
        <v>1.4766132645050114E-2</v>
      </c>
      <c r="J31" s="536">
        <f t="shared" si="13"/>
        <v>1.3141858054094601E-2</v>
      </c>
      <c r="K31" s="549">
        <f>VLOOKUP($A31,EFCO2S!$A$1:$J$44,(IF($B31=2015,4,IF($B31=2016,5,IF($B31=2017,6,IF($B31=2018,7,IF($B31=2019,8,IF($B31=2020,9,0))))))),FALSE)</f>
        <v>180.10126628693308</v>
      </c>
      <c r="L31" s="546">
        <f>VLOOKUP($A31,EFCH4S!$A$1:$J$44,(IF($B31=2015,4,IF($B31=2016,5,IF($B31=2017,6,IF($B31=2018,7,IF($B31=2019,8,IF($B31=2020,9,0))))))),FALSE)</f>
        <v>9.812119107308389E-3</v>
      </c>
      <c r="M31" s="541">
        <f t="shared" si="14"/>
        <v>3.7107326956516688E-2</v>
      </c>
      <c r="N31" s="108">
        <v>2</v>
      </c>
      <c r="O31" s="108">
        <v>3</v>
      </c>
      <c r="P31" s="109">
        <f t="shared" si="15"/>
        <v>110</v>
      </c>
      <c r="Q31" s="39">
        <f t="shared" si="16"/>
        <v>0.43338162065092189</v>
      </c>
      <c r="R31" s="29">
        <f t="shared" si="16"/>
        <v>2.8352461334019976</v>
      </c>
      <c r="S31" s="29">
        <f t="shared" si="16"/>
        <v>2.3436206498852643</v>
      </c>
      <c r="T31" s="29">
        <f t="shared" si="16"/>
        <v>1.0606518351886206E-2</v>
      </c>
      <c r="U31" s="29">
        <f t="shared" si="16"/>
        <v>8.8596795870300685E-2</v>
      </c>
      <c r="V31" s="29">
        <f t="shared" si="16"/>
        <v>7.8851148324567605E-2</v>
      </c>
      <c r="W31" s="29">
        <f t="shared" si="16"/>
        <v>1080.6075977215985</v>
      </c>
      <c r="X31" s="29">
        <f t="shared" si="16"/>
        <v>5.8872714643850334E-2</v>
      </c>
      <c r="Y31" s="29">
        <f t="shared" si="16"/>
        <v>0.22264396173910012</v>
      </c>
    </row>
    <row r="32" spans="1:25" s="3" customFormat="1" x14ac:dyDescent="0.25">
      <c r="A32" s="27" t="s">
        <v>163</v>
      </c>
      <c r="B32" s="34">
        <v>2020</v>
      </c>
      <c r="C32" s="25">
        <v>75</v>
      </c>
      <c r="D32" s="533">
        <v>0.31</v>
      </c>
      <c r="E32" s="546">
        <f>VLOOKUP($A32,EFROGS!$A$1:$J$44,(IF($B32=2015,4,IF($B32=2016,5,IF($B32=2017,6,IF($B32=2018,7,IF($B32=2019,8,IF($B32=2020,9,0))))))),FALSE)</f>
        <v>1.6539933625842183E-2</v>
      </c>
      <c r="F32" s="546">
        <f>VLOOKUP($A32,EFCOS!$A$1:$J$44,(IF($B32=2015,4,IF($B32=2016,5,IF($B32=2017,6,IF($B32=2018,7,IF($B32=2019,8,IF($B32=2020,9,0))))))),FALSE)</f>
        <v>0.20944561071938492</v>
      </c>
      <c r="G32" s="546">
        <f>VLOOKUP($A32,EFNOXS!$A$1:$J$44,(IF($B32=2015,4,IF($B32=2016,5,IF($B32=2017,6,IF($B32=2018,7,IF($B32=2019,8,IF($B32=2020,9,0))))))),FALSE)</f>
        <v>0.11600955386994313</v>
      </c>
      <c r="H32" s="546">
        <f>VLOOKUP($A32,EFSOXS!$A$1:$J$44,(IF($B32=2015,4,IF($B32=2016,5,IF($B32=2017,6,IF($B32=2018,7,IF($B32=2019,8,IF($B32=2020,9,0))))))),FALSE)</f>
        <v>4.4660198806364737E-4</v>
      </c>
      <c r="I32" s="546">
        <f>VLOOKUP($A32,EFPMS!$A$1:$J$44,(IF($B32=2015,4,IF($B32=2016,5,IF($B32=2017,6,IF($B32=2018,7,IF($B32=2019,8,IF($B32=2020,9,0))))))),FALSE)</f>
        <v>6.7486596146919021E-3</v>
      </c>
      <c r="J32" s="536">
        <f t="shared" ref="J32:J33" si="17">0.89*I32</f>
        <v>6.0063070570757927E-3</v>
      </c>
      <c r="K32" s="549">
        <f>VLOOKUP($A32,EFCO2S!$A$1:$J$44,(IF($B32=2015,4,IF($B32=2016,5,IF($B32=2017,6,IF($B32=2018,7,IF($B32=2019,8,IF($B32=2020,9,0))))))),FALSE)</f>
        <v>38.071813147043628</v>
      </c>
      <c r="L32" s="546">
        <f>VLOOKUP($A32,EFCH4S!$A$1:$J$44,(IF($B32=2015,4,IF($B32=2016,5,IF($B32=2017,6,IF($B32=2018,7,IF($B32=2019,8,IF($B32=2020,9,0))))))),FALSE)</f>
        <v>2.3372706875200077E-3</v>
      </c>
      <c r="M32" s="541">
        <f t="shared" ref="M32:M33" si="18">0.095*G32</f>
        <v>1.1020907617644599E-2</v>
      </c>
      <c r="N32" s="108">
        <v>4</v>
      </c>
      <c r="O32" s="108">
        <v>6</v>
      </c>
      <c r="P32" s="109">
        <f t="shared" si="15"/>
        <v>110</v>
      </c>
      <c r="Q32" s="39">
        <f t="shared" si="16"/>
        <v>0.3969584070202124</v>
      </c>
      <c r="R32" s="29">
        <f t="shared" si="16"/>
        <v>5.0266946572652378</v>
      </c>
      <c r="S32" s="29">
        <f t="shared" si="16"/>
        <v>2.784229292878635</v>
      </c>
      <c r="T32" s="29">
        <f t="shared" si="16"/>
        <v>1.0718447713527536E-2</v>
      </c>
      <c r="U32" s="29">
        <f t="shared" si="16"/>
        <v>0.16196783075260565</v>
      </c>
      <c r="V32" s="29">
        <f t="shared" si="16"/>
        <v>0.14415136936981904</v>
      </c>
      <c r="W32" s="29">
        <f t="shared" si="16"/>
        <v>913.72351552904706</v>
      </c>
      <c r="X32" s="29">
        <f t="shared" si="16"/>
        <v>5.6094496500480186E-2</v>
      </c>
      <c r="Y32" s="29">
        <f t="shared" si="16"/>
        <v>0.26450178282347037</v>
      </c>
    </row>
    <row r="33" spans="1:25" s="3" customFormat="1" x14ac:dyDescent="0.25">
      <c r="A33" s="27" t="s">
        <v>192</v>
      </c>
      <c r="B33" s="34">
        <v>2020</v>
      </c>
      <c r="C33" s="25">
        <v>45</v>
      </c>
      <c r="D33" s="533">
        <v>1</v>
      </c>
      <c r="E33" s="546">
        <f>VLOOKUP($A33,EFROGS!$A$1:$J$44,(IF($B33=2015,4,IF($B33=2016,5,IF($B33=2017,6,IF($B33=2018,7,IF($B33=2019,8,IF($B33=2020,9,0))))))),FALSE)</f>
        <v>1.9923073354728198E-2</v>
      </c>
      <c r="F33" s="546">
        <f>VLOOKUP($A33,EFCOS!$A$1:$J$44,(IF($B33=2015,4,IF($B33=2016,5,IF($B33=2017,6,IF($B33=2018,7,IF($B33=2019,8,IF($B33=2020,9,0))))))),FALSE)</f>
        <v>0.30488468077411202</v>
      </c>
      <c r="G33" s="546">
        <f>VLOOKUP($A33,EFNOXS!$A$1:$J$44,(IF($B33=2015,4,IF($B33=2016,5,IF($B33=2017,6,IF($B33=2018,7,IF($B33=2019,8,IF($B33=2020,9,0))))))),FALSE)</f>
        <v>0.25985727814502335</v>
      </c>
      <c r="H33" s="546">
        <f>VLOOKUP($A33,EFSOXS!$A$1:$J$44,(IF($B33=2015,4,IF($B33=2016,5,IF($B33=2017,6,IF($B33=2018,7,IF($B33=2019,8,IF($B33=2020,9,0))))))),FALSE)</f>
        <v>2.87911782171829E-4</v>
      </c>
      <c r="I33" s="546">
        <f>VLOOKUP($A33,EFPMS!$A$1:$J$44,(IF($B33=2015,4,IF($B33=2016,5,IF($B33=2017,6,IF($B33=2018,7,IF($B33=2019,8,IF($B33=2020,9,0))))))),FALSE)</f>
        <v>5.9610457509514797E-3</v>
      </c>
      <c r="J33" s="536">
        <f t="shared" si="17"/>
        <v>5.3053307183468174E-3</v>
      </c>
      <c r="K33" s="549">
        <f>VLOOKUP($A33,EFCO2S!$A$1:$J$44,(IF($B33=2015,4,IF($B33=2016,5,IF($B33=2017,6,IF($B33=2018,7,IF($B33=2019,8,IF($B33=2020,9,0))))))),FALSE)</f>
        <v>22.271257718128961</v>
      </c>
      <c r="L33" s="546">
        <f>VLOOKUP($A33,EFCH4S!$A$1:$J$44,(IF($B33=2015,4,IF($B33=2016,5,IF($B33=2017,6,IF($B33=2018,7,IF($B33=2019,8,IF($B33=2020,9,0))))))),FALSE)</f>
        <v>3.5952550833409889E-3</v>
      </c>
      <c r="M33" s="541">
        <f t="shared" si="18"/>
        <v>2.4686441423777218E-2</v>
      </c>
      <c r="N33" s="135">
        <v>3</v>
      </c>
      <c r="O33" s="135">
        <v>8</v>
      </c>
      <c r="P33" s="109">
        <f t="shared" si="15"/>
        <v>110</v>
      </c>
      <c r="Q33" s="39">
        <f t="shared" ref="Q33" si="19">(E33*$N33*$O33)</f>
        <v>0.47815376051347674</v>
      </c>
      <c r="R33" s="29">
        <f t="shared" ref="R33" si="20">(F33*$N33*$O33)</f>
        <v>7.3172323385786884</v>
      </c>
      <c r="S33" s="29">
        <f t="shared" ref="S33" si="21">(G33*$N33*$O33)</f>
        <v>6.2365746754805604</v>
      </c>
      <c r="T33" s="29">
        <f t="shared" ref="T33" si="22">(H33*$N33*$O33)</f>
        <v>6.9098827721238961E-3</v>
      </c>
      <c r="U33" s="29">
        <f t="shared" ref="U33" si="23">(I33*$N33*$O33)</f>
        <v>0.14306509802283551</v>
      </c>
      <c r="V33" s="29">
        <f t="shared" ref="V33" si="24">(J33*$N33*$O33)</f>
        <v>0.12732793724032362</v>
      </c>
      <c r="W33" s="29">
        <f t="shared" ref="W33" si="25">(K33*$N33*$O33)</f>
        <v>534.51018523509504</v>
      </c>
      <c r="X33" s="29">
        <f t="shared" ref="X33" si="26">(L33*$N33*$O33)</f>
        <v>8.6286122000183735E-2</v>
      </c>
      <c r="Y33" s="29">
        <f t="shared" ref="Y33" si="27">(M33*$N33*$O33)</f>
        <v>0.59247459417065329</v>
      </c>
    </row>
    <row r="34" spans="1:25" s="3" customFormat="1" x14ac:dyDescent="0.25">
      <c r="A34" s="19" t="s">
        <v>38</v>
      </c>
      <c r="B34" s="34"/>
      <c r="C34" s="25"/>
      <c r="D34" s="533"/>
      <c r="E34" s="26"/>
      <c r="F34" s="26"/>
      <c r="G34" s="26"/>
      <c r="H34" s="26"/>
      <c r="I34" s="26"/>
      <c r="J34" s="537"/>
      <c r="K34" s="28"/>
      <c r="L34" s="26"/>
      <c r="M34" s="542"/>
      <c r="N34" s="135"/>
      <c r="O34" s="135"/>
      <c r="P34" s="136"/>
      <c r="Q34" s="138">
        <f>SUM(Q30:Q33)</f>
        <v>1.4287807626919509</v>
      </c>
      <c r="R34" s="138">
        <f t="shared" ref="R34:Y34" si="28">SUM(R30:R33)</f>
        <v>15.963720223140662</v>
      </c>
      <c r="S34" s="138">
        <f t="shared" si="28"/>
        <v>11.927726368701135</v>
      </c>
      <c r="T34" s="138">
        <f t="shared" si="28"/>
        <v>3.1982691411534703E-2</v>
      </c>
      <c r="U34" s="138">
        <f t="shared" si="28"/>
        <v>0.41389014075240216</v>
      </c>
      <c r="V34" s="138">
        <f t="shared" si="28"/>
        <v>0.36836222526963791</v>
      </c>
      <c r="W34" s="138">
        <f t="shared" si="28"/>
        <v>2861.9321133990816</v>
      </c>
      <c r="X34" s="138">
        <f t="shared" si="28"/>
        <v>0.21798623250452451</v>
      </c>
      <c r="Y34" s="138">
        <f t="shared" si="28"/>
        <v>1.1331340050266079</v>
      </c>
    </row>
    <row r="35" spans="1:25" s="3" customFormat="1" x14ac:dyDescent="0.25">
      <c r="A35" s="27"/>
      <c r="B35" s="34"/>
      <c r="C35" s="25"/>
      <c r="D35" s="533"/>
      <c r="E35" s="26"/>
      <c r="F35" s="26"/>
      <c r="G35" s="26"/>
      <c r="H35" s="26"/>
      <c r="I35" s="26"/>
      <c r="J35" s="537"/>
      <c r="K35" s="28"/>
      <c r="L35" s="26"/>
      <c r="M35" s="542"/>
      <c r="N35" s="135"/>
      <c r="O35" s="135"/>
      <c r="P35" s="136"/>
      <c r="Q35" s="39"/>
      <c r="R35" s="29"/>
      <c r="S35" s="29"/>
      <c r="T35" s="29"/>
      <c r="U35" s="29"/>
      <c r="V35" s="29"/>
      <c r="W35" s="29"/>
      <c r="X35" s="29"/>
      <c r="Y35" s="29"/>
    </row>
    <row r="36" spans="1:25" s="3" customFormat="1" x14ac:dyDescent="0.25">
      <c r="A36" s="19" t="s">
        <v>240</v>
      </c>
      <c r="B36" s="34">
        <v>2020</v>
      </c>
      <c r="C36" s="25"/>
      <c r="D36" s="533"/>
      <c r="E36" s="26"/>
      <c r="F36" s="26"/>
      <c r="G36" s="26"/>
      <c r="H36" s="26"/>
      <c r="I36" s="26"/>
      <c r="J36" s="537"/>
      <c r="K36" s="28"/>
      <c r="L36" s="26"/>
      <c r="M36" s="542"/>
      <c r="N36" s="135"/>
      <c r="O36" s="135"/>
      <c r="P36" s="136"/>
      <c r="Q36" s="39"/>
      <c r="R36" s="29"/>
      <c r="S36" s="29"/>
      <c r="T36" s="29"/>
      <c r="U36" s="29"/>
      <c r="V36" s="29"/>
      <c r="W36" s="29"/>
      <c r="X36" s="29"/>
      <c r="Y36" s="29"/>
    </row>
    <row r="37" spans="1:25" s="3" customFormat="1" x14ac:dyDescent="0.25">
      <c r="A37" s="27" t="s">
        <v>163</v>
      </c>
      <c r="B37" s="34">
        <v>2020</v>
      </c>
      <c r="C37" s="25">
        <v>75</v>
      </c>
      <c r="D37" s="533">
        <v>0.31</v>
      </c>
      <c r="E37" s="546">
        <f>VLOOKUP($A37,EFROGS!$A$1:$J$44,(IF($B37=2015,4,IF($B37=2016,5,IF($B37=2017,6,IF($B37=2018,7,IF($B37=2019,8,IF($B37=2020,9,0))))))),FALSE)</f>
        <v>1.6539933625842183E-2</v>
      </c>
      <c r="F37" s="546">
        <f>VLOOKUP($A37,EFCOS!$A$1:$J$44,(IF($B37=2015,4,IF($B37=2016,5,IF($B37=2017,6,IF($B37=2018,7,IF($B37=2019,8,IF($B37=2020,9,0))))))),FALSE)</f>
        <v>0.20944561071938492</v>
      </c>
      <c r="G37" s="546">
        <f>VLOOKUP($A37,EFNOXS!$A$1:$J$44,(IF($B37=2015,4,IF($B37=2016,5,IF($B37=2017,6,IF($B37=2018,7,IF($B37=2019,8,IF($B37=2020,9,0))))))),FALSE)</f>
        <v>0.11600955386994313</v>
      </c>
      <c r="H37" s="546">
        <f>VLOOKUP($A37,EFSOXS!$A$1:$J$44,(IF($B37=2015,4,IF($B37=2016,5,IF($B37=2017,6,IF($B37=2018,7,IF($B37=2019,8,IF($B37=2020,9,0))))))),FALSE)</f>
        <v>4.4660198806364737E-4</v>
      </c>
      <c r="I37" s="546">
        <f>VLOOKUP($A37,EFPMS!$A$1:$J$44,(IF($B37=2015,4,IF($B37=2016,5,IF($B37=2017,6,IF($B37=2018,7,IF($B37=2019,8,IF($B37=2020,9,0))))))),FALSE)</f>
        <v>6.7486596146919021E-3</v>
      </c>
      <c r="J37" s="536">
        <f t="shared" ref="J37" si="29">0.89*I37</f>
        <v>6.0063070570757927E-3</v>
      </c>
      <c r="K37" s="549">
        <f>VLOOKUP($A37,EFCO2S!$A$1:$J$44,(IF($B37=2015,4,IF($B37=2016,5,IF($B37=2017,6,IF($B37=2018,7,IF($B37=2019,8,IF($B37=2020,9,0))))))),FALSE)</f>
        <v>38.071813147043628</v>
      </c>
      <c r="L37" s="546">
        <f>VLOOKUP($A37,EFCH4S!$A$1:$J$44,(IF($B37=2015,4,IF($B37=2016,5,IF($B37=2017,6,IF($B37=2018,7,IF($B37=2019,8,IF($B37=2020,9,0))))))),FALSE)</f>
        <v>2.3372706875200077E-3</v>
      </c>
      <c r="M37" s="541">
        <f t="shared" ref="M37" si="30">0.095*G37</f>
        <v>1.1020907617644599E-2</v>
      </c>
      <c r="N37" s="108">
        <v>2</v>
      </c>
      <c r="O37" s="108">
        <v>6</v>
      </c>
      <c r="P37" s="109">
        <f>3*22</f>
        <v>66</v>
      </c>
      <c r="Q37" s="39">
        <f t="shared" ref="Q37:Y40" si="31">(E37*$N37*$O37)</f>
        <v>0.1984792035101062</v>
      </c>
      <c r="R37" s="29">
        <f t="shared" si="31"/>
        <v>2.5133473286326189</v>
      </c>
      <c r="S37" s="29">
        <f t="shared" si="31"/>
        <v>1.3921146464393175</v>
      </c>
      <c r="T37" s="29">
        <f t="shared" si="31"/>
        <v>5.3592238567637682E-3</v>
      </c>
      <c r="U37" s="29">
        <f t="shared" si="31"/>
        <v>8.0983915376302826E-2</v>
      </c>
      <c r="V37" s="29">
        <f t="shared" si="31"/>
        <v>7.2075684684909519E-2</v>
      </c>
      <c r="W37" s="29">
        <f t="shared" si="31"/>
        <v>456.86175776452353</v>
      </c>
      <c r="X37" s="29">
        <f t="shared" si="31"/>
        <v>2.8047248250240093E-2</v>
      </c>
      <c r="Y37" s="29">
        <f t="shared" si="31"/>
        <v>0.13225089141173518</v>
      </c>
    </row>
    <row r="38" spans="1:25" s="3" customFormat="1" x14ac:dyDescent="0.25">
      <c r="A38" s="27" t="s">
        <v>206</v>
      </c>
      <c r="B38" s="34">
        <v>2020</v>
      </c>
      <c r="C38" s="25">
        <v>300</v>
      </c>
      <c r="D38" s="533">
        <v>0.42</v>
      </c>
      <c r="E38" s="546">
        <f>VLOOKUP($A38,EFROGS!$A$1:$J$44,(IF($B38=2015,4,IF($B38=2016,5,IF($B38=2017,6,IF($B38=2018,7,IF($B38=2019,8,IF($B38=2020,9,0))))))),FALSE)</f>
        <v>7.0054010550034865E-2</v>
      </c>
      <c r="F38" s="546">
        <f>VLOOKUP($A38,EFCOS!$A$1:$J$44,(IF($B38=2015,4,IF($B38=2016,5,IF($B38=2017,6,IF($B38=2018,7,IF($B38=2019,8,IF($B38=2020,9,0))))))),FALSE)</f>
        <v>0.53937003610918288</v>
      </c>
      <c r="G38" s="546">
        <f>VLOOKUP($A38,EFNOXS!$A$1:$J$44,(IF($B38=2015,4,IF($B38=2016,5,IF($B38=2017,6,IF($B38=2018,7,IF($B38=2019,8,IF($B38=2020,9,0))))))),FALSE)</f>
        <v>0.3449280266843181</v>
      </c>
      <c r="H38" s="546">
        <f>VLOOKUP($A38,EFSOXS!$A$1:$J$44,(IF($B38=2015,4,IF($B38=2016,5,IF($B38=2017,6,IF($B38=2018,7,IF($B38=2019,8,IF($B38=2020,9,0))))))),FALSE)</f>
        <v>2.4954341522000403E-3</v>
      </c>
      <c r="I38" s="546">
        <f>VLOOKUP($A38,EFPMS!$A$1:$J$44,(IF($B38=2015,4,IF($B38=2016,5,IF($B38=2017,6,IF($B38=2018,7,IF($B38=2019,8,IF($B38=2020,9,0))))))),FALSE)</f>
        <v>1.2698933981337302E-2</v>
      </c>
      <c r="J38" s="536">
        <f t="shared" ref="J38" si="32">0.89*I38</f>
        <v>1.1302051243390199E-2</v>
      </c>
      <c r="K38" s="549">
        <f>VLOOKUP($A38,EFCO2S!$A$1:$J$44,(IF($B38=2015,4,IF($B38=2016,5,IF($B38=2017,6,IF($B38=2018,7,IF($B38=2019,8,IF($B38=2020,9,0))))))),FALSE)</f>
        <v>254.23853104993103</v>
      </c>
      <c r="L38" s="546">
        <f>VLOOKUP($A38,EFCH4S!$A$1:$J$44,(IF($B38=2015,4,IF($B38=2016,5,IF($B38=2017,6,IF($B38=2018,7,IF($B38=2019,8,IF($B38=2020,9,0))))))),FALSE)</f>
        <v>9.1328399494481263E-3</v>
      </c>
      <c r="M38" s="541">
        <f t="shared" ref="M38" si="33">0.095*G38</f>
        <v>3.276816253501022E-2</v>
      </c>
      <c r="N38" s="135">
        <v>2</v>
      </c>
      <c r="O38" s="135">
        <v>6</v>
      </c>
      <c r="P38" s="109">
        <f t="shared" ref="P38:P40" si="34">3*22</f>
        <v>66</v>
      </c>
      <c r="Q38" s="39">
        <f t="shared" si="31"/>
        <v>0.84064812660041843</v>
      </c>
      <c r="R38" s="29">
        <f t="shared" si="31"/>
        <v>6.4724404333101946</v>
      </c>
      <c r="S38" s="29">
        <f t="shared" si="31"/>
        <v>4.1391363202118168</v>
      </c>
      <c r="T38" s="29">
        <f t="shared" si="31"/>
        <v>2.9945209826400483E-2</v>
      </c>
      <c r="U38" s="29">
        <f t="shared" si="31"/>
        <v>0.15238720777604764</v>
      </c>
      <c r="V38" s="29">
        <f t="shared" si="31"/>
        <v>0.1356246149206824</v>
      </c>
      <c r="W38" s="29">
        <f t="shared" si="31"/>
        <v>3050.8623725991724</v>
      </c>
      <c r="X38" s="29">
        <f t="shared" si="31"/>
        <v>0.10959407939337751</v>
      </c>
      <c r="Y38" s="29">
        <f t="shared" si="31"/>
        <v>0.39321795042012264</v>
      </c>
    </row>
    <row r="39" spans="1:25" s="3" customFormat="1" x14ac:dyDescent="0.25">
      <c r="A39" s="27" t="s">
        <v>207</v>
      </c>
      <c r="B39" s="34">
        <v>2020</v>
      </c>
      <c r="C39" s="25">
        <v>300</v>
      </c>
      <c r="D39" s="533">
        <v>0.42</v>
      </c>
      <c r="E39" s="546">
        <f>VLOOKUP($A39,EFROGS!$A$1:$J$44,(IF($B39=2015,4,IF($B39=2016,5,IF($B39=2017,6,IF($B39=2018,7,IF($B39=2019,8,IF($B39=2020,9,0))))))),FALSE)</f>
        <v>7.0054010550034865E-2</v>
      </c>
      <c r="F39" s="546">
        <f>VLOOKUP($A39,EFCOS!$A$1:$J$44,(IF($B39=2015,4,IF($B39=2016,5,IF($B39=2017,6,IF($B39=2018,7,IF($B39=2019,8,IF($B39=2020,9,0))))))),FALSE)</f>
        <v>0.53937003610918288</v>
      </c>
      <c r="G39" s="546">
        <f>VLOOKUP($A39,EFNOXS!$A$1:$J$44,(IF($B39=2015,4,IF($B39=2016,5,IF($B39=2017,6,IF($B39=2018,7,IF($B39=2019,8,IF($B39=2020,9,0))))))),FALSE)</f>
        <v>0.3449280266843181</v>
      </c>
      <c r="H39" s="546">
        <f>VLOOKUP($A39,EFSOXS!$A$1:$J$44,(IF($B39=2015,4,IF($B39=2016,5,IF($B39=2017,6,IF($B39=2018,7,IF($B39=2019,8,IF($B39=2020,9,0))))))),FALSE)</f>
        <v>2.4954341522000403E-3</v>
      </c>
      <c r="I39" s="546">
        <f>VLOOKUP($A39,EFPMS!$A$1:$J$44,(IF($B39=2015,4,IF($B39=2016,5,IF($B39=2017,6,IF($B39=2018,7,IF($B39=2019,8,IF($B39=2020,9,0))))))),FALSE)</f>
        <v>1.2698933981337302E-2</v>
      </c>
      <c r="J39" s="536">
        <f t="shared" ref="J39:J40" si="35">0.89*I39</f>
        <v>1.1302051243390199E-2</v>
      </c>
      <c r="K39" s="549">
        <f>VLOOKUP($A39,EFCO2S!$A$1:$J$44,(IF($B39=2015,4,IF($B39=2016,5,IF($B39=2017,6,IF($B39=2018,7,IF($B39=2019,8,IF($B39=2020,9,0))))))),FALSE)</f>
        <v>254.23853104993103</v>
      </c>
      <c r="L39" s="546">
        <f>VLOOKUP($A39,EFCH4S!$A$1:$J$44,(IF($B39=2015,4,IF($B39=2016,5,IF($B39=2017,6,IF($B39=2018,7,IF($B39=2019,8,IF($B39=2020,9,0))))))),FALSE)</f>
        <v>9.1328399494481263E-3</v>
      </c>
      <c r="M39" s="541">
        <f t="shared" ref="M39:M40" si="36">0.095*G39</f>
        <v>3.276816253501022E-2</v>
      </c>
      <c r="N39" s="135">
        <v>2</v>
      </c>
      <c r="O39" s="135">
        <v>6</v>
      </c>
      <c r="P39" s="109">
        <f t="shared" si="34"/>
        <v>66</v>
      </c>
      <c r="Q39" s="39">
        <f t="shared" si="31"/>
        <v>0.84064812660041843</v>
      </c>
      <c r="R39" s="29">
        <f t="shared" si="31"/>
        <v>6.4724404333101946</v>
      </c>
      <c r="S39" s="29">
        <f t="shared" si="31"/>
        <v>4.1391363202118168</v>
      </c>
      <c r="T39" s="29">
        <f t="shared" si="31"/>
        <v>2.9945209826400483E-2</v>
      </c>
      <c r="U39" s="29">
        <f t="shared" si="31"/>
        <v>0.15238720777604764</v>
      </c>
      <c r="V39" s="29">
        <f t="shared" si="31"/>
        <v>0.1356246149206824</v>
      </c>
      <c r="W39" s="29">
        <f t="shared" si="31"/>
        <v>3050.8623725991724</v>
      </c>
      <c r="X39" s="29">
        <f t="shared" si="31"/>
        <v>0.10959407939337751</v>
      </c>
      <c r="Y39" s="29">
        <f t="shared" si="31"/>
        <v>0.39321795042012264</v>
      </c>
    </row>
    <row r="40" spans="1:25" s="3" customFormat="1" x14ac:dyDescent="0.25">
      <c r="A40" s="27" t="s">
        <v>208</v>
      </c>
      <c r="B40" s="34">
        <v>2020</v>
      </c>
      <c r="C40" s="25">
        <v>300</v>
      </c>
      <c r="D40" s="533">
        <v>0.42</v>
      </c>
      <c r="E40" s="546">
        <f>VLOOKUP($A40,EFROGS!$A$1:$J$44,(IF($B40=2015,4,IF($B40=2016,5,IF($B40=2017,6,IF($B40=2018,7,IF($B40=2019,8,IF($B40=2020,9,0))))))),FALSE)</f>
        <v>7.0054010550034865E-2</v>
      </c>
      <c r="F40" s="546">
        <f>VLOOKUP($A40,EFCOS!$A$1:$J$44,(IF($B40=2015,4,IF($B40=2016,5,IF($B40=2017,6,IF($B40=2018,7,IF($B40=2019,8,IF($B40=2020,9,0))))))),FALSE)</f>
        <v>0.53937003610918288</v>
      </c>
      <c r="G40" s="546">
        <f>VLOOKUP($A40,EFNOXS!$A$1:$J$44,(IF($B40=2015,4,IF($B40=2016,5,IF($B40=2017,6,IF($B40=2018,7,IF($B40=2019,8,IF($B40=2020,9,0))))))),FALSE)</f>
        <v>0.3449280266843181</v>
      </c>
      <c r="H40" s="546">
        <f>VLOOKUP($A40,EFSOXS!$A$1:$J$44,(IF($B40=2015,4,IF($B40=2016,5,IF($B40=2017,6,IF($B40=2018,7,IF($B40=2019,8,IF($B40=2020,9,0))))))),FALSE)</f>
        <v>2.4954341522000403E-3</v>
      </c>
      <c r="I40" s="546">
        <f>VLOOKUP($A40,EFPMS!$A$1:$J$44,(IF($B40=2015,4,IF($B40=2016,5,IF($B40=2017,6,IF($B40=2018,7,IF($B40=2019,8,IF($B40=2020,9,0))))))),FALSE)</f>
        <v>1.2698933981337302E-2</v>
      </c>
      <c r="J40" s="536">
        <f t="shared" si="35"/>
        <v>1.1302051243390199E-2</v>
      </c>
      <c r="K40" s="549">
        <f>VLOOKUP($A40,EFCO2S!$A$1:$J$44,(IF($B40=2015,4,IF($B40=2016,5,IF($B40=2017,6,IF($B40=2018,7,IF($B40=2019,8,IF($B40=2020,9,0))))))),FALSE)</f>
        <v>254.23853104993103</v>
      </c>
      <c r="L40" s="546">
        <f>VLOOKUP($A40,EFCH4S!$A$1:$J$44,(IF($B40=2015,4,IF($B40=2016,5,IF($B40=2017,6,IF($B40=2018,7,IF($B40=2019,8,IF($B40=2020,9,0))))))),FALSE)</f>
        <v>9.1328399494481263E-3</v>
      </c>
      <c r="M40" s="541">
        <f t="shared" si="36"/>
        <v>3.276816253501022E-2</v>
      </c>
      <c r="N40" s="135">
        <v>1</v>
      </c>
      <c r="O40" s="135">
        <v>6</v>
      </c>
      <c r="P40" s="109">
        <f t="shared" si="34"/>
        <v>66</v>
      </c>
      <c r="Q40" s="39">
        <f t="shared" si="31"/>
        <v>0.42032406330020922</v>
      </c>
      <c r="R40" s="29">
        <f t="shared" si="31"/>
        <v>3.2362202166550973</v>
      </c>
      <c r="S40" s="29">
        <f t="shared" si="31"/>
        <v>2.0695681601059084</v>
      </c>
      <c r="T40" s="29">
        <f t="shared" si="31"/>
        <v>1.4972604913200242E-2</v>
      </c>
      <c r="U40" s="29">
        <f t="shared" si="31"/>
        <v>7.619360388802382E-2</v>
      </c>
      <c r="V40" s="29">
        <f t="shared" si="31"/>
        <v>6.7812307460341198E-2</v>
      </c>
      <c r="W40" s="29">
        <f t="shared" si="31"/>
        <v>1525.4311862995862</v>
      </c>
      <c r="X40" s="29">
        <f t="shared" si="31"/>
        <v>5.4797039696688754E-2</v>
      </c>
      <c r="Y40" s="29">
        <f t="shared" si="31"/>
        <v>0.19660897521006132</v>
      </c>
    </row>
    <row r="41" spans="1:25" s="3" customFormat="1" x14ac:dyDescent="0.25">
      <c r="A41" s="19" t="s">
        <v>38</v>
      </c>
      <c r="B41" s="34"/>
      <c r="C41" s="25"/>
      <c r="D41" s="533"/>
      <c r="E41" s="26"/>
      <c r="F41" s="26"/>
      <c r="G41" s="26"/>
      <c r="H41" s="26"/>
      <c r="I41" s="26"/>
      <c r="J41" s="537"/>
      <c r="K41" s="28"/>
      <c r="L41" s="26"/>
      <c r="M41" s="542"/>
      <c r="N41" s="135"/>
      <c r="O41" s="135"/>
      <c r="P41" s="136"/>
      <c r="Q41" s="138">
        <f>SUM(Q37:Q40)</f>
        <v>2.3000995200111523</v>
      </c>
      <c r="R41" s="138">
        <f t="shared" ref="R41:Y41" si="37">SUM(R37:R40)</f>
        <v>18.694448411908105</v>
      </c>
      <c r="S41" s="138">
        <f t="shared" si="37"/>
        <v>11.73995544696886</v>
      </c>
      <c r="T41" s="138">
        <f t="shared" si="37"/>
        <v>8.0222248422764972E-2</v>
      </c>
      <c r="U41" s="138">
        <f t="shared" si="37"/>
        <v>0.46195193481642194</v>
      </c>
      <c r="V41" s="138">
        <f t="shared" si="37"/>
        <v>0.41113722198661551</v>
      </c>
      <c r="W41" s="138">
        <f t="shared" si="37"/>
        <v>8084.017689262455</v>
      </c>
      <c r="X41" s="138">
        <f t="shared" si="37"/>
        <v>0.3020324467336839</v>
      </c>
      <c r="Y41" s="138">
        <f t="shared" si="37"/>
        <v>1.1152957674620418</v>
      </c>
    </row>
    <row r="42" spans="1:25" s="3" customFormat="1" x14ac:dyDescent="0.25">
      <c r="A42" s="27"/>
      <c r="B42" s="34"/>
      <c r="C42" s="25"/>
      <c r="D42" s="533"/>
      <c r="E42" s="26"/>
      <c r="F42" s="26"/>
      <c r="G42" s="26"/>
      <c r="H42" s="26"/>
      <c r="I42" s="26"/>
      <c r="J42" s="537"/>
      <c r="K42" s="28"/>
      <c r="L42" s="26"/>
      <c r="M42" s="542"/>
      <c r="N42" s="135"/>
      <c r="O42" s="135"/>
      <c r="P42" s="136"/>
      <c r="Q42" s="39"/>
      <c r="R42" s="29"/>
      <c r="S42" s="29"/>
      <c r="T42" s="29"/>
      <c r="U42" s="29"/>
      <c r="V42" s="29"/>
      <c r="W42" s="29"/>
      <c r="X42" s="29"/>
      <c r="Y42" s="29"/>
    </row>
    <row r="43" spans="1:25" s="3" customFormat="1" x14ac:dyDescent="0.25">
      <c r="A43" s="19" t="s">
        <v>241</v>
      </c>
      <c r="B43" s="34">
        <v>2020</v>
      </c>
      <c r="C43" s="25"/>
      <c r="D43" s="533"/>
      <c r="E43" s="26"/>
      <c r="F43" s="26"/>
      <c r="G43" s="26"/>
      <c r="H43" s="26"/>
      <c r="I43" s="26"/>
      <c r="J43" s="537"/>
      <c r="K43" s="28"/>
      <c r="L43" s="26"/>
      <c r="M43" s="542"/>
      <c r="N43" s="135"/>
      <c r="O43" s="135"/>
      <c r="P43" s="136"/>
      <c r="Q43" s="39"/>
      <c r="R43" s="29"/>
      <c r="S43" s="29"/>
      <c r="T43" s="29"/>
      <c r="U43" s="29"/>
      <c r="V43" s="29"/>
      <c r="W43" s="29"/>
      <c r="X43" s="29"/>
      <c r="Y43" s="29"/>
    </row>
    <row r="44" spans="1:25" s="3" customFormat="1" x14ac:dyDescent="0.25">
      <c r="A44" s="27" t="s">
        <v>205</v>
      </c>
      <c r="B44" s="34">
        <v>2020</v>
      </c>
      <c r="C44" s="25">
        <v>235</v>
      </c>
      <c r="D44" s="533">
        <v>0.38</v>
      </c>
      <c r="E44" s="546">
        <f>VLOOKUP($A44,EFROGS!$A$1:$J$44,(IF($B44=2015,4,IF($B44=2016,5,IF($B44=2017,6,IF($B44=2018,7,IF($B44=2019,8,IF($B44=2020,9,0))))))),FALSE)</f>
        <v>6.0143487253669921E-2</v>
      </c>
      <c r="F44" s="546">
        <f>VLOOKUP($A44,EFCOS!$A$1:$J$44,(IF($B44=2015,4,IF($B44=2016,5,IF($B44=2017,6,IF($B44=2018,7,IF($B44=2019,8,IF($B44=2020,9,0))))))),FALSE)</f>
        <v>0.39227354694736927</v>
      </c>
      <c r="G44" s="546">
        <f>VLOOKUP($A44,EFNOXS!$A$1:$J$44,(IF($B44=2015,4,IF($B44=2016,5,IF($B44=2017,6,IF($B44=2018,7,IF($B44=2019,8,IF($B44=2020,9,0))))))),FALSE)</f>
        <v>0.28165087522833765</v>
      </c>
      <c r="H44" s="546">
        <f>VLOOKUP($A44,EFSOXS!$A$1:$J$44,(IF($B44=2015,4,IF($B44=2016,5,IF($B44=2017,6,IF($B44=2018,7,IF($B44=2019,8,IF($B44=2020,9,0))))))),FALSE)</f>
        <v>1.8739212869985323E-3</v>
      </c>
      <c r="I44" s="546">
        <f>VLOOKUP($A44,EFPMS!$A$1:$J$44,(IF($B44=2015,4,IF($B44=2016,5,IF($B44=2017,6,IF($B44=2018,7,IF($B44=2019,8,IF($B44=2020,9,0))))))),FALSE)</f>
        <v>1.0130208053330153E-2</v>
      </c>
      <c r="J44" s="536">
        <f t="shared" ref="J44:J45" si="38">0.89*I44</f>
        <v>9.0158851674638357E-3</v>
      </c>
      <c r="K44" s="549">
        <f>VLOOKUP($A44,EFCO2S!$A$1:$J$44,(IF($B44=2015,4,IF($B44=2016,5,IF($B44=2017,6,IF($B44=2018,7,IF($B44=2019,8,IF($B44=2020,9,0))))))),FALSE)</f>
        <v>166.54540745667055</v>
      </c>
      <c r="L44" s="546">
        <f>VLOOKUP($A44,EFCH4S!$A$1:$J$44,(IF($B44=2015,4,IF($B44=2016,5,IF($B44=2017,6,IF($B44=2018,7,IF($B44=2019,8,IF($B44=2020,9,0))))))),FALSE)</f>
        <v>8.3664496800051249E-3</v>
      </c>
      <c r="M44" s="541">
        <f t="shared" ref="M44:M45" si="39">0.095*G44</f>
        <v>2.6756833146692076E-2</v>
      </c>
      <c r="N44" s="135">
        <v>1</v>
      </c>
      <c r="O44" s="135">
        <v>2</v>
      </c>
      <c r="P44" s="136">
        <f>4*22</f>
        <v>88</v>
      </c>
      <c r="Q44" s="39">
        <f t="shared" ref="Q44:Y48" si="40">(E44*$N44*$O44)</f>
        <v>0.12028697450733984</v>
      </c>
      <c r="R44" s="29">
        <f t="shared" si="40"/>
        <v>0.78454709389473853</v>
      </c>
      <c r="S44" s="29">
        <f t="shared" si="40"/>
        <v>0.5633017504566753</v>
      </c>
      <c r="T44" s="29">
        <f t="shared" si="40"/>
        <v>3.7478425739970646E-3</v>
      </c>
      <c r="U44" s="29">
        <f t="shared" si="40"/>
        <v>2.0260416106660305E-2</v>
      </c>
      <c r="V44" s="29">
        <f t="shared" si="40"/>
        <v>1.8031770334927671E-2</v>
      </c>
      <c r="W44" s="29">
        <f t="shared" si="40"/>
        <v>333.09081491334109</v>
      </c>
      <c r="X44" s="29">
        <f t="shared" si="40"/>
        <v>1.673289936001025E-2</v>
      </c>
      <c r="Y44" s="29">
        <f t="shared" si="40"/>
        <v>5.3513666293384152E-2</v>
      </c>
    </row>
    <row r="45" spans="1:25" s="3" customFormat="1" x14ac:dyDescent="0.25">
      <c r="A45" s="27" t="s">
        <v>163</v>
      </c>
      <c r="B45" s="34">
        <v>2020</v>
      </c>
      <c r="C45" s="25">
        <v>75</v>
      </c>
      <c r="D45" s="533">
        <v>0.31</v>
      </c>
      <c r="E45" s="546">
        <f>VLOOKUP($A45,EFROGS!$A$1:$J$44,(IF($B45=2015,4,IF($B45=2016,5,IF($B45=2017,6,IF($B45=2018,7,IF($B45=2019,8,IF($B45=2020,9,0))))))),FALSE)</f>
        <v>1.6539933625842183E-2</v>
      </c>
      <c r="F45" s="546">
        <f>VLOOKUP($A45,EFCOS!$A$1:$J$44,(IF($B45=2015,4,IF($B45=2016,5,IF($B45=2017,6,IF($B45=2018,7,IF($B45=2019,8,IF($B45=2020,9,0))))))),FALSE)</f>
        <v>0.20944561071938492</v>
      </c>
      <c r="G45" s="546">
        <f>VLOOKUP($A45,EFNOXS!$A$1:$J$44,(IF($B45=2015,4,IF($B45=2016,5,IF($B45=2017,6,IF($B45=2018,7,IF($B45=2019,8,IF($B45=2020,9,0))))))),FALSE)</f>
        <v>0.11600955386994313</v>
      </c>
      <c r="H45" s="546">
        <f>VLOOKUP($A45,EFSOXS!$A$1:$J$44,(IF($B45=2015,4,IF($B45=2016,5,IF($B45=2017,6,IF($B45=2018,7,IF($B45=2019,8,IF($B45=2020,9,0))))))),FALSE)</f>
        <v>4.4660198806364737E-4</v>
      </c>
      <c r="I45" s="546">
        <f>VLOOKUP($A45,EFPMS!$A$1:$J$44,(IF($B45=2015,4,IF($B45=2016,5,IF($B45=2017,6,IF($B45=2018,7,IF($B45=2019,8,IF($B45=2020,9,0))))))),FALSE)</f>
        <v>6.7486596146919021E-3</v>
      </c>
      <c r="J45" s="536">
        <f t="shared" si="38"/>
        <v>6.0063070570757927E-3</v>
      </c>
      <c r="K45" s="549">
        <f>VLOOKUP($A45,EFCO2S!$A$1:$J$44,(IF($B45=2015,4,IF($B45=2016,5,IF($B45=2017,6,IF($B45=2018,7,IF($B45=2019,8,IF($B45=2020,9,0))))))),FALSE)</f>
        <v>38.071813147043628</v>
      </c>
      <c r="L45" s="546">
        <f>VLOOKUP($A45,EFCH4S!$A$1:$J$44,(IF($B45=2015,4,IF($B45=2016,5,IF($B45=2017,6,IF($B45=2018,7,IF($B45=2019,8,IF($B45=2020,9,0))))))),FALSE)</f>
        <v>2.3372706875200077E-3</v>
      </c>
      <c r="M45" s="541">
        <f t="shared" si="39"/>
        <v>1.1020907617644599E-2</v>
      </c>
      <c r="N45" s="108">
        <v>2</v>
      </c>
      <c r="O45" s="108">
        <v>3</v>
      </c>
      <c r="P45" s="136">
        <f t="shared" ref="P45:P48" si="41">4*22</f>
        <v>88</v>
      </c>
      <c r="Q45" s="39">
        <f t="shared" si="40"/>
        <v>9.92396017550531E-2</v>
      </c>
      <c r="R45" s="29">
        <f t="shared" si="40"/>
        <v>1.2566736643163094</v>
      </c>
      <c r="S45" s="29">
        <f t="shared" si="40"/>
        <v>0.69605732321965874</v>
      </c>
      <c r="T45" s="29">
        <f t="shared" si="40"/>
        <v>2.6796119283818841E-3</v>
      </c>
      <c r="U45" s="29">
        <f t="shared" si="40"/>
        <v>4.0491957688151413E-2</v>
      </c>
      <c r="V45" s="29">
        <f t="shared" si="40"/>
        <v>3.6037842342454759E-2</v>
      </c>
      <c r="W45" s="29">
        <f t="shared" si="40"/>
        <v>228.43087888226177</v>
      </c>
      <c r="X45" s="29">
        <f t="shared" si="40"/>
        <v>1.4023624125120046E-2</v>
      </c>
      <c r="Y45" s="29">
        <f t="shared" si="40"/>
        <v>6.6125445705867592E-2</v>
      </c>
    </row>
    <row r="46" spans="1:25" s="3" customFormat="1" x14ac:dyDescent="0.25">
      <c r="A46" s="27" t="s">
        <v>242</v>
      </c>
      <c r="B46" s="34">
        <v>2020</v>
      </c>
      <c r="C46" s="25">
        <v>25</v>
      </c>
      <c r="D46" s="533">
        <v>1</v>
      </c>
      <c r="E46" s="546">
        <f>VLOOKUP($A46,EFROGS!$A$1:$J$44,(IF($B46=2015,4,IF($B46=2016,5,IF($B46=2017,6,IF($B46=2018,7,IF($B46=2019,8,IF($B46=2020,9,0))))))),FALSE)</f>
        <v>1.5945102824719573E-2</v>
      </c>
      <c r="F46" s="546">
        <f>VLOOKUP($A46,EFCOS!$A$1:$J$44,(IF($B46=2015,4,IF($B46=2016,5,IF($B46=2017,6,IF($B46=2018,7,IF($B46=2019,8,IF($B46=2020,9,0))))))),FALSE)</f>
        <v>0.14019639606271714</v>
      </c>
      <c r="G46" s="546">
        <f>VLOOKUP($A46,EFNOXS!$A$1:$J$44,(IF($B46=2015,4,IF($B46=2016,5,IF($B46=2017,6,IF($B46=2018,7,IF($B46=2019,8,IF($B46=2020,9,0))))))),FALSE)</f>
        <v>0.14683075391866268</v>
      </c>
      <c r="H46" s="546">
        <f>VLOOKUP($A46,EFSOXS!$A$1:$J$44,(IF($B46=2015,4,IF($B46=2016,5,IF($B46=2017,6,IF($B46=2018,7,IF($B46=2019,8,IF($B46=2020,9,0))))))),FALSE)</f>
        <v>1.6770238827263772E-4</v>
      </c>
      <c r="I46" s="546">
        <f>VLOOKUP($A46,EFPMS!$A$1:$J$44,(IF($B46=2015,4,IF($B46=2016,5,IF($B46=2017,6,IF($B46=2018,7,IF($B46=2019,8,IF($B46=2020,9,0))))))),FALSE)</f>
        <v>2.4326374207062334E-3</v>
      </c>
      <c r="J46" s="536">
        <f t="shared" ref="J46:J48" si="42">0.89*I46</f>
        <v>2.1650473044285477E-3</v>
      </c>
      <c r="K46" s="549">
        <f>VLOOKUP($A46,EFCO2S!$A$1:$J$44,(IF($B46=2015,4,IF($B46=2016,5,IF($B46=2017,6,IF($B46=2018,7,IF($B46=2019,8,IF($B46=2020,9,0))))))),FALSE)</f>
        <v>13.217291420484697</v>
      </c>
      <c r="L46" s="546">
        <f>VLOOKUP($A46,EFCH4S!$A$1:$J$44,(IF($B46=2015,4,IF($B46=2016,5,IF($B46=2017,6,IF($B46=2018,7,IF($B46=2019,8,IF($B46=2020,9,0))))))),FALSE)</f>
        <v>1.4387012607638549E-3</v>
      </c>
      <c r="M46" s="540">
        <f t="shared" ref="M46:M48" si="43">0.095*G46</f>
        <v>1.3948921622272955E-2</v>
      </c>
      <c r="N46" s="135">
        <v>2</v>
      </c>
      <c r="O46" s="135">
        <v>1</v>
      </c>
      <c r="P46" s="136">
        <f t="shared" si="41"/>
        <v>88</v>
      </c>
      <c r="Q46" s="39">
        <f t="shared" si="40"/>
        <v>3.1890205649439146E-2</v>
      </c>
      <c r="R46" s="29">
        <f t="shared" si="40"/>
        <v>0.28039279212543428</v>
      </c>
      <c r="S46" s="29">
        <f t="shared" si="40"/>
        <v>0.29366150783732536</v>
      </c>
      <c r="T46" s="29">
        <f t="shared" si="40"/>
        <v>3.3540477654527543E-4</v>
      </c>
      <c r="U46" s="29">
        <f t="shared" si="40"/>
        <v>4.8652748414124668E-3</v>
      </c>
      <c r="V46" s="29">
        <f t="shared" si="40"/>
        <v>4.3300946088570954E-3</v>
      </c>
      <c r="W46" s="29">
        <f t="shared" si="40"/>
        <v>26.434582840969394</v>
      </c>
      <c r="X46" s="29">
        <f t="shared" si="40"/>
        <v>2.8774025215277097E-3</v>
      </c>
      <c r="Y46" s="29">
        <f t="shared" si="40"/>
        <v>2.789784324454591E-2</v>
      </c>
    </row>
    <row r="47" spans="1:25" s="3" customFormat="1" x14ac:dyDescent="0.25">
      <c r="A47" s="27" t="s">
        <v>197</v>
      </c>
      <c r="B47" s="34">
        <v>2020</v>
      </c>
      <c r="C47" s="134">
        <v>200</v>
      </c>
      <c r="D47" s="538">
        <v>0.36</v>
      </c>
      <c r="E47" s="546">
        <f>VLOOKUP($A47,EFROGS!$A$1:$J$44,(IF($B47=2015,4,IF($B47=2016,5,IF($B47=2017,6,IF($B47=2018,7,IF($B47=2019,8,IF($B47=2020,9,0))))))),FALSE)</f>
        <v>5.3515780486374981E-2</v>
      </c>
      <c r="F47" s="546">
        <f>VLOOKUP($A47,EFCOS!$A$1:$J$44,(IF($B47=2015,4,IF($B47=2016,5,IF($B47=2017,6,IF($B47=2018,7,IF($B47=2019,8,IF($B47=2020,9,0))))))),FALSE)</f>
        <v>0.33254931786059394</v>
      </c>
      <c r="G47" s="546">
        <f>VLOOKUP($A47,EFNOXS!$A$1:$J$44,(IF($B47=2015,4,IF($B47=2016,5,IF($B47=2017,6,IF($B47=2018,7,IF($B47=2019,8,IF($B47=2020,9,0))))))),FALSE)</f>
        <v>0.30657467104185876</v>
      </c>
      <c r="H47" s="546">
        <f>VLOOKUP($A47,EFSOXS!$A$1:$J$44,(IF($B47=2015,4,IF($B47=2016,5,IF($B47=2017,6,IF($B47=2018,7,IF($B47=2019,8,IF($B47=2020,9,0))))))),FALSE)</f>
        <v>1.6762430885479793E-3</v>
      </c>
      <c r="I47" s="546">
        <f>VLOOKUP($A47,EFPMS!$A$1:$J$44,(IF($B47=2015,4,IF($B47=2016,5,IF($B47=2017,6,IF($B47=2018,7,IF($B47=2019,8,IF($B47=2020,9,0))))))),FALSE)</f>
        <v>1.0898969382037922E-2</v>
      </c>
      <c r="J47" s="536">
        <f t="shared" si="42"/>
        <v>9.7000827500137513E-3</v>
      </c>
      <c r="K47" s="549">
        <f>VLOOKUP($A47,EFCO2S!$A$1:$J$44,(IF($B47=2015,4,IF($B47=2016,5,IF($B47=2017,6,IF($B47=2018,7,IF($B47=2019,8,IF($B47=2020,9,0))))))),FALSE)</f>
        <v>148.97665813539152</v>
      </c>
      <c r="L47" s="546">
        <f>VLOOKUP($A47,EFCH4S!$A$1:$J$44,(IF($B47=2015,4,IF($B47=2016,5,IF($B47=2017,6,IF($B47=2018,7,IF($B47=2019,8,IF($B47=2020,9,0))))))),FALSE)</f>
        <v>7.6522122922095251E-3</v>
      </c>
      <c r="M47" s="540">
        <f t="shared" si="43"/>
        <v>2.9124593748976583E-2</v>
      </c>
      <c r="N47" s="135">
        <v>1</v>
      </c>
      <c r="O47" s="135">
        <v>2</v>
      </c>
      <c r="P47" s="136">
        <f t="shared" si="41"/>
        <v>88</v>
      </c>
      <c r="Q47" s="39">
        <f t="shared" si="40"/>
        <v>0.10703156097274996</v>
      </c>
      <c r="R47" s="29">
        <f t="shared" si="40"/>
        <v>0.66509863572118788</v>
      </c>
      <c r="S47" s="29">
        <f t="shared" si="40"/>
        <v>0.61314934208371752</v>
      </c>
      <c r="T47" s="29">
        <f t="shared" si="40"/>
        <v>3.3524861770959586E-3</v>
      </c>
      <c r="U47" s="29">
        <f t="shared" si="40"/>
        <v>2.1797938764075844E-2</v>
      </c>
      <c r="V47" s="29">
        <f t="shared" si="40"/>
        <v>1.9400165500027503E-2</v>
      </c>
      <c r="W47" s="29">
        <f t="shared" si="40"/>
        <v>297.95331627078303</v>
      </c>
      <c r="X47" s="29">
        <f t="shared" si="40"/>
        <v>1.530442458441905E-2</v>
      </c>
      <c r="Y47" s="29">
        <f t="shared" si="40"/>
        <v>5.8249187497953166E-2</v>
      </c>
    </row>
    <row r="48" spans="1:25" s="3" customFormat="1" x14ac:dyDescent="0.25">
      <c r="A48" s="27" t="s">
        <v>202</v>
      </c>
      <c r="B48" s="34">
        <v>2020</v>
      </c>
      <c r="C48" s="25">
        <v>399</v>
      </c>
      <c r="D48" s="533">
        <v>0.28999999999999998</v>
      </c>
      <c r="E48" s="546">
        <f>VLOOKUP($A48,EFROGS!$A$1:$J$44,(IF($B48=2015,4,IF($B48=2016,5,IF($B48=2017,6,IF($B48=2018,7,IF($B48=2019,8,IF($B48=2020,9,0))))))),FALSE)</f>
        <v>7.2230270108486982E-2</v>
      </c>
      <c r="F48" s="546">
        <f>VLOOKUP($A48,EFCOS!$A$1:$J$44,(IF($B48=2015,4,IF($B48=2016,5,IF($B48=2017,6,IF($B48=2018,7,IF($B48=2019,8,IF($B48=2020,9,0))))))),FALSE)</f>
        <v>0.47254102223366623</v>
      </c>
      <c r="G48" s="546">
        <f>VLOOKUP($A48,EFNOXS!$A$1:$J$44,(IF($B48=2015,4,IF($B48=2016,5,IF($B48=2017,6,IF($B48=2018,7,IF($B48=2019,8,IF($B48=2020,9,0))))))),FALSE)</f>
        <v>0.39060344164754407</v>
      </c>
      <c r="H48" s="546">
        <f>VLOOKUP($A48,EFSOXS!$A$1:$J$44,(IF($B48=2015,4,IF($B48=2016,5,IF($B48=2017,6,IF($B48=2018,7,IF($B48=2019,8,IF($B48=2020,9,0))))))),FALSE)</f>
        <v>1.7677530586477012E-3</v>
      </c>
      <c r="I48" s="546">
        <f>VLOOKUP($A48,EFPMS!$A$1:$J$44,(IF($B48=2015,4,IF($B48=2016,5,IF($B48=2017,6,IF($B48=2018,7,IF($B48=2019,8,IF($B48=2020,9,0))))))),FALSE)</f>
        <v>1.4766132645050114E-2</v>
      </c>
      <c r="J48" s="536">
        <f t="shared" si="42"/>
        <v>1.3141858054094601E-2</v>
      </c>
      <c r="K48" s="549">
        <f>VLOOKUP($A48,EFCO2S!$A$1:$J$44,(IF($B48=2015,4,IF($B48=2016,5,IF($B48=2017,6,IF($B48=2018,7,IF($B48=2019,8,IF($B48=2020,9,0))))))),FALSE)</f>
        <v>180.10126628693308</v>
      </c>
      <c r="L48" s="546">
        <f>VLOOKUP($A48,EFCH4S!$A$1:$J$44,(IF($B48=2015,4,IF($B48=2016,5,IF($B48=2017,6,IF($B48=2018,7,IF($B48=2019,8,IF($B48=2020,9,0))))))),FALSE)</f>
        <v>9.812119107308389E-3</v>
      </c>
      <c r="M48" s="541">
        <f t="shared" si="43"/>
        <v>3.7107326956516688E-2</v>
      </c>
      <c r="N48" s="108">
        <v>1</v>
      </c>
      <c r="O48" s="108">
        <v>2</v>
      </c>
      <c r="P48" s="136">
        <f t="shared" si="41"/>
        <v>88</v>
      </c>
      <c r="Q48" s="39">
        <f t="shared" si="40"/>
        <v>0.14446054021697396</v>
      </c>
      <c r="R48" s="29">
        <f t="shared" si="40"/>
        <v>0.94508204446733246</v>
      </c>
      <c r="S48" s="29">
        <f t="shared" si="40"/>
        <v>0.78120688329508814</v>
      </c>
      <c r="T48" s="29">
        <f t="shared" si="40"/>
        <v>3.5355061172954024E-3</v>
      </c>
      <c r="U48" s="29">
        <f t="shared" si="40"/>
        <v>2.9532265290100227E-2</v>
      </c>
      <c r="V48" s="29">
        <f t="shared" si="40"/>
        <v>2.6283716108189203E-2</v>
      </c>
      <c r="W48" s="29">
        <f t="shared" si="40"/>
        <v>360.20253257386616</v>
      </c>
      <c r="X48" s="29">
        <f t="shared" si="40"/>
        <v>1.9624238214616778E-2</v>
      </c>
      <c r="Y48" s="29">
        <f t="shared" si="40"/>
        <v>7.4214653913033377E-2</v>
      </c>
    </row>
    <row r="49" spans="1:32" s="3" customFormat="1" x14ac:dyDescent="0.25">
      <c r="A49" s="35" t="s">
        <v>38</v>
      </c>
      <c r="B49" s="181"/>
      <c r="C49" s="182"/>
      <c r="D49" s="179"/>
      <c r="E49" s="151"/>
      <c r="F49" s="151"/>
      <c r="G49" s="151"/>
      <c r="H49" s="151"/>
      <c r="I49" s="151"/>
      <c r="J49" s="544"/>
      <c r="K49" s="545"/>
      <c r="L49" s="151"/>
      <c r="M49" s="185"/>
      <c r="N49" s="135"/>
      <c r="O49" s="135"/>
      <c r="P49" s="136"/>
      <c r="Q49" s="186">
        <f>SUM(Q44:Q48)</f>
        <v>0.50290888310155601</v>
      </c>
      <c r="R49" s="186">
        <f t="shared" ref="R49:Y49" si="44">SUM(R44:R48)</f>
        <v>3.9317942305250018</v>
      </c>
      <c r="S49" s="186">
        <f t="shared" si="44"/>
        <v>2.9473768068924655</v>
      </c>
      <c r="T49" s="186">
        <f t="shared" si="44"/>
        <v>1.3650851573315585E-2</v>
      </c>
      <c r="U49" s="186">
        <f t="shared" si="44"/>
        <v>0.11694785269040026</v>
      </c>
      <c r="V49" s="186">
        <f t="shared" si="44"/>
        <v>0.10408358889445624</v>
      </c>
      <c r="W49" s="186">
        <f t="shared" si="44"/>
        <v>1246.1121254812215</v>
      </c>
      <c r="X49" s="186">
        <f t="shared" si="44"/>
        <v>6.8562588805693839E-2</v>
      </c>
      <c r="Y49" s="186">
        <f t="shared" si="44"/>
        <v>0.28000079665478417</v>
      </c>
    </row>
    <row r="50" spans="1:32" s="6" customFormat="1" x14ac:dyDescent="0.25">
      <c r="A50" s="12" t="s">
        <v>628</v>
      </c>
      <c r="B50" s="134"/>
      <c r="C50" s="25"/>
      <c r="D50" s="25"/>
      <c r="E50" s="26"/>
      <c r="F50" s="26"/>
      <c r="G50" s="26"/>
      <c r="H50" s="26"/>
      <c r="I50" s="26"/>
      <c r="J50" s="27"/>
      <c r="K50" s="28"/>
      <c r="L50" s="26"/>
      <c r="M50" s="26"/>
      <c r="N50" s="109"/>
      <c r="O50" s="109"/>
      <c r="P50" s="109"/>
      <c r="Q50" s="22">
        <f>Q27+Q34+Q41+Q49</f>
        <v>5.3398952495206302</v>
      </c>
      <c r="R50" s="22">
        <f t="shared" ref="R50:Y50" si="45">R27+R34+R41+R49</f>
        <v>49.905729512000747</v>
      </c>
      <c r="S50" s="22">
        <f t="shared" si="45"/>
        <v>32.484300846084963</v>
      </c>
      <c r="T50" s="22">
        <f t="shared" si="45"/>
        <v>0.16097982197529154</v>
      </c>
      <c r="U50" s="22">
        <f t="shared" si="45"/>
        <v>1.2248617426112869</v>
      </c>
      <c r="V50" s="22">
        <f t="shared" si="45"/>
        <v>1.0901269509240454</v>
      </c>
      <c r="W50" s="22">
        <f t="shared" si="45"/>
        <v>15254.285560624547</v>
      </c>
      <c r="X50" s="22">
        <f t="shared" si="45"/>
        <v>0.74315941135288399</v>
      </c>
      <c r="Y50" s="22">
        <f t="shared" si="45"/>
        <v>3.0860085803780715</v>
      </c>
      <c r="AF50" s="7"/>
    </row>
    <row r="51" spans="1:32" s="6" customFormat="1" x14ac:dyDescent="0.25">
      <c r="B51" s="1"/>
      <c r="C51" s="1"/>
      <c r="D51" s="1"/>
      <c r="E51" s="623" t="s">
        <v>2</v>
      </c>
      <c r="F51" s="623"/>
      <c r="G51" s="623"/>
      <c r="H51" s="623"/>
      <c r="I51" s="623"/>
      <c r="J51" s="623"/>
      <c r="K51" s="623"/>
      <c r="L51" s="623"/>
      <c r="M51"/>
      <c r="N51" s="3"/>
      <c r="O51"/>
      <c r="P51"/>
      <c r="Q51" s="4"/>
      <c r="R51" s="4"/>
      <c r="S51" s="4"/>
      <c r="T51" s="4"/>
      <c r="U51" s="4"/>
      <c r="V51" s="4"/>
      <c r="W51" s="5"/>
      <c r="X51" s="4"/>
      <c r="Y51" s="4"/>
      <c r="AF51" s="7"/>
    </row>
    <row r="52" spans="1:32" s="6" customFormat="1" ht="39.6" x14ac:dyDescent="0.25">
      <c r="A52" s="12" t="s">
        <v>131</v>
      </c>
      <c r="B52" s="13" t="s">
        <v>3</v>
      </c>
      <c r="C52" s="13" t="s">
        <v>4</v>
      </c>
      <c r="D52" s="1"/>
      <c r="E52" s="18" t="s">
        <v>27</v>
      </c>
      <c r="F52" s="18" t="s">
        <v>28</v>
      </c>
      <c r="G52" s="18" t="s">
        <v>29</v>
      </c>
      <c r="H52" s="18" t="s">
        <v>30</v>
      </c>
      <c r="I52" s="18" t="s">
        <v>31</v>
      </c>
      <c r="J52" s="18" t="s">
        <v>32</v>
      </c>
      <c r="K52" s="550" t="s">
        <v>33</v>
      </c>
      <c r="L52" s="18" t="s">
        <v>34</v>
      </c>
      <c r="M52" s="18" t="s">
        <v>35</v>
      </c>
      <c r="N52" s="3"/>
      <c r="O52"/>
      <c r="P52"/>
      <c r="Q52" s="4"/>
      <c r="R52" s="4"/>
      <c r="S52" s="4"/>
      <c r="T52" s="4"/>
      <c r="U52" s="4"/>
      <c r="V52" s="4"/>
      <c r="W52" s="5"/>
      <c r="X52" s="4"/>
      <c r="Y52" s="4"/>
      <c r="AF52" s="7"/>
    </row>
    <row r="53" spans="1:32" s="3" customFormat="1" x14ac:dyDescent="0.25">
      <c r="A53" s="12" t="str">
        <f t="shared" ref="A53:A64" si="46">A7</f>
        <v>Trans: Talega Hub to Talega Substation - Site Grading</v>
      </c>
      <c r="B53" s="36"/>
      <c r="C53" s="20"/>
      <c r="D53" s="1"/>
      <c r="E53" s="30"/>
      <c r="F53" s="30"/>
      <c r="G53" s="30"/>
      <c r="H53" s="30"/>
      <c r="I53" s="30"/>
      <c r="J53" s="30"/>
      <c r="K53" s="551"/>
      <c r="L53" s="30"/>
      <c r="M53" s="30"/>
      <c r="O53"/>
      <c r="P53"/>
      <c r="Q53" s="4"/>
      <c r="R53" s="4"/>
      <c r="S53" s="4"/>
      <c r="T53" s="4"/>
      <c r="U53" s="4"/>
      <c r="V53" s="4"/>
      <c r="W53" s="5"/>
      <c r="X53" s="4"/>
      <c r="Y53" s="4"/>
      <c r="Z53" s="6"/>
      <c r="AA53" s="6"/>
      <c r="AB53" s="6"/>
      <c r="AC53" s="6"/>
      <c r="AD53" s="6"/>
      <c r="AE53" s="6"/>
      <c r="AF53" s="7"/>
    </row>
    <row r="54" spans="1:32" s="3" customFormat="1" x14ac:dyDescent="0.25">
      <c r="A54" s="137" t="str">
        <f t="shared" si="46"/>
        <v>Bulldozer</v>
      </c>
      <c r="B54" s="36"/>
      <c r="C54" s="20"/>
      <c r="D54" s="1"/>
      <c r="E54" s="30">
        <f t="shared" ref="E54:E64" si="47">(Q8*$P8)/2000</f>
        <v>3.2017930609936525E-2</v>
      </c>
      <c r="F54" s="30">
        <f t="shared" ref="F54:F64" si="48">(R8*$P8)/2000</f>
        <v>0.16988227706835277</v>
      </c>
      <c r="G54" s="30">
        <f t="shared" ref="G54:G64" si="49">(S8*$P8)/2000</f>
        <v>0.22276744526369016</v>
      </c>
      <c r="H54" s="30">
        <f t="shared" ref="H54:H64" si="50">(T8*$P8)/2000</f>
        <v>5.1476240926319364E-4</v>
      </c>
      <c r="I54" s="30">
        <f t="shared" ref="I54:I64" si="51">(U8*$P8)/2000</f>
        <v>9.0176506685183434E-3</v>
      </c>
      <c r="J54" s="30">
        <f t="shared" ref="J54:J64" si="52">(V8*$P8)/2000</f>
        <v>8.0257090949813238E-3</v>
      </c>
      <c r="K54" s="551">
        <f t="shared" ref="K54:K64" si="53">(W8*$P8)/2000</f>
        <v>52.444763754882253</v>
      </c>
      <c r="L54" s="30">
        <f t="shared" ref="L54:L64" si="54">(X8*$P8)/2000</f>
        <v>4.3002409492785363E-3</v>
      </c>
      <c r="M54" s="30">
        <f t="shared" ref="M54:M64" si="55">(Y8*$P8)/2000</f>
        <v>2.1162907300050569E-2</v>
      </c>
      <c r="O54"/>
      <c r="P54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 t="str">
        <f t="shared" si="46"/>
        <v>Road Grader/Blade</v>
      </c>
      <c r="B55" s="36"/>
      <c r="C55" s="20"/>
      <c r="D55" s="1"/>
      <c r="E55" s="30">
        <f t="shared" si="47"/>
        <v>8.6857779960800123E-3</v>
      </c>
      <c r="F55" s="30">
        <f t="shared" si="48"/>
        <v>5.1280604168446577E-2</v>
      </c>
      <c r="G55" s="30">
        <f t="shared" si="49"/>
        <v>5.054205945955241E-2</v>
      </c>
      <c r="H55" s="30">
        <f t="shared" si="50"/>
        <v>1.9821680145721803E-4</v>
      </c>
      <c r="I55" s="30">
        <f t="shared" si="51"/>
        <v>1.8673765727827639E-3</v>
      </c>
      <c r="J55" s="30">
        <f t="shared" si="52"/>
        <v>1.6619651497766599E-3</v>
      </c>
      <c r="K55" s="551">
        <f t="shared" si="53"/>
        <v>20.194611316871292</v>
      </c>
      <c r="L55" s="30">
        <f t="shared" si="54"/>
        <v>1.0717274828893413E-3</v>
      </c>
      <c r="M55" s="30">
        <f t="shared" si="55"/>
        <v>4.8014956486574795E-3</v>
      </c>
      <c r="O55"/>
      <c r="P55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37" t="str">
        <f t="shared" si="46"/>
        <v>Scraper</v>
      </c>
      <c r="B56" s="36"/>
      <c r="C56" s="20"/>
      <c r="D56" s="1"/>
      <c r="E56" s="30">
        <f t="shared" si="47"/>
        <v>1.059684399377402E-2</v>
      </c>
      <c r="F56" s="30">
        <f t="shared" si="48"/>
        <v>5.6298656539060361E-2</v>
      </c>
      <c r="G56" s="30">
        <f t="shared" si="49"/>
        <v>7.0618061738120033E-2</v>
      </c>
      <c r="H56" s="30">
        <f t="shared" si="50"/>
        <v>2.0822509238892681E-4</v>
      </c>
      <c r="I56" s="30">
        <f t="shared" si="51"/>
        <v>2.6916272280706212E-3</v>
      </c>
      <c r="J56" s="30">
        <f t="shared" si="52"/>
        <v>2.395548232982853E-3</v>
      </c>
      <c r="K56" s="551">
        <f t="shared" si="53"/>
        <v>21.214276745799868</v>
      </c>
      <c r="L56" s="30">
        <f t="shared" si="54"/>
        <v>1.3877062353663265E-3</v>
      </c>
      <c r="M56" s="30">
        <f t="shared" si="55"/>
        <v>6.708715865121403E-3</v>
      </c>
      <c r="O56"/>
      <c r="P56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 t="str">
        <f t="shared" si="46"/>
        <v>Compactor</v>
      </c>
      <c r="B57" s="36"/>
      <c r="C57" s="20"/>
      <c r="D57" s="1"/>
      <c r="E57" s="30">
        <f t="shared" si="47"/>
        <v>8.5678020887582813E-3</v>
      </c>
      <c r="F57" s="30">
        <f t="shared" si="48"/>
        <v>5.0062376368635496E-2</v>
      </c>
      <c r="G57" s="30">
        <f t="shared" si="49"/>
        <v>6.1502091027490359E-2</v>
      </c>
      <c r="H57" s="30">
        <f t="shared" si="50"/>
        <v>2.2737315174593996E-4</v>
      </c>
      <c r="I57" s="30">
        <f t="shared" si="51"/>
        <v>2.1267073553698276E-3</v>
      </c>
      <c r="J57" s="30">
        <f t="shared" si="52"/>
        <v>1.8927695462791468E-3</v>
      </c>
      <c r="K57" s="551">
        <f t="shared" si="53"/>
        <v>20.207863002223917</v>
      </c>
      <c r="L57" s="30">
        <f t="shared" si="54"/>
        <v>1.0556200519210559E-3</v>
      </c>
      <c r="M57" s="30">
        <f t="shared" si="55"/>
        <v>5.8426986476115836E-3</v>
      </c>
      <c r="O57"/>
      <c r="P57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37" t="str">
        <f t="shared" si="46"/>
        <v>Loader</v>
      </c>
      <c r="B58" s="36"/>
      <c r="C58" s="20"/>
      <c r="D58" s="1"/>
      <c r="E58" s="30">
        <f t="shared" si="47"/>
        <v>1.1021289867103665E-2</v>
      </c>
      <c r="F58" s="30">
        <f t="shared" si="48"/>
        <v>5.8315206333013639E-2</v>
      </c>
      <c r="G58" s="30">
        <f t="shared" si="49"/>
        <v>7.058119330335802E-2</v>
      </c>
      <c r="H58" s="30">
        <f t="shared" si="50"/>
        <v>2.9501889322102598E-4</v>
      </c>
      <c r="I58" s="30">
        <f t="shared" si="51"/>
        <v>2.466648069815829E-3</v>
      </c>
      <c r="J58" s="30">
        <f t="shared" si="52"/>
        <v>2.1953167821360878E-3</v>
      </c>
      <c r="K58" s="551">
        <f t="shared" si="53"/>
        <v>26.219902446568824</v>
      </c>
      <c r="L58" s="30">
        <f t="shared" si="54"/>
        <v>1.4221260857066854E-3</v>
      </c>
      <c r="M58" s="30">
        <f t="shared" si="55"/>
        <v>6.705213363819012E-3</v>
      </c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46"/>
        <v>Water Truck</v>
      </c>
      <c r="B59" s="36"/>
      <c r="C59" s="20"/>
      <c r="D59" s="1"/>
      <c r="E59" s="30">
        <f t="shared" si="47"/>
        <v>2.2138306626220398E-2</v>
      </c>
      <c r="F59" s="30">
        <f t="shared" si="48"/>
        <v>0.11267594683464718</v>
      </c>
      <c r="G59" s="30">
        <f t="shared" si="49"/>
        <v>0.1205912541733115</v>
      </c>
      <c r="H59" s="30">
        <f t="shared" si="50"/>
        <v>6.1839425953370386E-4</v>
      </c>
      <c r="I59" s="30">
        <f t="shared" si="51"/>
        <v>4.2039280805408327E-3</v>
      </c>
      <c r="J59" s="30">
        <f t="shared" si="52"/>
        <v>3.7414959916813417E-3</v>
      </c>
      <c r="K59" s="551">
        <f t="shared" si="53"/>
        <v>54.95998573712852</v>
      </c>
      <c r="L59" s="30">
        <f t="shared" si="54"/>
        <v>2.9217530123702086E-3</v>
      </c>
      <c r="M59" s="30">
        <f t="shared" si="55"/>
        <v>1.1456169146464591E-2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46"/>
        <v>Dump/Haul Truck</v>
      </c>
      <c r="B60" s="36"/>
      <c r="C60" s="20"/>
      <c r="D60" s="1"/>
      <c r="E60" s="30">
        <f t="shared" si="47"/>
        <v>3.6907512824174857E-2</v>
      </c>
      <c r="F60" s="30">
        <f t="shared" si="48"/>
        <v>0.20363643557035616</v>
      </c>
      <c r="G60" s="30">
        <f t="shared" si="49"/>
        <v>0.19613076858206024</v>
      </c>
      <c r="H60" s="30">
        <f t="shared" si="50"/>
        <v>9.8943081525392613E-4</v>
      </c>
      <c r="I60" s="30">
        <f t="shared" si="51"/>
        <v>6.8855230241034278E-3</v>
      </c>
      <c r="J60" s="30">
        <f t="shared" si="52"/>
        <v>6.1281154914520509E-3</v>
      </c>
      <c r="K60" s="551">
        <f t="shared" si="53"/>
        <v>87.935977179405612</v>
      </c>
      <c r="L60" s="30">
        <f t="shared" si="54"/>
        <v>4.6748048197923333E-3</v>
      </c>
      <c r="M60" s="30">
        <f t="shared" si="55"/>
        <v>1.8632423015295725E-2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46"/>
        <v>Excavator</v>
      </c>
      <c r="B61" s="36"/>
      <c r="C61" s="20"/>
      <c r="D61" s="1"/>
      <c r="E61" s="30">
        <f t="shared" si="47"/>
        <v>2.3767153254119468E-2</v>
      </c>
      <c r="F61" s="30">
        <f t="shared" si="48"/>
        <v>0.13176057251059481</v>
      </c>
      <c r="G61" s="30">
        <f t="shared" si="49"/>
        <v>0.11725862469879314</v>
      </c>
      <c r="H61" s="30">
        <f t="shared" si="50"/>
        <v>6.0566589082026621E-4</v>
      </c>
      <c r="I61" s="30">
        <f t="shared" si="51"/>
        <v>4.3569699547553178E-3</v>
      </c>
      <c r="J61" s="30">
        <f t="shared" si="52"/>
        <v>3.8777032597322333E-3</v>
      </c>
      <c r="K61" s="551">
        <f t="shared" si="53"/>
        <v>61.706120465095665</v>
      </c>
      <c r="L61" s="30">
        <f t="shared" si="54"/>
        <v>3.0153722560599967E-3</v>
      </c>
      <c r="M61" s="30">
        <f t="shared" si="55"/>
        <v>1.1139569346385349E-2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46"/>
        <v>Drill Rig</v>
      </c>
      <c r="B62" s="36"/>
      <c r="C62" s="20"/>
      <c r="D62" s="1"/>
      <c r="E62" s="30">
        <f t="shared" si="47"/>
        <v>3.9844237906072801E-3</v>
      </c>
      <c r="F62" s="30">
        <f t="shared" si="48"/>
        <v>7.2789978013785617E-2</v>
      </c>
      <c r="G62" s="30">
        <f t="shared" si="49"/>
        <v>2.8316012069916383E-2</v>
      </c>
      <c r="H62" s="30">
        <f t="shared" si="50"/>
        <v>1.5922328536379808E-4</v>
      </c>
      <c r="I62" s="30">
        <f t="shared" si="51"/>
        <v>6.6444387437397255E-4</v>
      </c>
      <c r="J62" s="30">
        <f t="shared" si="52"/>
        <v>5.9135504819283558E-4</v>
      </c>
      <c r="K62" s="551">
        <f t="shared" si="53"/>
        <v>13.573428387664382</v>
      </c>
      <c r="L62" s="30">
        <f t="shared" si="54"/>
        <v>4.6521136420454357E-4</v>
      </c>
      <c r="M62" s="30">
        <f t="shared" si="55"/>
        <v>2.6900211466420565E-3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46"/>
        <v>Small Crane</v>
      </c>
      <c r="B63" s="36"/>
      <c r="C63" s="20"/>
      <c r="D63" s="1"/>
      <c r="E63" s="30">
        <f t="shared" si="47"/>
        <v>6.6961409717676921E-3</v>
      </c>
      <c r="F63" s="30">
        <f t="shared" si="48"/>
        <v>4.9083081657607511E-2</v>
      </c>
      <c r="G63" s="30">
        <f t="shared" si="49"/>
        <v>3.8803049153000105E-2</v>
      </c>
      <c r="H63" s="30">
        <f t="shared" si="50"/>
        <v>1.0353397009034409E-4</v>
      </c>
      <c r="I63" s="30">
        <f t="shared" si="51"/>
        <v>2.9280238883928208E-3</v>
      </c>
      <c r="J63" s="30">
        <f t="shared" si="52"/>
        <v>2.605941260669611E-3</v>
      </c>
      <c r="K63" s="551">
        <f t="shared" si="53"/>
        <v>8.8260391868876766</v>
      </c>
      <c r="L63" s="30">
        <f t="shared" si="54"/>
        <v>9.3590157816361231E-4</v>
      </c>
      <c r="M63" s="30">
        <f t="shared" si="55"/>
        <v>3.6862896695350096E-3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46"/>
        <v>Concrete Trucks</v>
      </c>
      <c r="B64" s="36"/>
      <c r="C64" s="20"/>
      <c r="D64" s="1"/>
      <c r="E64" s="30">
        <f t="shared" si="47"/>
        <v>1.2302504274724955E-2</v>
      </c>
      <c r="F64" s="30">
        <f t="shared" si="48"/>
        <v>6.7878811856785376E-2</v>
      </c>
      <c r="G64" s="30">
        <f t="shared" si="49"/>
        <v>6.5376922860686762E-2</v>
      </c>
      <c r="H64" s="30">
        <f t="shared" si="50"/>
        <v>3.2981027175130873E-4</v>
      </c>
      <c r="I64" s="30">
        <f t="shared" si="51"/>
        <v>2.2951743413678095E-3</v>
      </c>
      <c r="J64" s="30">
        <f t="shared" si="52"/>
        <v>2.0427051638173504E-3</v>
      </c>
      <c r="K64" s="551">
        <f t="shared" si="53"/>
        <v>29.311992393135206</v>
      </c>
      <c r="L64" s="30">
        <f t="shared" si="54"/>
        <v>1.5582682732641112E-3</v>
      </c>
      <c r="M64" s="30">
        <f t="shared" si="55"/>
        <v>6.2108076717652429E-3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2" t="str">
        <f t="shared" ref="A65" si="56">A19</f>
        <v>Subtotal</v>
      </c>
      <c r="B65" s="36"/>
      <c r="C65" s="20"/>
      <c r="D65" s="1"/>
      <c r="E65" s="24">
        <f>SUM(E54:E64)</f>
        <v>0.17668568629726716</v>
      </c>
      <c r="F65" s="24">
        <f t="shared" ref="F65:M65" si="57">SUM(F54:F64)</f>
        <v>1.0236639469212856</v>
      </c>
      <c r="G65" s="24">
        <f t="shared" si="57"/>
        <v>1.0424874823299792</v>
      </c>
      <c r="H65" s="24">
        <f t="shared" si="57"/>
        <v>4.2496548408896516E-3</v>
      </c>
      <c r="I65" s="24">
        <f t="shared" si="57"/>
        <v>3.950407305809156E-2</v>
      </c>
      <c r="J65" s="24">
        <f t="shared" si="57"/>
        <v>3.5158625021701487E-2</v>
      </c>
      <c r="K65" s="552">
        <f t="shared" si="57"/>
        <v>396.59496061566313</v>
      </c>
      <c r="L65" s="24">
        <f t="shared" si="57"/>
        <v>2.2808732109016756E-2</v>
      </c>
      <c r="M65" s="24">
        <f t="shared" si="57"/>
        <v>9.903631082134802E-2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2" t="s">
        <v>637</v>
      </c>
      <c r="B66" s="36"/>
      <c r="C66" s="20"/>
      <c r="D66" s="1"/>
      <c r="E66" s="24">
        <f>E65</f>
        <v>0.17668568629726716</v>
      </c>
      <c r="F66" s="24">
        <f t="shared" ref="F66:M66" si="58">F65</f>
        <v>1.0236639469212856</v>
      </c>
      <c r="G66" s="24">
        <f t="shared" si="58"/>
        <v>1.0424874823299792</v>
      </c>
      <c r="H66" s="24">
        <f t="shared" si="58"/>
        <v>4.2496548408896516E-3</v>
      </c>
      <c r="I66" s="24">
        <f t="shared" si="58"/>
        <v>3.950407305809156E-2</v>
      </c>
      <c r="J66" s="24">
        <f t="shared" si="58"/>
        <v>3.5158625021701487E-2</v>
      </c>
      <c r="K66" s="24">
        <f t="shared" si="58"/>
        <v>396.59496061566313</v>
      </c>
      <c r="L66" s="24">
        <f t="shared" si="58"/>
        <v>2.2808732109016756E-2</v>
      </c>
      <c r="M66" s="24">
        <f t="shared" si="58"/>
        <v>9.903631082134802E-2</v>
      </c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37"/>
      <c r="B67" s="36"/>
      <c r="C67" s="20"/>
      <c r="D67" s="1"/>
      <c r="E67" s="30"/>
      <c r="F67" s="30"/>
      <c r="G67" s="30"/>
      <c r="H67" s="30"/>
      <c r="I67" s="30"/>
      <c r="J67" s="30"/>
      <c r="K67" s="551"/>
      <c r="L67" s="30"/>
      <c r="M67" s="30"/>
      <c r="O67" s="572"/>
      <c r="P67" s="572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2" t="str">
        <f t="shared" ref="A68:A73" si="59">A22</f>
        <v>Trans: Talega Hub to Talega Substation - Foundation Installations</v>
      </c>
      <c r="B68" s="36"/>
      <c r="C68" s="20"/>
      <c r="D68" s="1"/>
      <c r="E68" s="30"/>
      <c r="F68" s="30"/>
      <c r="G68" s="30"/>
      <c r="H68" s="30"/>
      <c r="I68" s="30"/>
      <c r="J68" s="30"/>
      <c r="K68" s="551"/>
      <c r="L68" s="30"/>
      <c r="M68" s="30"/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59"/>
        <v>Concrete Trucks</v>
      </c>
      <c r="B69" s="36"/>
      <c r="C69" s="20"/>
      <c r="D69" s="1"/>
      <c r="E69" s="30">
        <f t="shared" ref="E69:M72" si="60">(Q23*$P23)/2000</f>
        <v>3.9694701587422148E-3</v>
      </c>
      <c r="F69" s="30">
        <f t="shared" si="60"/>
        <v>2.589005409852637E-2</v>
      </c>
      <c r="G69" s="30">
        <f t="shared" si="60"/>
        <v>1.8588957765070285E-2</v>
      </c>
      <c r="H69" s="30">
        <f t="shared" si="60"/>
        <v>1.2367880494190312E-4</v>
      </c>
      <c r="I69" s="30">
        <f t="shared" si="60"/>
        <v>6.6859373151979004E-4</v>
      </c>
      <c r="J69" s="30">
        <f t="shared" si="60"/>
        <v>5.9504842105261317E-4</v>
      </c>
      <c r="K69" s="551">
        <f t="shared" si="60"/>
        <v>10.991996892140255</v>
      </c>
      <c r="L69" s="30">
        <f t="shared" si="60"/>
        <v>5.5218567888033819E-4</v>
      </c>
      <c r="M69" s="30">
        <f t="shared" si="60"/>
        <v>1.765950987681677E-3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59"/>
        <v>Drill Rig</v>
      </c>
      <c r="B70" s="36"/>
      <c r="C70" s="20"/>
      <c r="D70" s="1"/>
      <c r="E70" s="30">
        <f t="shared" si="60"/>
        <v>8.0478536253597473E-3</v>
      </c>
      <c r="F70" s="30">
        <f t="shared" si="60"/>
        <v>0.15853012939642408</v>
      </c>
      <c r="G70" s="30">
        <f t="shared" si="60"/>
        <v>5.1486206286617174E-2</v>
      </c>
      <c r="H70" s="30">
        <f t="shared" si="60"/>
        <v>3.5825239317411489E-4</v>
      </c>
      <c r="I70" s="30">
        <f t="shared" si="60"/>
        <v>1.0544781508071335E-3</v>
      </c>
      <c r="J70" s="30">
        <f t="shared" si="60"/>
        <v>9.3848555421834881E-4</v>
      </c>
      <c r="K70" s="551">
        <f t="shared" si="60"/>
        <v>30.540230136187102</v>
      </c>
      <c r="L70" s="30">
        <f t="shared" si="60"/>
        <v>1.0001454115389453E-3</v>
      </c>
      <c r="M70" s="30">
        <f t="shared" si="60"/>
        <v>4.8911895972286318E-3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59"/>
        <v>CAT 416 Rubber Tire Backhoe</v>
      </c>
      <c r="B71" s="36"/>
      <c r="C71" s="20"/>
      <c r="D71" s="1"/>
      <c r="E71" s="30">
        <f t="shared" si="60"/>
        <v>8.6722963435562073E-3</v>
      </c>
      <c r="F71" s="30">
        <f t="shared" si="60"/>
        <v>8.5439899443034373E-2</v>
      </c>
      <c r="G71" s="30">
        <f t="shared" si="60"/>
        <v>4.9253998264273846E-2</v>
      </c>
      <c r="H71" s="30">
        <f t="shared" si="60"/>
        <v>1.8244659084968714E-4</v>
      </c>
      <c r="I71" s="30">
        <f t="shared" si="60"/>
        <v>3.2609230652119849E-3</v>
      </c>
      <c r="J71" s="30">
        <f t="shared" si="60"/>
        <v>2.9022215280386661E-3</v>
      </c>
      <c r="K71" s="551">
        <f t="shared" si="60"/>
        <v>15.553165275010635</v>
      </c>
      <c r="L71" s="30">
        <f t="shared" si="60"/>
        <v>1.340004923255758E-3</v>
      </c>
      <c r="M71" s="30">
        <f t="shared" si="60"/>
        <v>4.6791298351060153E-3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37" t="str">
        <f t="shared" si="59"/>
        <v>Dump Trucks</v>
      </c>
      <c r="B72" s="36"/>
      <c r="C72" s="20"/>
      <c r="D72" s="1"/>
      <c r="E72" s="30">
        <f t="shared" si="60"/>
        <v>1.5877880634968859E-2</v>
      </c>
      <c r="F72" s="30">
        <f t="shared" si="60"/>
        <v>0.10356021639410548</v>
      </c>
      <c r="G72" s="30">
        <f t="shared" si="60"/>
        <v>7.4355831060281138E-2</v>
      </c>
      <c r="H72" s="30">
        <f t="shared" si="60"/>
        <v>4.9471521976761248E-4</v>
      </c>
      <c r="I72" s="30">
        <f t="shared" si="60"/>
        <v>2.6743749260791602E-3</v>
      </c>
      <c r="J72" s="30">
        <f t="shared" si="60"/>
        <v>2.3801936842104527E-3</v>
      </c>
      <c r="K72" s="551">
        <f t="shared" si="60"/>
        <v>43.967987568561021</v>
      </c>
      <c r="L72" s="30">
        <f t="shared" si="60"/>
        <v>2.2087427155213528E-3</v>
      </c>
      <c r="M72" s="30">
        <f t="shared" si="60"/>
        <v>7.0638039507267079E-3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tr">
        <f t="shared" si="59"/>
        <v>Subtotal</v>
      </c>
      <c r="B73" s="36"/>
      <c r="C73" s="20"/>
      <c r="D73" s="1"/>
      <c r="E73" s="24">
        <f>SUM(E69:E72)</f>
        <v>3.6567500762627027E-2</v>
      </c>
      <c r="F73" s="24">
        <f t="shared" ref="F73:M73" si="61">SUM(F69:F72)</f>
        <v>0.37342029933209031</v>
      </c>
      <c r="G73" s="24">
        <f t="shared" si="61"/>
        <v>0.19368499337624245</v>
      </c>
      <c r="H73" s="24">
        <f t="shared" si="61"/>
        <v>1.1590930087333176E-3</v>
      </c>
      <c r="I73" s="24">
        <f t="shared" si="61"/>
        <v>7.6583698736180685E-3</v>
      </c>
      <c r="J73" s="24">
        <f t="shared" si="61"/>
        <v>6.815949187520081E-3</v>
      </c>
      <c r="K73" s="552">
        <f t="shared" si="61"/>
        <v>101.05337987189901</v>
      </c>
      <c r="L73" s="24">
        <f t="shared" si="61"/>
        <v>5.1010787291963944E-3</v>
      </c>
      <c r="M73" s="24">
        <f t="shared" si="61"/>
        <v>1.8400074370743029E-2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37"/>
      <c r="B74" s="36"/>
      <c r="C74" s="20"/>
      <c r="D74" s="1"/>
      <c r="E74" s="30"/>
      <c r="F74" s="30"/>
      <c r="G74" s="30"/>
      <c r="H74" s="30"/>
      <c r="I74" s="30"/>
      <c r="J74" s="30"/>
      <c r="K74" s="551"/>
      <c r="L74" s="30"/>
      <c r="M74" s="30"/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2" t="str">
        <f t="shared" ref="A75:A80" si="62">A29</f>
        <v>Trans: Talega Hub to Talega Substation - Steel Structure Installations</v>
      </c>
      <c r="B75" s="36"/>
      <c r="C75" s="20"/>
      <c r="D75" s="1"/>
      <c r="E75" s="30"/>
      <c r="F75" s="30"/>
      <c r="G75" s="30"/>
      <c r="H75" s="30"/>
      <c r="I75" s="30"/>
      <c r="J75" s="30"/>
      <c r="K75" s="551"/>
      <c r="L75" s="30"/>
      <c r="M75" s="30"/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37" t="str">
        <f t="shared" si="62"/>
        <v>2-ton Flatbed Truck</v>
      </c>
      <c r="B76" s="36"/>
      <c r="C76" s="20"/>
      <c r="D76" s="1"/>
      <c r="E76" s="30">
        <f t="shared" ref="E76:M78" si="63">(Q30*$P30)/2000</f>
        <v>6.615783597903691E-3</v>
      </c>
      <c r="F76" s="30">
        <f t="shared" si="63"/>
        <v>4.3150090164210619E-2</v>
      </c>
      <c r="G76" s="30">
        <f t="shared" si="63"/>
        <v>3.0981596275117141E-2</v>
      </c>
      <c r="H76" s="30">
        <f t="shared" si="63"/>
        <v>2.0613134156983857E-4</v>
      </c>
      <c r="I76" s="30">
        <f t="shared" si="63"/>
        <v>1.1143228858663168E-3</v>
      </c>
      <c r="J76" s="30">
        <f t="shared" si="63"/>
        <v>9.9174736842102206E-4</v>
      </c>
      <c r="K76" s="551">
        <f t="shared" si="63"/>
        <v>18.319994820233763</v>
      </c>
      <c r="L76" s="30">
        <f t="shared" si="63"/>
        <v>9.2030946480056372E-4</v>
      </c>
      <c r="M76" s="30">
        <f t="shared" si="63"/>
        <v>2.9432516461361281E-3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62"/>
        <v>Crane</v>
      </c>
      <c r="B77" s="36"/>
      <c r="C77" s="20"/>
      <c r="D77" s="1"/>
      <c r="E77" s="30">
        <f t="shared" si="63"/>
        <v>2.3835989135800706E-2</v>
      </c>
      <c r="F77" s="30">
        <f t="shared" si="63"/>
        <v>0.15593853733710986</v>
      </c>
      <c r="G77" s="30">
        <f t="shared" si="63"/>
        <v>0.12889913574368952</v>
      </c>
      <c r="H77" s="30">
        <f t="shared" si="63"/>
        <v>5.8335850935374133E-4</v>
      </c>
      <c r="I77" s="30">
        <f t="shared" si="63"/>
        <v>4.8728237728665373E-3</v>
      </c>
      <c r="J77" s="30">
        <f t="shared" si="63"/>
        <v>4.3368131578512183E-3</v>
      </c>
      <c r="K77" s="551">
        <f t="shared" si="63"/>
        <v>59.433417874687919</v>
      </c>
      <c r="L77" s="30">
        <f t="shared" si="63"/>
        <v>3.237999305411768E-3</v>
      </c>
      <c r="M77" s="30">
        <f t="shared" si="63"/>
        <v>1.2245417895650507E-2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62"/>
        <v>Manlift</v>
      </c>
      <c r="B78" s="36"/>
      <c r="C78" s="20"/>
      <c r="D78" s="1"/>
      <c r="E78" s="30">
        <f t="shared" si="63"/>
        <v>2.1832712386111681E-2</v>
      </c>
      <c r="F78" s="30">
        <f t="shared" si="63"/>
        <v>0.27646820614958806</v>
      </c>
      <c r="G78" s="30">
        <f t="shared" si="63"/>
        <v>0.15313261110832491</v>
      </c>
      <c r="H78" s="30">
        <f t="shared" si="63"/>
        <v>5.8951462424401441E-4</v>
      </c>
      <c r="I78" s="30">
        <f t="shared" si="63"/>
        <v>8.9082306913933103E-3</v>
      </c>
      <c r="J78" s="30">
        <f t="shared" si="63"/>
        <v>7.9283253153400474E-3</v>
      </c>
      <c r="K78" s="551">
        <f t="shared" si="63"/>
        <v>50.254793354097586</v>
      </c>
      <c r="L78" s="30">
        <f t="shared" si="63"/>
        <v>3.0851973075264102E-3</v>
      </c>
      <c r="M78" s="30">
        <f t="shared" si="63"/>
        <v>1.4547598055290869E-2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62"/>
        <v>Air Compressor</v>
      </c>
      <c r="B79" s="36"/>
      <c r="C79" s="20"/>
      <c r="D79" s="1"/>
      <c r="E79" s="30">
        <f t="shared" ref="E79" si="64">(Q33*$P33)/2000</f>
        <v>2.629845682824122E-2</v>
      </c>
      <c r="F79" s="30">
        <f t="shared" ref="F79" si="65">(R33*$P33)/2000</f>
        <v>0.40244777862182785</v>
      </c>
      <c r="G79" s="30">
        <f t="shared" ref="G79" si="66">(S33*$P33)/2000</f>
        <v>0.34301160715143086</v>
      </c>
      <c r="H79" s="30">
        <f t="shared" ref="H79" si="67">(T33*$P33)/2000</f>
        <v>3.8004355246681426E-4</v>
      </c>
      <c r="I79" s="30">
        <f t="shared" ref="I79" si="68">(U33*$P33)/2000</f>
        <v>7.868580391255953E-3</v>
      </c>
      <c r="J79" s="30">
        <f t="shared" ref="J79" si="69">(V33*$P33)/2000</f>
        <v>7.0030365482177991E-3</v>
      </c>
      <c r="K79" s="551">
        <f t="shared" ref="K79" si="70">(W33*$P33)/2000</f>
        <v>29.398060187930227</v>
      </c>
      <c r="L79" s="30">
        <f t="shared" ref="L79" si="71">(X33*$P33)/2000</f>
        <v>4.7457367100101058E-3</v>
      </c>
      <c r="M79" s="30">
        <f t="shared" ref="M79" si="72">(Y33*$P33)/2000</f>
        <v>3.2586102679385928E-2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2" t="str">
        <f t="shared" si="62"/>
        <v>Subtotal</v>
      </c>
      <c r="B80" s="36"/>
      <c r="C80" s="20"/>
      <c r="D80" s="1"/>
      <c r="E80" s="24">
        <f>SUM(E76:E79)</f>
        <v>7.8582941948057303E-2</v>
      </c>
      <c r="F80" s="24">
        <f t="shared" ref="F80:M80" si="73">SUM(F76:F79)</f>
        <v>0.8780046122727363</v>
      </c>
      <c r="G80" s="24">
        <f t="shared" si="73"/>
        <v>0.65602495027856245</v>
      </c>
      <c r="H80" s="24">
        <f t="shared" si="73"/>
        <v>1.7590480276344085E-3</v>
      </c>
      <c r="I80" s="24">
        <f t="shared" si="73"/>
        <v>2.2763957741382117E-2</v>
      </c>
      <c r="J80" s="24">
        <f t="shared" si="73"/>
        <v>2.0259922389830088E-2</v>
      </c>
      <c r="K80" s="552">
        <f t="shared" si="73"/>
        <v>157.40626623694948</v>
      </c>
      <c r="L80" s="24">
        <f t="shared" si="73"/>
        <v>1.1989242787748848E-2</v>
      </c>
      <c r="M80" s="24">
        <f t="shared" si="73"/>
        <v>6.232237027646343E-2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37"/>
      <c r="B81" s="36"/>
      <c r="C81" s="20"/>
      <c r="D81" s="1"/>
      <c r="E81" s="30"/>
      <c r="F81" s="30"/>
      <c r="G81" s="30"/>
      <c r="H81" s="30"/>
      <c r="I81" s="30"/>
      <c r="J81" s="30"/>
      <c r="K81" s="551"/>
      <c r="L81" s="30"/>
      <c r="M81" s="30"/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2" t="str">
        <f t="shared" ref="A82:A87" si="74">A36</f>
        <v>Trans: Talega Hub to Talega Substation - Cable/Conductor Pulling and Tensioning</v>
      </c>
      <c r="B82" s="36"/>
      <c r="C82" s="20"/>
      <c r="D82" s="1"/>
      <c r="E82" s="30"/>
      <c r="F82" s="30"/>
      <c r="G82" s="30"/>
      <c r="H82" s="30"/>
      <c r="I82" s="30"/>
      <c r="J82" s="30"/>
      <c r="K82" s="551"/>
      <c r="L82" s="30"/>
      <c r="M82" s="30"/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 t="str">
        <f t="shared" si="74"/>
        <v>Manlift</v>
      </c>
      <c r="B83" s="36"/>
      <c r="C83" s="20"/>
      <c r="D83" s="1"/>
      <c r="E83" s="30">
        <f t="shared" ref="E83:M86" si="75">(Q37*$P37)/2000</f>
        <v>6.5498137158335051E-3</v>
      </c>
      <c r="F83" s="30">
        <f t="shared" si="75"/>
        <v>8.2940461844876426E-2</v>
      </c>
      <c r="G83" s="30">
        <f t="shared" si="75"/>
        <v>4.5939783332497479E-2</v>
      </c>
      <c r="H83" s="30">
        <f t="shared" si="75"/>
        <v>1.7685438727320436E-4</v>
      </c>
      <c r="I83" s="30">
        <f t="shared" si="75"/>
        <v>2.6724692074179936E-3</v>
      </c>
      <c r="J83" s="30">
        <f t="shared" si="75"/>
        <v>2.3784975946020141E-3</v>
      </c>
      <c r="K83" s="551">
        <f t="shared" si="75"/>
        <v>15.076438006229276</v>
      </c>
      <c r="L83" s="30">
        <f t="shared" si="75"/>
        <v>9.2555919225792308E-4</v>
      </c>
      <c r="M83" s="30">
        <f t="shared" si="75"/>
        <v>4.3642794165872616E-3</v>
      </c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37" t="str">
        <f t="shared" si="74"/>
        <v>Puller and Tensioner</v>
      </c>
      <c r="B84" s="36"/>
      <c r="C84" s="20"/>
      <c r="D84" s="1"/>
      <c r="E84" s="30">
        <f t="shared" si="75"/>
        <v>2.7741388177813808E-2</v>
      </c>
      <c r="F84" s="30">
        <f t="shared" si="75"/>
        <v>0.21359053429923641</v>
      </c>
      <c r="G84" s="30">
        <f t="shared" si="75"/>
        <v>0.13659149856698993</v>
      </c>
      <c r="H84" s="30">
        <f t="shared" si="75"/>
        <v>9.8819192427121601E-4</v>
      </c>
      <c r="I84" s="30">
        <f t="shared" si="75"/>
        <v>5.0287778566095722E-3</v>
      </c>
      <c r="J84" s="30">
        <f t="shared" si="75"/>
        <v>4.4756122923825187E-3</v>
      </c>
      <c r="K84" s="551">
        <f t="shared" si="75"/>
        <v>100.6784582957727</v>
      </c>
      <c r="L84" s="30">
        <f t="shared" si="75"/>
        <v>3.6166046199814579E-3</v>
      </c>
      <c r="M84" s="30">
        <f t="shared" si="75"/>
        <v>1.2976192363864048E-2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 t="shared" si="74"/>
        <v>Reel Trailer</v>
      </c>
      <c r="B85" s="36"/>
      <c r="C85" s="20"/>
      <c r="D85" s="1"/>
      <c r="E85" s="30">
        <f t="shared" si="75"/>
        <v>2.7741388177813808E-2</v>
      </c>
      <c r="F85" s="30">
        <f t="shared" si="75"/>
        <v>0.21359053429923641</v>
      </c>
      <c r="G85" s="30">
        <f t="shared" si="75"/>
        <v>0.13659149856698993</v>
      </c>
      <c r="H85" s="30">
        <f t="shared" si="75"/>
        <v>9.8819192427121601E-4</v>
      </c>
      <c r="I85" s="30">
        <f t="shared" si="75"/>
        <v>5.0287778566095722E-3</v>
      </c>
      <c r="J85" s="30">
        <f t="shared" si="75"/>
        <v>4.4756122923825187E-3</v>
      </c>
      <c r="K85" s="551">
        <f t="shared" si="75"/>
        <v>100.6784582957727</v>
      </c>
      <c r="L85" s="30">
        <f t="shared" si="75"/>
        <v>3.6166046199814579E-3</v>
      </c>
      <c r="M85" s="30">
        <f t="shared" si="75"/>
        <v>1.2976192363864048E-2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 t="shared" si="74"/>
        <v>Splice Trailer</v>
      </c>
      <c r="B86" s="36"/>
      <c r="C86" s="20"/>
      <c r="D86" s="1"/>
      <c r="E86" s="30">
        <f t="shared" si="75"/>
        <v>1.3870694088906904E-2</v>
      </c>
      <c r="F86" s="30">
        <f t="shared" si="75"/>
        <v>0.10679526714961821</v>
      </c>
      <c r="G86" s="30">
        <f t="shared" si="75"/>
        <v>6.8295749283494966E-2</v>
      </c>
      <c r="H86" s="30">
        <f t="shared" si="75"/>
        <v>4.9409596213560801E-4</v>
      </c>
      <c r="I86" s="30">
        <f t="shared" si="75"/>
        <v>2.5143889283047861E-3</v>
      </c>
      <c r="J86" s="30">
        <f t="shared" si="75"/>
        <v>2.2378061461912594E-3</v>
      </c>
      <c r="K86" s="551">
        <f t="shared" si="75"/>
        <v>50.33922914788635</v>
      </c>
      <c r="L86" s="30">
        <f t="shared" si="75"/>
        <v>1.808302309990729E-3</v>
      </c>
      <c r="M86" s="30">
        <f t="shared" si="75"/>
        <v>6.4880961819320238E-3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2" t="str">
        <f t="shared" si="74"/>
        <v>Subtotal</v>
      </c>
      <c r="B87" s="36"/>
      <c r="C87" s="20"/>
      <c r="D87" s="1"/>
      <c r="E87" s="24">
        <f>SUM(E83:E86)</f>
        <v>7.5903284160368026E-2</v>
      </c>
      <c r="F87" s="24">
        <f t="shared" ref="F87:M87" si="76">SUM(F83:F86)</f>
        <v>0.61691679759296747</v>
      </c>
      <c r="G87" s="24">
        <f t="shared" si="76"/>
        <v>0.38741852974997232</v>
      </c>
      <c r="H87" s="24">
        <f t="shared" si="76"/>
        <v>2.6473341979512443E-3</v>
      </c>
      <c r="I87" s="24">
        <f t="shared" si="76"/>
        <v>1.5244413848941925E-2</v>
      </c>
      <c r="J87" s="24">
        <f t="shared" si="76"/>
        <v>1.3567528325558312E-2</v>
      </c>
      <c r="K87" s="552">
        <f t="shared" si="76"/>
        <v>266.772583745661</v>
      </c>
      <c r="L87" s="24">
        <f t="shared" si="76"/>
        <v>9.967070742211568E-3</v>
      </c>
      <c r="M87" s="24">
        <f t="shared" si="76"/>
        <v>3.6804760326247382E-2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37"/>
      <c r="B88" s="36"/>
      <c r="C88" s="20"/>
      <c r="D88" s="1"/>
      <c r="E88" s="30"/>
      <c r="F88" s="30"/>
      <c r="G88" s="30"/>
      <c r="H88" s="30"/>
      <c r="I88" s="30"/>
      <c r="J88" s="30"/>
      <c r="K88" s="551"/>
      <c r="L88" s="30"/>
      <c r="M88" s="30"/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2" t="str">
        <f t="shared" ref="A89:A95" si="77">A43</f>
        <v>Trans: Talega Hub to Talega Substation - Removal of Wood Pole Structures</v>
      </c>
      <c r="B89" s="36"/>
      <c r="C89" s="20"/>
      <c r="D89" s="1"/>
      <c r="E89" s="30"/>
      <c r="F89" s="30"/>
      <c r="G89" s="30"/>
      <c r="H89" s="30"/>
      <c r="I89" s="30"/>
      <c r="J89" s="30"/>
      <c r="K89" s="551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37" t="str">
        <f t="shared" si="77"/>
        <v>2-ton Flatbed Truck</v>
      </c>
      <c r="B90" s="36"/>
      <c r="C90" s="20"/>
      <c r="D90" s="1"/>
      <c r="E90" s="30">
        <f t="shared" ref="E90:M94" si="78">(Q44*$P44)/2000</f>
        <v>5.2926268783229534E-3</v>
      </c>
      <c r="F90" s="30">
        <f t="shared" si="78"/>
        <v>3.4520072131368491E-2</v>
      </c>
      <c r="G90" s="30">
        <f t="shared" si="78"/>
        <v>2.4785277020093713E-2</v>
      </c>
      <c r="H90" s="30">
        <f t="shared" si="78"/>
        <v>1.6490507325587085E-4</v>
      </c>
      <c r="I90" s="30">
        <f t="shared" si="78"/>
        <v>8.9145830869305346E-4</v>
      </c>
      <c r="J90" s="30">
        <f t="shared" si="78"/>
        <v>7.9339789473681756E-4</v>
      </c>
      <c r="K90" s="551">
        <f t="shared" si="78"/>
        <v>14.655995856187008</v>
      </c>
      <c r="L90" s="30">
        <f t="shared" si="78"/>
        <v>7.3624757184045095E-4</v>
      </c>
      <c r="M90" s="30">
        <f t="shared" si="78"/>
        <v>2.3546013169089028E-3</v>
      </c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77"/>
        <v>Manlift</v>
      </c>
      <c r="B91" s="36"/>
      <c r="C91" s="20"/>
      <c r="D91" s="1"/>
      <c r="E91" s="30">
        <f t="shared" si="78"/>
        <v>4.3665424772223365E-3</v>
      </c>
      <c r="F91" s="30">
        <f t="shared" si="78"/>
        <v>5.5293641229917617E-2</v>
      </c>
      <c r="G91" s="30">
        <f t="shared" si="78"/>
        <v>3.0626522221664985E-2</v>
      </c>
      <c r="H91" s="30">
        <f t="shared" si="78"/>
        <v>1.179029248488029E-4</v>
      </c>
      <c r="I91" s="30">
        <f t="shared" si="78"/>
        <v>1.7816461382786622E-3</v>
      </c>
      <c r="J91" s="30">
        <f t="shared" si="78"/>
        <v>1.5856650630680094E-3</v>
      </c>
      <c r="K91" s="551">
        <f t="shared" si="78"/>
        <v>10.050958670819519</v>
      </c>
      <c r="L91" s="30">
        <f t="shared" si="78"/>
        <v>6.1703946150528201E-4</v>
      </c>
      <c r="M91" s="30">
        <f t="shared" si="78"/>
        <v>2.9095196110581743E-3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77"/>
        <v>Chainsaw</v>
      </c>
      <c r="B92" s="36"/>
      <c r="C92" s="20"/>
      <c r="D92" s="1"/>
      <c r="E92" s="30">
        <f t="shared" si="78"/>
        <v>1.4031690485753225E-3</v>
      </c>
      <c r="F92" s="30">
        <f t="shared" si="78"/>
        <v>1.2337282853519108E-2</v>
      </c>
      <c r="G92" s="30">
        <f t="shared" si="78"/>
        <v>1.2921106344842316E-2</v>
      </c>
      <c r="H92" s="30">
        <f t="shared" si="78"/>
        <v>1.4757810167992119E-5</v>
      </c>
      <c r="I92" s="30">
        <f t="shared" si="78"/>
        <v>2.1407209302214852E-4</v>
      </c>
      <c r="J92" s="30">
        <f t="shared" si="78"/>
        <v>1.9052416278971221E-4</v>
      </c>
      <c r="K92" s="551">
        <f t="shared" si="78"/>
        <v>1.1631216450026534</v>
      </c>
      <c r="L92" s="30">
        <f t="shared" si="78"/>
        <v>1.2660571094721924E-4</v>
      </c>
      <c r="M92" s="30">
        <f t="shared" si="78"/>
        <v>1.2275051027600202E-3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77"/>
        <v>Loader</v>
      </c>
      <c r="B93" s="36"/>
      <c r="C93" s="20"/>
      <c r="D93" s="1"/>
      <c r="E93" s="30">
        <f t="shared" si="78"/>
        <v>4.7093886828009981E-3</v>
      </c>
      <c r="F93" s="30">
        <f t="shared" si="78"/>
        <v>2.9264339971732264E-2</v>
      </c>
      <c r="G93" s="30">
        <f t="shared" si="78"/>
        <v>2.697857105168357E-2</v>
      </c>
      <c r="H93" s="30">
        <f t="shared" si="78"/>
        <v>1.4750939179222216E-4</v>
      </c>
      <c r="I93" s="30">
        <f t="shared" si="78"/>
        <v>9.5910930561933711E-4</v>
      </c>
      <c r="J93" s="30">
        <f t="shared" si="78"/>
        <v>8.5360728200121019E-4</v>
      </c>
      <c r="K93" s="551">
        <f t="shared" si="78"/>
        <v>13.109945915914453</v>
      </c>
      <c r="L93" s="30">
        <f t="shared" si="78"/>
        <v>6.7339468171443817E-4</v>
      </c>
      <c r="M93" s="30">
        <f t="shared" si="78"/>
        <v>2.5629642499099396E-3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77"/>
        <v>Crane</v>
      </c>
      <c r="B94" s="36"/>
      <c r="C94" s="20"/>
      <c r="D94" s="1"/>
      <c r="E94" s="30">
        <f t="shared" si="78"/>
        <v>6.3562637695468551E-3</v>
      </c>
      <c r="F94" s="30">
        <f t="shared" si="78"/>
        <v>4.1583609956562628E-2</v>
      </c>
      <c r="G94" s="30">
        <f t="shared" si="78"/>
        <v>3.4373102864983879E-2</v>
      </c>
      <c r="H94" s="30">
        <f t="shared" si="78"/>
        <v>1.5556226916099773E-4</v>
      </c>
      <c r="I94" s="30">
        <f t="shared" si="78"/>
        <v>1.2994196727644102E-3</v>
      </c>
      <c r="J94" s="30">
        <f t="shared" si="78"/>
        <v>1.1564835087603249E-3</v>
      </c>
      <c r="K94" s="551">
        <f t="shared" si="78"/>
        <v>15.848911433250112</v>
      </c>
      <c r="L94" s="30">
        <f t="shared" si="78"/>
        <v>8.6346648144313819E-4</v>
      </c>
      <c r="M94" s="30">
        <f t="shared" si="78"/>
        <v>3.2654447721734686E-3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44" t="str">
        <f t="shared" si="77"/>
        <v>Subtotal</v>
      </c>
      <c r="B95" s="178"/>
      <c r="C95" s="179"/>
      <c r="D95" s="1"/>
      <c r="E95" s="180">
        <f>SUM(E90:E94)</f>
        <v>2.2127990856468462E-2</v>
      </c>
      <c r="F95" s="180">
        <f t="shared" ref="F95:M95" si="79">SUM(F90:F94)</f>
        <v>0.1729989461431001</v>
      </c>
      <c r="G95" s="180">
        <f t="shared" si="79"/>
        <v>0.12968457950326845</v>
      </c>
      <c r="H95" s="180">
        <f t="shared" si="79"/>
        <v>6.006374692258858E-4</v>
      </c>
      <c r="I95" s="180">
        <f t="shared" si="79"/>
        <v>5.1457055183776121E-3</v>
      </c>
      <c r="J95" s="180">
        <f t="shared" si="79"/>
        <v>4.5796779113560747E-3</v>
      </c>
      <c r="K95" s="553">
        <f t="shared" si="79"/>
        <v>54.828933521173752</v>
      </c>
      <c r="L95" s="180">
        <f t="shared" si="79"/>
        <v>3.0167539074505284E-3</v>
      </c>
      <c r="M95" s="180">
        <f t="shared" si="79"/>
        <v>1.2320035052810506E-2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x14ac:dyDescent="0.25">
      <c r="A96" s="19" t="s">
        <v>638</v>
      </c>
      <c r="B96" s="158"/>
      <c r="C96" s="158"/>
      <c r="D96" s="158"/>
      <c r="E96" s="22">
        <f>E73+E80+E87+E95</f>
        <v>0.21318171772752084</v>
      </c>
      <c r="F96" s="22">
        <f t="shared" ref="F96:M96" si="80">F73+F80+F87+F95</f>
        <v>2.0413406553408944</v>
      </c>
      <c r="G96" s="22">
        <f t="shared" si="80"/>
        <v>1.3668130529080456</v>
      </c>
      <c r="H96" s="22">
        <f t="shared" si="80"/>
        <v>6.1661127035448566E-3</v>
      </c>
      <c r="I96" s="22">
        <f t="shared" si="80"/>
        <v>5.0812446982319723E-2</v>
      </c>
      <c r="J96" s="22">
        <f t="shared" si="80"/>
        <v>4.5223077814264559E-2</v>
      </c>
      <c r="K96" s="22">
        <f t="shared" si="80"/>
        <v>580.06116337568324</v>
      </c>
      <c r="L96" s="22">
        <f t="shared" si="80"/>
        <v>3.0074146166607339E-2</v>
      </c>
      <c r="M96" s="22">
        <f t="shared" si="80"/>
        <v>0.12984724002626435</v>
      </c>
    </row>
  </sheetData>
  <mergeCells count="3">
    <mergeCell ref="E3:L3"/>
    <mergeCell ref="Q3:X3"/>
    <mergeCell ref="E51:L51"/>
  </mergeCells>
  <pageMargins left="0.75" right="0.75" top="1" bottom="1" header="0.5" footer="0.5"/>
  <pageSetup scale="33" orientation="landscape" r:id="rId1"/>
  <headerFooter alignWithMargins="0">
    <oddHeader xml:space="preserve">&amp;CTable A-1
Construction Heavy Equipment Emissions
South Orange County Reliability Project
Segment 4: Talega Hub to Talega Substation 69kV/138kV
</oddHeader>
    <oddFooter>&amp;CA-1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29"/>
  <sheetViews>
    <sheetView topLeftCell="A31" zoomScale="75" zoomScaleNormal="75" workbookViewId="0">
      <selection activeCell="B65" sqref="B65"/>
    </sheetView>
  </sheetViews>
  <sheetFormatPr defaultRowHeight="13.2" x14ac:dyDescent="0.25"/>
  <cols>
    <col min="1" max="1" width="56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621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46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221</v>
      </c>
      <c r="B7" s="115">
        <v>2017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163</v>
      </c>
      <c r="B8" s="115">
        <v>2017</v>
      </c>
      <c r="C8" s="25">
        <v>75</v>
      </c>
      <c r="D8" s="134">
        <v>0.31</v>
      </c>
      <c r="E8" s="546">
        <f>VLOOKUP($A8,EFROGS!$A$1:$J$44,(IF($B8=2015,4,IF($B8=2016,5,IF($B8=2017,6,IF($B8=2018,7,IF($B8=2019,8,IF($B8=2020,9,0))))))),FALSE)</f>
        <v>3.0893954987389453E-2</v>
      </c>
      <c r="F8" s="546">
        <f>VLOOKUP($A8,EFCOS!$A$1:$J$44,(IF($B8=2015,4,IF($B8=2016,5,IF($B8=2017,6,IF($B8=2018,7,IF($B8=2019,8,IF($B8=2020,9,0))))))),FALSE)</f>
        <v>0.22482241351057566</v>
      </c>
      <c r="G8" s="546">
        <f>VLOOKUP($A8,EFNOXS!$A$1:$J$44,(IF($B8=2015,4,IF($B8=2016,5,IF($B8=2017,6,IF($B8=2018,7,IF($B8=2019,8,IF($B8=2020,9,0))))))),FALSE)</f>
        <v>0.22603586731633477</v>
      </c>
      <c r="H8" s="546">
        <f>VLOOKUP($A8,EFSOXS!$A$1:$J$44,(IF($B8=2015,4,IF($B8=2016,5,IF($B8=2017,6,IF($B8=2018,7,IF($B8=2019,8,IF($B8=2020,9,0))))))),FALSE)</f>
        <v>4.4660191069222039E-4</v>
      </c>
      <c r="I8" s="546">
        <f>VLOOKUP($A8,EFPMS!$A$1:$J$44,(IF($B8=2015,4,IF($B8=2016,5,IF($B8=2017,6,IF($B8=2018,7,IF($B8=2019,8,IF($B8=2020,9,0))))))),FALSE)</f>
        <v>1.5650220264446981E-2</v>
      </c>
      <c r="J8" s="536">
        <f t="shared" ref="J8:J11" si="0">0.89*I8</f>
        <v>1.3928696035357813E-2</v>
      </c>
      <c r="K8" s="549">
        <f>VLOOKUP($A8,EFCO2S!$A$1:$J$44,(IF($B8=2015,4,IF($B8=2016,5,IF($B8=2017,6,IF($B8=2018,7,IF($B8=2019,8,IF($B8=2020,9,0))))))),FALSE)</f>
        <v>38.071819829304054</v>
      </c>
      <c r="L8" s="546">
        <f>VLOOKUP($A8,EFCH4S!$A$1:$J$44,(IF($B8=2015,4,IF($B8=2016,5,IF($B8=2017,6,IF($B8=2018,7,IF($B8=2019,8,IF($B8=2020,9,0))))))),FALSE)</f>
        <v>3.3225215947608622E-3</v>
      </c>
      <c r="M8" s="540">
        <f t="shared" ref="M8:M11" si="1">0.095*G8</f>
        <v>2.1473407395051804E-2</v>
      </c>
      <c r="N8" s="135">
        <v>2</v>
      </c>
      <c r="O8" s="135">
        <v>6</v>
      </c>
      <c r="P8" s="136">
        <f>2*22</f>
        <v>44</v>
      </c>
      <c r="Q8" s="39">
        <f t="shared" ref="Q8" si="2">(E8*$N8*$O8)</f>
        <v>0.37072745984867345</v>
      </c>
      <c r="R8" s="29">
        <f t="shared" ref="R8" si="3">(F8*$N8*$O8)</f>
        <v>2.6978689621269081</v>
      </c>
      <c r="S8" s="29">
        <f t="shared" ref="S8" si="4">(G8*$N8*$O8)</f>
        <v>2.7124304077960173</v>
      </c>
      <c r="T8" s="29">
        <f t="shared" ref="T8" si="5">(H8*$N8*$O8)</f>
        <v>5.3592229283066445E-3</v>
      </c>
      <c r="U8" s="29">
        <f t="shared" ref="U8" si="6">(I8*$N8*$O8)</f>
        <v>0.18780264317336376</v>
      </c>
      <c r="V8" s="29">
        <f t="shared" ref="V8" si="7">(J8*$N8*$O8)</f>
        <v>0.16714435242429376</v>
      </c>
      <c r="W8" s="29">
        <f t="shared" ref="W8" si="8">(K8*$N8*$O8)</f>
        <v>456.86183795164868</v>
      </c>
      <c r="X8" s="29">
        <f t="shared" ref="X8" si="9">(L8*$N8*$O8)</f>
        <v>3.9870259137130347E-2</v>
      </c>
      <c r="Y8" s="29">
        <f t="shared" ref="Y8" si="10">(M8*$N8*$O8)</f>
        <v>0.25768088874062167</v>
      </c>
    </row>
    <row r="9" spans="1:25" s="3" customFormat="1" x14ac:dyDescent="0.25">
      <c r="A9" s="27" t="s">
        <v>205</v>
      </c>
      <c r="B9" s="115">
        <v>2017</v>
      </c>
      <c r="C9" s="25">
        <v>235</v>
      </c>
      <c r="D9" s="134">
        <v>0.38</v>
      </c>
      <c r="E9" s="546">
        <f>VLOOKUP($A9,EFROGS!$A$1:$J$44,(IF($B9=2015,4,IF($B9=2016,5,IF($B9=2017,6,IF($B9=2018,7,IF($B9=2019,8,IF($B9=2020,9,0))))))),FALSE)</f>
        <v>9.421440608486395E-2</v>
      </c>
      <c r="F9" s="546">
        <f>VLOOKUP($A9,EFCOS!$A$1:$J$44,(IF($B9=2015,4,IF($B9=2016,5,IF($B9=2017,6,IF($B9=2018,7,IF($B9=2019,8,IF($B9=2020,9,0))))))),FALSE)</f>
        <v>0.37529505031298893</v>
      </c>
      <c r="G9" s="546">
        <f>VLOOKUP($A9,EFNOXS!$A$1:$J$44,(IF($B9=2015,4,IF($B9=2016,5,IF($B9=2017,6,IF($B9=2018,7,IF($B9=2019,8,IF($B9=2020,9,0))))))),FALSE)</f>
        <v>0.6218287156698552</v>
      </c>
      <c r="H9" s="546">
        <f>VLOOKUP($A9,EFSOXS!$A$1:$J$44,(IF($B9=2015,4,IF($B9=2016,5,IF($B9=2017,6,IF($B9=2018,7,IF($B9=2019,8,IF($B9=2020,9,0))))))),FALSE)</f>
        <v>1.8739208211501423E-3</v>
      </c>
      <c r="I9" s="546">
        <f>VLOOKUP($A9,EFPMS!$A$1:$J$44,(IF($B9=2015,4,IF($B9=2016,5,IF($B9=2017,6,IF($B9=2018,7,IF($B9=2019,8,IF($B9=2020,9,0))))))),FALSE)</f>
        <v>2.1102200758240576E-2</v>
      </c>
      <c r="J9" s="536">
        <f t="shared" si="0"/>
        <v>1.8780958674834113E-2</v>
      </c>
      <c r="K9" s="549">
        <f>VLOOKUP($A9,EFCO2S!$A$1:$J$44,(IF($B9=2015,4,IF($B9=2016,5,IF($B9=2017,6,IF($B9=2018,7,IF($B9=2019,8,IF($B9=2020,9,0))))))),FALSE)</f>
        <v>166.54536773790227</v>
      </c>
      <c r="L9" s="546">
        <f>VLOOKUP($A9,EFCH4S!$A$1:$J$44,(IF($B9=2015,4,IF($B9=2016,5,IF($B9=2017,6,IF($B9=2018,7,IF($B9=2019,8,IF($B9=2020,9,0))))))),FALSE)</f>
        <v>1.0004303079381925E-2</v>
      </c>
      <c r="M9" s="540">
        <f t="shared" si="1"/>
        <v>5.9073727988636242E-2</v>
      </c>
      <c r="N9" s="108">
        <v>5</v>
      </c>
      <c r="O9" s="108">
        <v>3</v>
      </c>
      <c r="P9" s="109">
        <v>22</v>
      </c>
      <c r="Q9" s="39">
        <f t="shared" ref="Q9" si="11">(E9*$N9*$O9)</f>
        <v>1.4132160912729592</v>
      </c>
      <c r="R9" s="29">
        <f t="shared" ref="R9" si="12">(F9*$N9*$O9)</f>
        <v>5.6294257546948341</v>
      </c>
      <c r="S9" s="29">
        <f t="shared" ref="S9" si="13">(G9*$N9*$O9)</f>
        <v>9.3274307350478285</v>
      </c>
      <c r="T9" s="29">
        <f t="shared" ref="T9" si="14">(H9*$N9*$O9)</f>
        <v>2.8108812317252138E-2</v>
      </c>
      <c r="U9" s="29">
        <f t="shared" ref="U9" si="15">(I9*$N9*$O9)</f>
        <v>0.31653301137360862</v>
      </c>
      <c r="V9" s="29">
        <f t="shared" ref="V9" si="16">(J9*$N9*$O9)</f>
        <v>0.28171438012251171</v>
      </c>
      <c r="W9" s="29">
        <f t="shared" ref="W9" si="17">(K9*$N9*$O9)</f>
        <v>2498.1805160685344</v>
      </c>
      <c r="X9" s="29">
        <f t="shared" ref="X9" si="18">(L9*$N9*$O9)</f>
        <v>0.15006454619072887</v>
      </c>
      <c r="Y9" s="29">
        <f t="shared" ref="Y9" si="19">(M9*$N9*$O9)</f>
        <v>0.88610591982954356</v>
      </c>
    </row>
    <row r="10" spans="1:25" s="3" customFormat="1" x14ac:dyDescent="0.25">
      <c r="A10" s="37" t="s">
        <v>61</v>
      </c>
      <c r="B10" s="115">
        <v>2017</v>
      </c>
      <c r="C10" s="25">
        <v>235</v>
      </c>
      <c r="D10" s="134">
        <v>0.38</v>
      </c>
      <c r="E10" s="546">
        <f>VLOOKUP($A10,EFROGS!$A$1:$J$44,(IF($B10=2015,4,IF($B10=2016,5,IF($B10=2017,6,IF($B10=2018,7,IF($B10=2019,8,IF($B10=2020,9,0))))))),FALSE)</f>
        <v>9.421440608486395E-2</v>
      </c>
      <c r="F10" s="546">
        <f>VLOOKUP($A10,EFCOS!$A$1:$J$44,(IF($B10=2015,4,IF($B10=2016,5,IF($B10=2017,6,IF($B10=2018,7,IF($B10=2019,8,IF($B10=2020,9,0))))))),FALSE)</f>
        <v>0.37529505031298893</v>
      </c>
      <c r="G10" s="546">
        <f>VLOOKUP($A10,EFNOXS!$A$1:$J$44,(IF($B10=2015,4,IF($B10=2016,5,IF($B10=2017,6,IF($B10=2018,7,IF($B10=2019,8,IF($B10=2020,9,0))))))),FALSE)</f>
        <v>0.6218287156698552</v>
      </c>
      <c r="H10" s="546">
        <f>VLOOKUP($A10,EFSOXS!$A$1:$J$44,(IF($B10=2015,4,IF($B10=2016,5,IF($B10=2017,6,IF($B10=2018,7,IF($B10=2019,8,IF($B10=2020,9,0))))))),FALSE)</f>
        <v>1.8739208211501423E-3</v>
      </c>
      <c r="I10" s="546">
        <f>VLOOKUP($A10,EFPMS!$A$1:$J$44,(IF($B10=2015,4,IF($B10=2016,5,IF($B10=2017,6,IF($B10=2018,7,IF($B10=2019,8,IF($B10=2020,9,0))))))),FALSE)</f>
        <v>2.1102200758240576E-2</v>
      </c>
      <c r="J10" s="536">
        <f t="shared" si="0"/>
        <v>1.8780958674834113E-2</v>
      </c>
      <c r="K10" s="549">
        <f>VLOOKUP($A10,EFCO2S!$A$1:$J$44,(IF($B10=2015,4,IF($B10=2016,5,IF($B10=2017,6,IF($B10=2018,7,IF($B10=2019,8,IF($B10=2020,9,0))))))),FALSE)</f>
        <v>166.54536773790227</v>
      </c>
      <c r="L10" s="546">
        <f>VLOOKUP($A10,EFCH4S!$A$1:$J$44,(IF($B10=2015,4,IF($B10=2016,5,IF($B10=2017,6,IF($B10=2018,7,IF($B10=2019,8,IF($B10=2020,9,0))))))),FALSE)</f>
        <v>1.0004303079381925E-2</v>
      </c>
      <c r="M10" s="540">
        <f t="shared" si="1"/>
        <v>5.9073727988636242E-2</v>
      </c>
      <c r="N10" s="108">
        <v>5</v>
      </c>
      <c r="O10" s="108">
        <v>1</v>
      </c>
      <c r="P10" s="109">
        <v>22</v>
      </c>
      <c r="Q10" s="39">
        <f t="shared" ref="Q10:Q11" si="20">(E10*$N10*$O10)</f>
        <v>0.47107203042431978</v>
      </c>
      <c r="R10" s="29">
        <f t="shared" ref="R10:R11" si="21">(F10*$N10*$O10)</f>
        <v>1.8764752515649445</v>
      </c>
      <c r="S10" s="29">
        <f t="shared" ref="S10:S11" si="22">(G10*$N10*$O10)</f>
        <v>3.109143578349276</v>
      </c>
      <c r="T10" s="29">
        <f t="shared" ref="T10:T11" si="23">(H10*$N10*$O10)</f>
        <v>9.3696041057507121E-3</v>
      </c>
      <c r="U10" s="29">
        <f t="shared" ref="U10:U11" si="24">(I10*$N10*$O10)</f>
        <v>0.10551100379120287</v>
      </c>
      <c r="V10" s="29">
        <f t="shared" ref="V10:V11" si="25">(J10*$N10*$O10)</f>
        <v>9.390479337417057E-2</v>
      </c>
      <c r="W10" s="29">
        <f t="shared" ref="W10:W11" si="26">(K10*$N10*$O10)</f>
        <v>832.7268386895114</v>
      </c>
      <c r="X10" s="29">
        <f t="shared" ref="X10:X11" si="27">(L10*$N10*$O10)</f>
        <v>5.0021515396909626E-2</v>
      </c>
      <c r="Y10" s="29">
        <f t="shared" ref="Y10:Y11" si="28">(M10*$N10*$O10)</f>
        <v>0.29536863994318119</v>
      </c>
    </row>
    <row r="11" spans="1:25" s="3" customFormat="1" x14ac:dyDescent="0.25">
      <c r="A11" s="27" t="s">
        <v>202</v>
      </c>
      <c r="B11" s="115">
        <v>2017</v>
      </c>
      <c r="C11" s="25">
        <v>399</v>
      </c>
      <c r="D11" s="134">
        <v>0.28999999999999998</v>
      </c>
      <c r="E11" s="546">
        <f>VLOOKUP($A11,EFROGS!$A$1:$J$44,(IF($B11=2015,4,IF($B11=2016,5,IF($B11=2017,6,IF($B11=2018,7,IF($B11=2019,8,IF($B11=2020,9,0))))))),FALSE)</f>
        <v>0.10810494153261915</v>
      </c>
      <c r="F11" s="546">
        <f>VLOOKUP($A11,EFCOS!$A$1:$J$44,(IF($B11=2015,4,IF($B11=2016,5,IF($B11=2017,6,IF($B11=2018,7,IF($B11=2019,8,IF($B11=2020,9,0))))))),FALSE)</f>
        <v>0.45165133700519433</v>
      </c>
      <c r="G11" s="546">
        <f>VLOOKUP($A11,EFNOXS!$A$1:$J$44,(IF($B11=2015,4,IF($B11=2016,5,IF($B11=2017,6,IF($B11=2018,7,IF($B11=2019,8,IF($B11=2020,9,0))))))),FALSE)</f>
        <v>0.7915966097530136</v>
      </c>
      <c r="H11" s="546">
        <f>VLOOKUP($A11,EFSOXS!$A$1:$J$44,(IF($B11=2015,4,IF($B11=2016,5,IF($B11=2017,6,IF($B11=2018,7,IF($B11=2019,8,IF($B11=2020,9,0))))))),FALSE)</f>
        <v>1.7677528907548289E-3</v>
      </c>
      <c r="I11" s="546">
        <f>VLOOKUP($A11,EFPMS!$A$1:$J$44,(IF($B11=2015,4,IF($B11=2016,5,IF($B11=2017,6,IF($B11=2018,7,IF($B11=2019,8,IF($B11=2020,9,0))))))),FALSE)</f>
        <v>2.8846164608865917E-2</v>
      </c>
      <c r="J11" s="536">
        <f t="shared" si="0"/>
        <v>2.5673086501890666E-2</v>
      </c>
      <c r="K11" s="549">
        <f>VLOOKUP($A11,EFCO2S!$A$1:$J$44,(IF($B11=2015,4,IF($B11=2016,5,IF($B11=2017,6,IF($B11=2018,7,IF($B11=2019,8,IF($B11=2020,9,0))))))),FALSE)</f>
        <v>180.101275871506</v>
      </c>
      <c r="L11" s="546">
        <f>VLOOKUP($A11,EFCH4S!$A$1:$J$44,(IF($B11=2015,4,IF($B11=2016,5,IF($B11=2017,6,IF($B11=2018,7,IF($B11=2019,8,IF($B11=2020,9,0))))))),FALSE)</f>
        <v>1.1387086879682689E-2</v>
      </c>
      <c r="M11" s="540">
        <f t="shared" si="1"/>
        <v>7.5201677926536287E-2</v>
      </c>
      <c r="N11" s="135">
        <v>1</v>
      </c>
      <c r="O11" s="135">
        <v>8</v>
      </c>
      <c r="P11" s="136">
        <v>11</v>
      </c>
      <c r="Q11" s="39">
        <f t="shared" si="20"/>
        <v>0.86483953226095323</v>
      </c>
      <c r="R11" s="29">
        <f t="shared" si="21"/>
        <v>3.6132106960415546</v>
      </c>
      <c r="S11" s="29">
        <f t="shared" si="22"/>
        <v>6.3327728780241088</v>
      </c>
      <c r="T11" s="29">
        <f t="shared" si="23"/>
        <v>1.4142023126038631E-2</v>
      </c>
      <c r="U11" s="29">
        <f t="shared" si="24"/>
        <v>0.23076931687092733</v>
      </c>
      <c r="V11" s="29">
        <f t="shared" si="25"/>
        <v>0.20538469201512533</v>
      </c>
      <c r="W11" s="29">
        <f t="shared" si="26"/>
        <v>1440.810206972048</v>
      </c>
      <c r="X11" s="29">
        <f t="shared" si="27"/>
        <v>9.1096695037461511E-2</v>
      </c>
      <c r="Y11" s="29">
        <f t="shared" si="28"/>
        <v>0.60161342341229029</v>
      </c>
    </row>
    <row r="12" spans="1:25" s="3" customFormat="1" x14ac:dyDescent="0.25">
      <c r="A12" s="19" t="s">
        <v>38</v>
      </c>
      <c r="B12" s="34"/>
      <c r="C12" s="25"/>
      <c r="D12" s="13"/>
      <c r="E12" s="26"/>
      <c r="F12" s="26"/>
      <c r="G12" s="26"/>
      <c r="H12" s="26"/>
      <c r="I12" s="26"/>
      <c r="J12" s="27"/>
      <c r="K12" s="28"/>
      <c r="L12" s="26"/>
      <c r="M12" s="38"/>
      <c r="N12" s="135"/>
      <c r="O12" s="135"/>
      <c r="P12" s="136"/>
      <c r="Q12" s="138">
        <f t="shared" ref="Q12:Y12" si="29">SUM(Q8:Q11)</f>
        <v>3.1198551138069055</v>
      </c>
      <c r="R12" s="31">
        <f t="shared" si="29"/>
        <v>13.81698066442824</v>
      </c>
      <c r="S12" s="31">
        <f t="shared" si="29"/>
        <v>21.481777599217232</v>
      </c>
      <c r="T12" s="31">
        <f t="shared" si="29"/>
        <v>5.697966247734812E-2</v>
      </c>
      <c r="U12" s="31">
        <f t="shared" si="29"/>
        <v>0.84061597520910247</v>
      </c>
      <c r="V12" s="31">
        <f t="shared" si="29"/>
        <v>0.74814821793610131</v>
      </c>
      <c r="W12" s="31">
        <f t="shared" si="29"/>
        <v>5228.5793996817429</v>
      </c>
      <c r="X12" s="31">
        <f t="shared" si="29"/>
        <v>0.33105301576223034</v>
      </c>
      <c r="Y12" s="31">
        <f t="shared" si="29"/>
        <v>2.0407688719256365</v>
      </c>
    </row>
    <row r="13" spans="1:25" s="3" customFormat="1" x14ac:dyDescent="0.25">
      <c r="A13" s="19"/>
      <c r="B13" s="34"/>
      <c r="C13" s="25"/>
      <c r="D13" s="13"/>
      <c r="E13" s="26"/>
      <c r="F13" s="26"/>
      <c r="G13" s="26"/>
      <c r="H13" s="26"/>
      <c r="I13" s="26"/>
      <c r="J13" s="27"/>
      <c r="K13" s="28"/>
      <c r="L13" s="26"/>
      <c r="M13" s="38"/>
      <c r="N13" s="135"/>
      <c r="O13" s="135"/>
      <c r="P13" s="136"/>
      <c r="Q13" s="39"/>
      <c r="R13" s="29"/>
      <c r="S13" s="29"/>
      <c r="T13" s="29"/>
      <c r="U13" s="29"/>
      <c r="V13" s="29"/>
      <c r="W13" s="29"/>
      <c r="X13" s="29"/>
      <c r="Y13" s="29"/>
    </row>
    <row r="14" spans="1:25" s="3" customFormat="1" x14ac:dyDescent="0.25">
      <c r="A14" s="19" t="s">
        <v>216</v>
      </c>
      <c r="B14" s="115">
        <v>2017</v>
      </c>
      <c r="C14" s="25"/>
      <c r="D14" s="13"/>
      <c r="E14" s="26"/>
      <c r="F14" s="26"/>
      <c r="G14" s="26"/>
      <c r="H14" s="26"/>
      <c r="I14" s="26"/>
      <c r="J14" s="27"/>
      <c r="K14" s="28"/>
      <c r="L14" s="26"/>
      <c r="M14" s="38"/>
      <c r="N14" s="135"/>
      <c r="O14" s="135"/>
      <c r="P14" s="136"/>
      <c r="Q14" s="39"/>
      <c r="R14" s="29"/>
      <c r="S14" s="29"/>
      <c r="T14" s="29"/>
      <c r="U14" s="29"/>
      <c r="V14" s="29"/>
      <c r="W14" s="29"/>
      <c r="X14" s="29"/>
      <c r="Y14" s="29"/>
    </row>
    <row r="15" spans="1:25" s="3" customFormat="1" x14ac:dyDescent="0.25">
      <c r="A15" s="27" t="s">
        <v>193</v>
      </c>
      <c r="B15" s="115">
        <v>2017</v>
      </c>
      <c r="C15" s="25">
        <v>350</v>
      </c>
      <c r="D15" s="134">
        <v>0.4</v>
      </c>
      <c r="E15" s="546">
        <f>VLOOKUP($A15,EFROGS!$A$1:$J$44,(IF($B15=2015,4,IF($B15=2016,5,IF($B15=2017,6,IF($B15=2018,7,IF($B15=2019,8,IF($B15=2020,9,0))))))),FALSE)</f>
        <v>0.22145112145961368</v>
      </c>
      <c r="F15" s="546">
        <f>VLOOKUP($A15,EFCOS!$A$1:$J$44,(IF($B15=2015,4,IF($B15=2016,5,IF($B15=2017,6,IF($B15=2018,7,IF($B15=2019,8,IF($B15=2020,9,0))))))),FALSE)</f>
        <v>1.0135898251132514</v>
      </c>
      <c r="G15" s="546">
        <f>VLOOKUP($A15,EFNOXS!$A$1:$J$44,(IF($B15=2015,4,IF($B15=2016,5,IF($B15=2017,6,IF($B15=2018,7,IF($B15=2019,8,IF($B15=2020,9,0))))))),FALSE)</f>
        <v>1.689975064592242</v>
      </c>
      <c r="H15" s="546">
        <f>VLOOKUP($A15,EFSOXS!$A$1:$J$44,(IF($B15=2015,4,IF($B15=2016,5,IF($B15=2017,6,IF($B15=2018,7,IF($B15=2019,8,IF($B15=2020,9,0))))))),FALSE)</f>
        <v>2.5998100409794032E-3</v>
      </c>
      <c r="I15" s="546">
        <f>VLOOKUP($A15,EFPMS!$A$1:$J$44,(IF($B15=2015,4,IF($B15=2016,5,IF($B15=2017,6,IF($B15=2018,7,IF($B15=2019,8,IF($B15=2020,9,0))))))),FALSE)</f>
        <v>6.8853609846035307E-2</v>
      </c>
      <c r="J15" s="536">
        <f t="shared" ref="J15:J23" si="30">0.89*I15</f>
        <v>6.1279712762971422E-2</v>
      </c>
      <c r="K15" s="549">
        <f>VLOOKUP($A15,EFCO2S!$A$1:$J$44,(IF($B15=2015,4,IF($B15=2016,5,IF($B15=2017,6,IF($B15=2018,7,IF($B15=2019,8,IF($B15=2020,9,0))))))),FALSE)</f>
        <v>264.87250666353776</v>
      </c>
      <c r="L15" s="546">
        <f>VLOOKUP($A15,EFCH4S!$A$1:$J$44,(IF($B15=2015,4,IF($B15=2016,5,IF($B15=2017,6,IF($B15=2018,7,IF($B15=2019,8,IF($B15=2020,9,0))))))),FALSE)</f>
        <v>2.4001780874155543E-2</v>
      </c>
      <c r="M15" s="540">
        <f t="shared" ref="M15:M23" si="31">0.095*G15</f>
        <v>0.160547631136263</v>
      </c>
      <c r="N15" s="135">
        <v>2</v>
      </c>
      <c r="O15" s="135">
        <v>8</v>
      </c>
      <c r="P15" s="136">
        <f>3*22</f>
        <v>66</v>
      </c>
      <c r="Q15" s="39">
        <f t="shared" ref="Q15:Q23" si="32">(E15*$N15*$O15)</f>
        <v>3.5432179433538189</v>
      </c>
      <c r="R15" s="29">
        <f t="shared" ref="R15:R23" si="33">(F15*$N15*$O15)</f>
        <v>16.217437201812022</v>
      </c>
      <c r="S15" s="29">
        <f t="shared" ref="S15:S23" si="34">(G15*$N15*$O15)</f>
        <v>27.039601033475872</v>
      </c>
      <c r="T15" s="29">
        <f t="shared" ref="T15:T23" si="35">(H15*$N15*$O15)</f>
        <v>4.1596960655670451E-2</v>
      </c>
      <c r="U15" s="29">
        <f t="shared" ref="U15:U23" si="36">(I15*$N15*$O15)</f>
        <v>1.1016577575365649</v>
      </c>
      <c r="V15" s="29">
        <f t="shared" ref="V15:V23" si="37">(J15*$N15*$O15)</f>
        <v>0.98047540420754276</v>
      </c>
      <c r="W15" s="29">
        <f t="shared" ref="W15:W23" si="38">(K15*$N15*$O15)</f>
        <v>4237.9601066166042</v>
      </c>
      <c r="X15" s="29">
        <f t="shared" ref="X15:X23" si="39">(L15*$N15*$O15)</f>
        <v>0.38402849398648869</v>
      </c>
      <c r="Y15" s="29">
        <f t="shared" ref="Y15:Y23" si="40">(M15*$N15*$O15)</f>
        <v>2.568762098180208</v>
      </c>
    </row>
    <row r="16" spans="1:25" s="3" customFormat="1" x14ac:dyDescent="0.25">
      <c r="A16" s="27" t="s">
        <v>194</v>
      </c>
      <c r="B16" s="115">
        <v>2017</v>
      </c>
      <c r="C16" s="25">
        <v>350</v>
      </c>
      <c r="D16" s="134">
        <v>0.41</v>
      </c>
      <c r="E16" s="546">
        <f>VLOOKUP($A16,EFROGS!$A$1:$J$44,(IF($B16=2015,4,IF($B16=2016,5,IF($B16=2017,6,IF($B16=2018,7,IF($B16=2019,8,IF($B16=2020,9,0))))))),FALSE)</f>
        <v>0.12859424881759116</v>
      </c>
      <c r="F16" s="546">
        <f>VLOOKUP($A16,EFCOS!$A$1:$J$44,(IF($B16=2015,4,IF($B16=2016,5,IF($B16=2017,6,IF($B16=2018,7,IF($B16=2019,8,IF($B16=2020,9,0))))))),FALSE)</f>
        <v>0.56672529164515606</v>
      </c>
      <c r="G16" s="546">
        <f>VLOOKUP($A16,EFNOXS!$A$1:$J$44,(IF($B16=2015,4,IF($B16=2016,5,IF($B16=2017,6,IF($B16=2018,7,IF($B16=2019,8,IF($B16=2020,9,0))))))),FALSE)</f>
        <v>0.91006625906627936</v>
      </c>
      <c r="H16" s="546">
        <f>VLOOKUP($A16,EFSOXS!$A$1:$J$44,(IF($B16=2015,4,IF($B16=2016,5,IF($B16=2017,6,IF($B16=2018,7,IF($B16=2019,8,IF($B16=2020,9,0))))))),FALSE)</f>
        <v>2.252463434596794E-3</v>
      </c>
      <c r="I16" s="546">
        <f>VLOOKUP($A16,EFPMS!$A$1:$J$44,(IF($B16=2015,4,IF($B16=2016,5,IF($B16=2017,6,IF($B16=2018,7,IF($B16=2019,8,IF($B16=2020,9,0))))))),FALSE)</f>
        <v>3.298833801066816E-2</v>
      </c>
      <c r="J16" s="536">
        <f t="shared" si="30"/>
        <v>2.9359620829494663E-2</v>
      </c>
      <c r="K16" s="549">
        <f>VLOOKUP($A16,EFCO2S!$A$1:$J$44,(IF($B16=2015,4,IF($B16=2016,5,IF($B16=2017,6,IF($B16=2018,7,IF($B16=2019,8,IF($B16=2020,9,0))))))),FALSE)</f>
        <v>229.48428583366018</v>
      </c>
      <c r="L16" s="546">
        <f>VLOOKUP($A16,EFCH4S!$A$1:$J$44,(IF($B16=2015,4,IF($B16=2016,5,IF($B16=2017,6,IF($B16=2018,7,IF($B16=2019,8,IF($B16=2020,9,0))))))),FALSE)</f>
        <v>1.3504507514594796E-2</v>
      </c>
      <c r="M16" s="540">
        <f t="shared" si="31"/>
        <v>8.6456294611296544E-2</v>
      </c>
      <c r="N16" s="135">
        <v>2</v>
      </c>
      <c r="O16" s="135">
        <v>8</v>
      </c>
      <c r="P16" s="136">
        <f>3*22</f>
        <v>66</v>
      </c>
      <c r="Q16" s="39">
        <f t="shared" si="32"/>
        <v>2.0575079810814585</v>
      </c>
      <c r="R16" s="29">
        <f t="shared" si="33"/>
        <v>9.067604666322497</v>
      </c>
      <c r="S16" s="29">
        <f t="shared" si="34"/>
        <v>14.56106014506047</v>
      </c>
      <c r="T16" s="29">
        <f t="shared" si="35"/>
        <v>3.6039414953548704E-2</v>
      </c>
      <c r="U16" s="29">
        <f t="shared" si="36"/>
        <v>0.52781340817069056</v>
      </c>
      <c r="V16" s="29">
        <f t="shared" si="37"/>
        <v>0.46975393327191461</v>
      </c>
      <c r="W16" s="29">
        <f t="shared" si="38"/>
        <v>3671.7485733385629</v>
      </c>
      <c r="X16" s="29">
        <f t="shared" si="39"/>
        <v>0.21607212023351674</v>
      </c>
      <c r="Y16" s="29">
        <f t="shared" si="40"/>
        <v>1.3833007137807447</v>
      </c>
    </row>
    <row r="17" spans="1:25" s="3" customFormat="1" x14ac:dyDescent="0.25">
      <c r="A17" s="27" t="s">
        <v>195</v>
      </c>
      <c r="B17" s="115">
        <v>2017</v>
      </c>
      <c r="C17" s="25">
        <v>350</v>
      </c>
      <c r="D17" s="134">
        <v>0.48</v>
      </c>
      <c r="E17" s="546">
        <f>VLOOKUP($A17,EFROGS!$A$1:$J$44,(IF($B17=2015,4,IF($B17=2016,5,IF($B17=2017,6,IF($B17=2018,7,IF($B17=2019,8,IF($B17=2020,9,0))))))),FALSE)</f>
        <v>0.21792636194908874</v>
      </c>
      <c r="F17" s="546">
        <f>VLOOKUP($A17,EFCOS!$A$1:$J$44,(IF($B17=2015,4,IF($B17=2016,5,IF($B17=2017,6,IF($B17=2018,7,IF($B17=2019,8,IF($B17=2020,9,0))))))),FALSE)</f>
        <v>0.93114922897044761</v>
      </c>
      <c r="G17" s="546">
        <f>VLOOKUP($A17,EFNOXS!$A$1:$J$44,(IF($B17=2015,4,IF($B17=2016,5,IF($B17=2017,6,IF($B17=2018,7,IF($B17=2019,8,IF($B17=2020,9,0))))))),FALSE)</f>
        <v>1.6522402065662012</v>
      </c>
      <c r="H17" s="546">
        <f>VLOOKUP($A17,EFSOXS!$A$1:$J$44,(IF($B17=2015,4,IF($B17=2016,5,IF($B17=2017,6,IF($B17=2018,7,IF($B17=2019,8,IF($B17=2020,9,0))))))),FALSE)</f>
        <v>3.1549252848218547E-3</v>
      </c>
      <c r="I17" s="546">
        <f>VLOOKUP($A17,EFPMS!$A$1:$J$44,(IF($B17=2015,4,IF($B17=2016,5,IF($B17=2017,6,IF($B17=2018,7,IF($B17=2019,8,IF($B17=2020,9,0))))))),FALSE)</f>
        <v>6.3250329156374574E-2</v>
      </c>
      <c r="J17" s="536">
        <f t="shared" si="30"/>
        <v>5.6292792949173373E-2</v>
      </c>
      <c r="K17" s="549">
        <f>VLOOKUP($A17,EFCO2S!$A$1:$J$44,(IF($B17=2015,4,IF($B17=2016,5,IF($B17=2017,6,IF($B17=2018,7,IF($B17=2019,8,IF($B17=2020,9,0))))))),FALSE)</f>
        <v>321.42849811261823</v>
      </c>
      <c r="L17" s="546">
        <f>VLOOKUP($A17,EFCH4S!$A$1:$J$44,(IF($B17=2015,4,IF($B17=2016,5,IF($B17=2017,6,IF($B17=2018,7,IF($B17=2019,8,IF($B17=2020,9,0))))))),FALSE)</f>
        <v>2.3409296751328711E-2</v>
      </c>
      <c r="M17" s="540">
        <f t="shared" si="31"/>
        <v>0.15696281962378911</v>
      </c>
      <c r="N17" s="135">
        <v>2</v>
      </c>
      <c r="O17" s="135">
        <v>8</v>
      </c>
      <c r="P17" s="136">
        <f>3*22</f>
        <v>66</v>
      </c>
      <c r="Q17" s="39">
        <f t="shared" si="32"/>
        <v>3.4868217911854198</v>
      </c>
      <c r="R17" s="29">
        <f t="shared" si="33"/>
        <v>14.898387663527162</v>
      </c>
      <c r="S17" s="29">
        <f t="shared" si="34"/>
        <v>26.435843305059219</v>
      </c>
      <c r="T17" s="29">
        <f t="shared" si="35"/>
        <v>5.0478804557149676E-2</v>
      </c>
      <c r="U17" s="29">
        <f t="shared" si="36"/>
        <v>1.0120052665019932</v>
      </c>
      <c r="V17" s="29">
        <f t="shared" si="37"/>
        <v>0.90068468718677397</v>
      </c>
      <c r="W17" s="29">
        <f t="shared" si="38"/>
        <v>5142.8559698018917</v>
      </c>
      <c r="X17" s="29">
        <f t="shared" si="39"/>
        <v>0.37454874802125937</v>
      </c>
      <c r="Y17" s="29">
        <f t="shared" si="40"/>
        <v>2.5114051139806257</v>
      </c>
    </row>
    <row r="18" spans="1:25" s="3" customFormat="1" x14ac:dyDescent="0.25">
      <c r="A18" s="27" t="s">
        <v>196</v>
      </c>
      <c r="B18" s="115">
        <v>2017</v>
      </c>
      <c r="C18" s="25">
        <v>250</v>
      </c>
      <c r="D18" s="134">
        <v>0.38</v>
      </c>
      <c r="E18" s="546">
        <f>VLOOKUP($A18,EFROGS!$A$1:$J$44,(IF($B18=2015,4,IF($B18=2016,5,IF($B18=2017,6,IF($B18=2018,7,IF($B18=2019,8,IF($B18=2020,9,0))))))),FALSE)</f>
        <v>8.4660598997014863E-2</v>
      </c>
      <c r="F18" s="546">
        <f>VLOOKUP($A18,EFCOS!$A$1:$J$44,(IF($B18=2015,4,IF($B18=2016,5,IF($B18=2017,6,IF($B18=2018,7,IF($B18=2019,8,IF($B18=2020,9,0))))))),FALSE)</f>
        <v>0.36219012553465224</v>
      </c>
      <c r="G18" s="546">
        <f>VLOOKUP($A18,EFNOXS!$A$1:$J$44,(IF($B18=2015,4,IF($B18=2016,5,IF($B18=2017,6,IF($B18=2018,7,IF($B18=2019,8,IF($B18=2020,9,0))))))),FALSE)</f>
        <v>0.73535107265427568</v>
      </c>
      <c r="H18" s="546">
        <f>VLOOKUP($A18,EFSOXS!$A$1:$J$44,(IF($B18=2015,4,IF($B18=2016,5,IF($B18=2017,6,IF($B18=2018,7,IF($B18=2019,8,IF($B18=2020,9,0))))))),FALSE)</f>
        <v>1.7225228533016813E-3</v>
      </c>
      <c r="I18" s="546">
        <f>VLOOKUP($A18,EFPMS!$A$1:$J$44,(IF($B18=2015,4,IF($B18=2016,5,IF($B18=2017,6,IF($B18=2018,7,IF($B18=2019,8,IF($B18=2020,9,0))))))),FALSE)</f>
        <v>2.47861712058868E-2</v>
      </c>
      <c r="J18" s="536">
        <f t="shared" si="30"/>
        <v>2.2059692373239251E-2</v>
      </c>
      <c r="K18" s="549">
        <f>VLOOKUP($A18,EFCO2S!$A$1:$J$44,(IF($B18=2015,4,IF($B18=2016,5,IF($B18=2017,6,IF($B18=2018,7,IF($B18=2019,8,IF($B18=2020,9,0))))))),FALSE)</f>
        <v>153.08978374428989</v>
      </c>
      <c r="L18" s="546">
        <f>VLOOKUP($A18,EFCH4S!$A$1:$J$44,(IF($B18=2015,4,IF($B18=2016,5,IF($B18=2017,6,IF($B18=2018,7,IF($B18=2019,8,IF($B18=2020,9,0))))))),FALSE)</f>
        <v>8.8870914540412384E-3</v>
      </c>
      <c r="M18" s="540">
        <f t="shared" si="31"/>
        <v>6.9858351902156196E-2</v>
      </c>
      <c r="N18" s="135">
        <v>1</v>
      </c>
      <c r="O18" s="135">
        <v>8</v>
      </c>
      <c r="P18" s="136">
        <f>3*22</f>
        <v>66</v>
      </c>
      <c r="Q18" s="39">
        <f t="shared" si="32"/>
        <v>0.67728479197611891</v>
      </c>
      <c r="R18" s="29">
        <f t="shared" si="33"/>
        <v>2.8975210042772179</v>
      </c>
      <c r="S18" s="29">
        <f t="shared" si="34"/>
        <v>5.8828085812342055</v>
      </c>
      <c r="T18" s="29">
        <f t="shared" si="35"/>
        <v>1.378018282641345E-2</v>
      </c>
      <c r="U18" s="29">
        <f t="shared" si="36"/>
        <v>0.1982893696470944</v>
      </c>
      <c r="V18" s="29">
        <f t="shared" si="37"/>
        <v>0.17647753898591401</v>
      </c>
      <c r="W18" s="29">
        <f t="shared" si="38"/>
        <v>1224.7182699543191</v>
      </c>
      <c r="X18" s="29">
        <f t="shared" si="39"/>
        <v>7.1096731632329907E-2</v>
      </c>
      <c r="Y18" s="29">
        <f t="shared" si="40"/>
        <v>0.55886681521724957</v>
      </c>
    </row>
    <row r="19" spans="1:25" s="3" customFormat="1" x14ac:dyDescent="0.25">
      <c r="A19" s="27" t="s">
        <v>197</v>
      </c>
      <c r="B19" s="115">
        <v>2017</v>
      </c>
      <c r="C19" s="134">
        <v>200</v>
      </c>
      <c r="D19" s="134">
        <v>0.36</v>
      </c>
      <c r="E19" s="546">
        <f>VLOOKUP($A19,EFROGS!$A$1:$J$44,(IF($B19=2015,4,IF($B19=2016,5,IF($B19=2017,6,IF($B19=2018,7,IF($B19=2019,8,IF($B19=2020,9,0))))))),FALSE)</f>
        <v>8.4406642295059356E-2</v>
      </c>
      <c r="F19" s="546">
        <f>VLOOKUP($A19,EFCOS!$A$1:$J$44,(IF($B19=2015,4,IF($B19=2016,5,IF($B19=2017,6,IF($B19=2018,7,IF($B19=2019,8,IF($B19=2020,9,0))))))),FALSE)</f>
        <v>0.33307907265202508</v>
      </c>
      <c r="G19" s="546">
        <f>VLOOKUP($A19,EFNOXS!$A$1:$J$44,(IF($B19=2015,4,IF($B19=2016,5,IF($B19=2017,6,IF($B19=2018,7,IF($B19=2019,8,IF($B19=2020,9,0))))))),FALSE)</f>
        <v>0.64825897359369522</v>
      </c>
      <c r="H19" s="546">
        <f>VLOOKUP($A19,EFSOXS!$A$1:$J$44,(IF($B19=2015,4,IF($B19=2016,5,IF($B19=2017,6,IF($B19=2018,7,IF($B19=2019,8,IF($B19=2020,9,0))))))),FALSE)</f>
        <v>1.6762431040541262E-3</v>
      </c>
      <c r="I19" s="546">
        <f>VLOOKUP($A19,EFPMS!$A$1:$J$44,(IF($B19=2015,4,IF($B19=2016,5,IF($B19=2017,6,IF($B19=2018,7,IF($B19=2019,8,IF($B19=2020,9,0))))))),FALSE)</f>
        <v>2.2210315689099164E-2</v>
      </c>
      <c r="J19" s="536">
        <f t="shared" si="30"/>
        <v>1.9767180963298256E-2</v>
      </c>
      <c r="K19" s="549">
        <f>VLOOKUP($A19,EFCO2S!$A$1:$J$44,(IF($B19=2015,4,IF($B19=2016,5,IF($B19=2017,6,IF($B19=2018,7,IF($B19=2019,8,IF($B19=2020,9,0))))))),FALSE)</f>
        <v>148.97664558315503</v>
      </c>
      <c r="L19" s="546">
        <f>VLOOKUP($A19,EFCH4S!$A$1:$J$44,(IF($B19=2015,4,IF($B19=2016,5,IF($B19=2017,6,IF($B19=2018,7,IF($B19=2019,8,IF($B19=2020,9,0))))))),FALSE)</f>
        <v>9.0185753542049527E-3</v>
      </c>
      <c r="M19" s="540">
        <f t="shared" si="31"/>
        <v>6.1584602491401047E-2</v>
      </c>
      <c r="N19" s="135">
        <v>1</v>
      </c>
      <c r="O19" s="135">
        <v>8</v>
      </c>
      <c r="P19" s="136">
        <f>3*22</f>
        <v>66</v>
      </c>
      <c r="Q19" s="39">
        <f t="shared" si="32"/>
        <v>0.67525313836047485</v>
      </c>
      <c r="R19" s="29">
        <f t="shared" si="33"/>
        <v>2.6646325812162006</v>
      </c>
      <c r="S19" s="29">
        <f t="shared" si="34"/>
        <v>5.1860717887495618</v>
      </c>
      <c r="T19" s="29">
        <f t="shared" si="35"/>
        <v>1.340994483243301E-2</v>
      </c>
      <c r="U19" s="29">
        <f t="shared" si="36"/>
        <v>0.17768252551279332</v>
      </c>
      <c r="V19" s="29">
        <f t="shared" si="37"/>
        <v>0.15813744770638605</v>
      </c>
      <c r="W19" s="29">
        <f t="shared" si="38"/>
        <v>1191.8131646652403</v>
      </c>
      <c r="X19" s="29">
        <f t="shared" si="39"/>
        <v>7.2148602833639622E-2</v>
      </c>
      <c r="Y19" s="29">
        <f t="shared" si="40"/>
        <v>0.49267681993120838</v>
      </c>
    </row>
    <row r="20" spans="1:25" s="3" customFormat="1" x14ac:dyDescent="0.25">
      <c r="A20" s="37" t="s">
        <v>62</v>
      </c>
      <c r="B20" s="115">
        <v>2017</v>
      </c>
      <c r="C20" s="25">
        <v>85</v>
      </c>
      <c r="D20" s="134">
        <v>0.37</v>
      </c>
      <c r="E20" s="546">
        <f>VLOOKUP($A20,EFROGS!$A$1:$J$44,(IF($B20=2015,4,IF($B20=2016,5,IF($B20=2017,6,IF($B20=2018,7,IF($B20=2019,8,IF($B20=2020,9,0))))))),FALSE)</f>
        <v>5.901623608284385E-2</v>
      </c>
      <c r="F20" s="546">
        <f>VLOOKUP($A20,EFCOS!$A$1:$J$44,(IF($B20=2015,4,IF($B20=2016,5,IF($B20=2017,6,IF($B20=2018,7,IF($B20=2019,8,IF($B20=2020,9,0))))))),FALSE)</f>
        <v>0.37296505549448378</v>
      </c>
      <c r="G20" s="546">
        <f>VLOOKUP($A20,EFNOXS!$A$1:$J$44,(IF($B20=2015,4,IF($B20=2016,5,IF($B20=2017,6,IF($B20=2018,7,IF($B20=2019,8,IF($B20=2020,9,0))))))),FALSE)</f>
        <v>0.36080865524220801</v>
      </c>
      <c r="H20" s="546">
        <f>VLOOKUP($A20,EFSOXS!$A$1:$J$44,(IF($B20=2015,4,IF($B20=2016,5,IF($B20=2017,6,IF($B20=2018,7,IF($B20=2019,8,IF($B20=2020,9,0))))))),FALSE)</f>
        <v>6.9108569734204601E-4</v>
      </c>
      <c r="I20" s="546">
        <f>VLOOKUP($A20,EFPMS!$A$1:$J$44,(IF($B20=2015,4,IF($B20=2016,5,IF($B20=2017,6,IF($B20=2018,7,IF($B20=2019,8,IF($B20=2020,9,0))))))),FALSE)</f>
        <v>2.7850368199284443E-2</v>
      </c>
      <c r="J20" s="536">
        <f t="shared" si="30"/>
        <v>2.4786827697363154E-2</v>
      </c>
      <c r="K20" s="549">
        <f>VLOOKUP($A20,EFCO2S!$A$1:$J$44,(IF($B20=2015,4,IF($B20=2016,5,IF($B20=2017,6,IF($B20=2018,7,IF($B20=2019,8,IF($B20=2020,9,0))))))),FALSE)</f>
        <v>58.91351479134542</v>
      </c>
      <c r="L20" s="546">
        <f>VLOOKUP($A20,EFCH4S!$A$1:$J$44,(IF($B20=2015,4,IF($B20=2016,5,IF($B20=2017,6,IF($B20=2018,7,IF($B20=2019,8,IF($B20=2020,9,0))))))),FALSE)</f>
        <v>6.4431355607304829E-3</v>
      </c>
      <c r="M20" s="540">
        <f t="shared" si="31"/>
        <v>3.4276822248009764E-2</v>
      </c>
      <c r="N20" s="135">
        <v>1</v>
      </c>
      <c r="O20" s="135">
        <v>8</v>
      </c>
      <c r="P20" s="136">
        <f t="shared" ref="P20:P23" si="41">3*22</f>
        <v>66</v>
      </c>
      <c r="Q20" s="39">
        <f t="shared" si="32"/>
        <v>0.4721298886627508</v>
      </c>
      <c r="R20" s="29">
        <f t="shared" si="33"/>
        <v>2.9837204439558702</v>
      </c>
      <c r="S20" s="29">
        <f t="shared" si="34"/>
        <v>2.8864692419376641</v>
      </c>
      <c r="T20" s="29">
        <f t="shared" si="35"/>
        <v>5.5286855787363681E-3</v>
      </c>
      <c r="U20" s="29">
        <f t="shared" si="36"/>
        <v>0.22280294559427555</v>
      </c>
      <c r="V20" s="29">
        <f t="shared" si="37"/>
        <v>0.19829462157890523</v>
      </c>
      <c r="W20" s="29">
        <f t="shared" si="38"/>
        <v>471.30811833076336</v>
      </c>
      <c r="X20" s="29">
        <f t="shared" si="39"/>
        <v>5.1545084485843863E-2</v>
      </c>
      <c r="Y20" s="29">
        <f t="shared" si="40"/>
        <v>0.27421457798407811</v>
      </c>
    </row>
    <row r="21" spans="1:25" s="3" customFormat="1" x14ac:dyDescent="0.25">
      <c r="A21" s="27" t="s">
        <v>199</v>
      </c>
      <c r="B21" s="115">
        <v>2017</v>
      </c>
      <c r="C21" s="25">
        <v>175</v>
      </c>
      <c r="D21" s="134">
        <v>0.38</v>
      </c>
      <c r="E21" s="546">
        <f>VLOOKUP($A21,EFROGS!$A$1:$J$44,(IF($B21=2015,4,IF($B21=2016,5,IF($B21=2017,6,IF($B21=2018,7,IF($B21=2019,8,IF($B21=2020,9,0))))))),FALSE)</f>
        <v>9.2806998677456537E-2</v>
      </c>
      <c r="F21" s="546">
        <f>VLOOKUP($A21,EFCOS!$A$1:$J$44,(IF($B21=2015,4,IF($B21=2016,5,IF($B21=2017,6,IF($B21=2018,7,IF($B21=2019,8,IF($B21=2020,9,0))))))),FALSE)</f>
        <v>0.35317864819658679</v>
      </c>
      <c r="G21" s="546">
        <f>VLOOKUP($A21,EFNOXS!$A$1:$J$44,(IF($B21=2015,4,IF($B21=2016,5,IF($B21=2017,6,IF($B21=2018,7,IF($B21=2019,8,IF($B21=2020,9,0))))))),FALSE)</f>
        <v>0.61881284265398218</v>
      </c>
      <c r="H21" s="546">
        <f>VLOOKUP($A21,EFSOXS!$A$1:$J$44,(IF($B21=2015,4,IF($B21=2016,5,IF($B21=2017,6,IF($B21=2018,7,IF($B21=2019,8,IF($B21=2020,9,0))))))),FALSE)</f>
        <v>1.8739208211501423E-3</v>
      </c>
      <c r="I21" s="546">
        <f>VLOOKUP($A21,EFPMS!$A$1:$J$44,(IF($B21=2015,4,IF($B21=2016,5,IF($B21=2017,6,IF($B21=2018,7,IF($B21=2019,8,IF($B21=2020,9,0))))))),FALSE)</f>
        <v>2.0951407107446925E-2</v>
      </c>
      <c r="J21" s="536">
        <f t="shared" si="30"/>
        <v>1.8646752325627763E-2</v>
      </c>
      <c r="K21" s="549">
        <f>VLOOKUP($A21,EFCO2S!$A$1:$J$44,(IF($B21=2015,4,IF($B21=2016,5,IF($B21=2017,6,IF($B21=2018,7,IF($B21=2019,8,IF($B21=2020,9,0))))))),FALSE)</f>
        <v>166.54536773790227</v>
      </c>
      <c r="L21" s="546">
        <f>VLOOKUP($A21,EFCH4S!$A$1:$J$44,(IF($B21=2015,4,IF($B21=2016,5,IF($B21=2017,6,IF($B21=2018,7,IF($B21=2019,8,IF($B21=2020,9,0))))))),FALSE)</f>
        <v>1.0004303079381925E-2</v>
      </c>
      <c r="M21" s="540">
        <f t="shared" si="31"/>
        <v>5.878722005212831E-2</v>
      </c>
      <c r="N21" s="135">
        <v>1</v>
      </c>
      <c r="O21" s="135">
        <v>2</v>
      </c>
      <c r="P21" s="136">
        <f t="shared" si="41"/>
        <v>66</v>
      </c>
      <c r="Q21" s="39">
        <f t="shared" si="32"/>
        <v>0.18561399735491307</v>
      </c>
      <c r="R21" s="29">
        <f t="shared" si="33"/>
        <v>0.70635729639317357</v>
      </c>
      <c r="S21" s="29">
        <f t="shared" si="34"/>
        <v>1.2376256853079644</v>
      </c>
      <c r="T21" s="29">
        <f t="shared" si="35"/>
        <v>3.7478416423002846E-3</v>
      </c>
      <c r="U21" s="29">
        <f t="shared" si="36"/>
        <v>4.1902814214893849E-2</v>
      </c>
      <c r="V21" s="29">
        <f t="shared" si="37"/>
        <v>3.7293504651255527E-2</v>
      </c>
      <c r="W21" s="29">
        <f t="shared" si="38"/>
        <v>333.09073547580454</v>
      </c>
      <c r="X21" s="29">
        <f t="shared" si="39"/>
        <v>2.0008606158763851E-2</v>
      </c>
      <c r="Y21" s="29">
        <f t="shared" si="40"/>
        <v>0.11757444010425662</v>
      </c>
    </row>
    <row r="22" spans="1:25" s="3" customFormat="1" x14ac:dyDescent="0.25">
      <c r="A22" s="27" t="s">
        <v>200</v>
      </c>
      <c r="B22" s="115">
        <v>2017</v>
      </c>
      <c r="C22" s="25">
        <v>235</v>
      </c>
      <c r="D22" s="134">
        <v>0.38</v>
      </c>
      <c r="E22" s="546">
        <f>VLOOKUP($A22,EFROGS!$A$1:$J$44,(IF($B22=2015,4,IF($B22=2016,5,IF($B22=2017,6,IF($B22=2018,7,IF($B22=2019,8,IF($B22=2020,9,0))))))),FALSE)</f>
        <v>9.421440608486395E-2</v>
      </c>
      <c r="F22" s="546">
        <f>VLOOKUP($A22,EFCOS!$A$1:$J$44,(IF($B22=2015,4,IF($B22=2016,5,IF($B22=2017,6,IF($B22=2018,7,IF($B22=2019,8,IF($B22=2020,9,0))))))),FALSE)</f>
        <v>0.37529505031298893</v>
      </c>
      <c r="G22" s="546">
        <f>VLOOKUP($A22,EFNOXS!$A$1:$J$44,(IF($B22=2015,4,IF($B22=2016,5,IF($B22=2017,6,IF($B22=2018,7,IF($B22=2019,8,IF($B22=2020,9,0))))))),FALSE)</f>
        <v>0.6218287156698552</v>
      </c>
      <c r="H22" s="546">
        <f>VLOOKUP($A22,EFSOXS!$A$1:$J$44,(IF($B22=2015,4,IF($B22=2016,5,IF($B22=2017,6,IF($B22=2018,7,IF($B22=2019,8,IF($B22=2020,9,0))))))),FALSE)</f>
        <v>1.8739208211501423E-3</v>
      </c>
      <c r="I22" s="546">
        <f>VLOOKUP($A22,EFPMS!$A$1:$J$44,(IF($B22=2015,4,IF($B22=2016,5,IF($B22=2017,6,IF($B22=2018,7,IF($B22=2019,8,IF($B22=2020,9,0))))))),FALSE)</f>
        <v>2.1102200758240576E-2</v>
      </c>
      <c r="J22" s="536">
        <f t="shared" si="30"/>
        <v>1.8780958674834113E-2</v>
      </c>
      <c r="K22" s="549">
        <f>VLOOKUP($A22,EFCO2S!$A$1:$J$44,(IF($B22=2015,4,IF($B22=2016,5,IF($B22=2017,6,IF($B22=2018,7,IF($B22=2019,8,IF($B22=2020,9,0))))))),FALSE)</f>
        <v>166.54536773790227</v>
      </c>
      <c r="L22" s="546">
        <f>VLOOKUP($A22,EFCH4S!$A$1:$J$44,(IF($B22=2015,4,IF($B22=2016,5,IF($B22=2017,6,IF($B22=2018,7,IF($B22=2019,8,IF($B22=2020,9,0))))))),FALSE)</f>
        <v>1.0004303079381925E-2</v>
      </c>
      <c r="M22" s="540">
        <f t="shared" si="31"/>
        <v>5.9073727988636242E-2</v>
      </c>
      <c r="N22" s="135">
        <v>8</v>
      </c>
      <c r="O22" s="135">
        <v>1</v>
      </c>
      <c r="P22" s="136">
        <f t="shared" si="41"/>
        <v>66</v>
      </c>
      <c r="Q22" s="39">
        <f t="shared" si="32"/>
        <v>0.7537152486789116</v>
      </c>
      <c r="R22" s="29">
        <f t="shared" si="33"/>
        <v>3.0023604025039115</v>
      </c>
      <c r="S22" s="29">
        <f t="shared" si="34"/>
        <v>4.9746297253588416</v>
      </c>
      <c r="T22" s="29">
        <f t="shared" si="35"/>
        <v>1.4991366569201138E-2</v>
      </c>
      <c r="U22" s="29">
        <f t="shared" si="36"/>
        <v>0.16881760606592461</v>
      </c>
      <c r="V22" s="29">
        <f t="shared" si="37"/>
        <v>0.1502476693986729</v>
      </c>
      <c r="W22" s="29">
        <f t="shared" si="38"/>
        <v>1332.3629419032181</v>
      </c>
      <c r="X22" s="29">
        <f t="shared" si="39"/>
        <v>8.0034424635055404E-2</v>
      </c>
      <c r="Y22" s="29">
        <f t="shared" si="40"/>
        <v>0.47258982390908993</v>
      </c>
    </row>
    <row r="23" spans="1:25" s="3" customFormat="1" x14ac:dyDescent="0.25">
      <c r="A23" s="27" t="s">
        <v>201</v>
      </c>
      <c r="B23" s="115">
        <v>2017</v>
      </c>
      <c r="C23" s="25">
        <v>300</v>
      </c>
      <c r="D23" s="134">
        <v>0.38</v>
      </c>
      <c r="E23" s="546">
        <f>VLOOKUP($A23,EFROGS!$A$1:$J$44,(IF($B23=2015,4,IF($B23=2016,5,IF($B23=2017,6,IF($B23=2018,7,IF($B23=2019,8,IF($B23=2020,9,0))))))),FALSE)</f>
        <v>0.12026232442156529</v>
      </c>
      <c r="F23" s="546">
        <f>VLOOKUP($A23,EFCOS!$A$1:$J$44,(IF($B23=2015,4,IF($B23=2016,5,IF($B23=2017,6,IF($B23=2018,7,IF($B23=2019,8,IF($B23=2020,9,0))))))),FALSE)</f>
        <v>0.491521125488383</v>
      </c>
      <c r="G23" s="546">
        <f>VLOOKUP($A23,EFNOXS!$A$1:$J$44,(IF($B23=2015,4,IF($B23=2016,5,IF($B23=2017,6,IF($B23=2018,7,IF($B23=2019,8,IF($B23=2020,9,0))))))),FALSE)</f>
        <v>0.73411802534607107</v>
      </c>
      <c r="H23" s="546">
        <f>VLOOKUP($A23,EFSOXS!$A$1:$J$44,(IF($B23=2015,4,IF($B23=2016,5,IF($B23=2017,6,IF($B23=2018,7,IF($B23=2019,8,IF($B23=2020,9,0))))))),FALSE)</f>
        <v>2.2941882966723329E-3</v>
      </c>
      <c r="I23" s="546">
        <f>VLOOKUP($A23,EFPMS!$A$1:$J$44,(IF($B23=2015,4,IF($B23=2016,5,IF($B23=2017,6,IF($B23=2018,7,IF($B23=2019,8,IF($B23=2020,9,0))))))),FALSE)</f>
        <v>2.6581291294641821E-2</v>
      </c>
      <c r="J23" s="536">
        <f t="shared" si="30"/>
        <v>2.365734925223122E-2</v>
      </c>
      <c r="K23" s="549">
        <f>VLOOKUP($A23,EFCO2S!$A$1:$J$44,(IF($B23=2015,4,IF($B23=2016,5,IF($B23=2017,6,IF($B23=2018,7,IF($B23=2019,8,IF($B23=2020,9,0))))))),FALSE)</f>
        <v>233.73535169013226</v>
      </c>
      <c r="L23" s="546">
        <f>VLOOKUP($A23,EFCH4S!$A$1:$J$44,(IF($B23=2015,4,IF($B23=2016,5,IF($B23=2017,6,IF($B23=2018,7,IF($B23=2019,8,IF($B23=2020,9,0))))))),FALSE)</f>
        <v>1.2770166630775929E-2</v>
      </c>
      <c r="M23" s="540">
        <f t="shared" si="31"/>
        <v>6.9741212407876757E-2</v>
      </c>
      <c r="N23" s="135">
        <v>1</v>
      </c>
      <c r="O23" s="135">
        <v>6</v>
      </c>
      <c r="P23" s="136">
        <f t="shared" si="41"/>
        <v>66</v>
      </c>
      <c r="Q23" s="39">
        <f t="shared" si="32"/>
        <v>0.72157394652939177</v>
      </c>
      <c r="R23" s="29">
        <f t="shared" si="33"/>
        <v>2.9491267529302982</v>
      </c>
      <c r="S23" s="29">
        <f t="shared" si="34"/>
        <v>4.4047081520764264</v>
      </c>
      <c r="T23" s="29">
        <f t="shared" si="35"/>
        <v>1.3765129780033997E-2</v>
      </c>
      <c r="U23" s="29">
        <f t="shared" si="36"/>
        <v>0.15948774776785093</v>
      </c>
      <c r="V23" s="29">
        <f t="shared" si="37"/>
        <v>0.14194409551338733</v>
      </c>
      <c r="W23" s="29">
        <f t="shared" si="38"/>
        <v>1402.4121101407936</v>
      </c>
      <c r="X23" s="29">
        <f t="shared" si="39"/>
        <v>7.6620999784655572E-2</v>
      </c>
      <c r="Y23" s="29">
        <f t="shared" si="40"/>
        <v>0.41844727444726054</v>
      </c>
    </row>
    <row r="24" spans="1:25" s="3" customFormat="1" x14ac:dyDescent="0.25">
      <c r="A24" s="19" t="s">
        <v>38</v>
      </c>
      <c r="B24" s="34"/>
      <c r="C24" s="25"/>
      <c r="D24" s="13"/>
      <c r="E24" s="26"/>
      <c r="F24" s="26"/>
      <c r="G24" s="26"/>
      <c r="H24" s="26"/>
      <c r="I24" s="26"/>
      <c r="J24" s="27"/>
      <c r="K24" s="28"/>
      <c r="L24" s="26"/>
      <c r="M24" s="38"/>
      <c r="N24" s="135"/>
      <c r="O24" s="135"/>
      <c r="P24" s="136"/>
      <c r="Q24" s="138">
        <f t="shared" ref="Q24:Y24" si="42">SUM(Q15:Q23)</f>
        <v>12.573118727183259</v>
      </c>
      <c r="R24" s="31">
        <f t="shared" si="42"/>
        <v>55.387148012938347</v>
      </c>
      <c r="S24" s="31">
        <f t="shared" si="42"/>
        <v>92.608817658260207</v>
      </c>
      <c r="T24" s="31">
        <f t="shared" si="42"/>
        <v>0.19333833139548709</v>
      </c>
      <c r="U24" s="31">
        <f t="shared" si="42"/>
        <v>3.6104594410120816</v>
      </c>
      <c r="V24" s="31">
        <f t="shared" si="42"/>
        <v>3.2133089025007524</v>
      </c>
      <c r="W24" s="31">
        <f t="shared" si="42"/>
        <v>19008.2699902272</v>
      </c>
      <c r="X24" s="31">
        <f t="shared" si="42"/>
        <v>1.3461038117715531</v>
      </c>
      <c r="Y24" s="31">
        <f t="shared" si="42"/>
        <v>8.7978376775347211</v>
      </c>
    </row>
    <row r="25" spans="1:25" s="3" customFormat="1" x14ac:dyDescent="0.25">
      <c r="A25" s="19"/>
      <c r="B25" s="34"/>
      <c r="C25" s="25"/>
      <c r="D25" s="13"/>
      <c r="E25" s="26"/>
      <c r="F25" s="26"/>
      <c r="G25" s="26"/>
      <c r="H25" s="26"/>
      <c r="I25" s="26"/>
      <c r="J25" s="27"/>
      <c r="K25" s="28"/>
      <c r="L25" s="26"/>
      <c r="M25" s="38"/>
      <c r="N25" s="135"/>
      <c r="O25" s="135"/>
      <c r="P25" s="136"/>
      <c r="Q25" s="39"/>
      <c r="R25" s="29"/>
      <c r="S25" s="29"/>
      <c r="T25" s="29"/>
      <c r="U25" s="29"/>
      <c r="V25" s="29"/>
      <c r="W25" s="29"/>
      <c r="X25" s="29"/>
      <c r="Y25" s="29"/>
    </row>
    <row r="26" spans="1:25" s="3" customFormat="1" x14ac:dyDescent="0.25">
      <c r="A26" s="19" t="s">
        <v>217</v>
      </c>
      <c r="B26" s="115">
        <v>2018</v>
      </c>
      <c r="C26" s="20"/>
      <c r="D26" s="13"/>
      <c r="E26" s="21"/>
      <c r="F26" s="21"/>
      <c r="G26" s="21"/>
      <c r="H26" s="21"/>
      <c r="I26" s="21"/>
      <c r="J26" s="21"/>
      <c r="K26" s="21"/>
      <c r="L26" s="21"/>
      <c r="M26" s="21"/>
      <c r="N26" s="144"/>
      <c r="O26" s="144"/>
      <c r="P26" s="144"/>
      <c r="Q26" s="31"/>
      <c r="R26" s="31"/>
      <c r="S26" s="31"/>
      <c r="T26" s="31"/>
      <c r="U26" s="31"/>
      <c r="V26" s="31"/>
      <c r="W26" s="33"/>
      <c r="X26" s="31"/>
      <c r="Y26" s="31"/>
    </row>
    <row r="27" spans="1:25" s="3" customFormat="1" x14ac:dyDescent="0.25">
      <c r="A27" s="37" t="s">
        <v>62</v>
      </c>
      <c r="B27" s="115">
        <v>2018</v>
      </c>
      <c r="C27" s="25">
        <v>85</v>
      </c>
      <c r="D27" s="134">
        <v>0.36</v>
      </c>
      <c r="E27" s="546">
        <f>VLOOKUP($A27,EFROGS!$A$1:$J$44,(IF($B27=2015,4,IF($B27=2016,5,IF($B27=2017,6,IF($B27=2018,7,IF($B27=2019,8,IF($B27=2020,9,0))))))),FALSE)</f>
        <v>4.9009458509410124E-2</v>
      </c>
      <c r="F27" s="546">
        <f>VLOOKUP($A27,EFCOS!$A$1:$J$44,(IF($B27=2015,4,IF($B27=2016,5,IF($B27=2017,6,IF($B27=2018,7,IF($B27=2019,8,IF($B27=2020,9,0))))))),FALSE)</f>
        <v>0.35597152405712146</v>
      </c>
      <c r="G27" s="546">
        <f>VLOOKUP($A27,EFNOXS!$A$1:$J$44,(IF($B27=2015,4,IF($B27=2016,5,IF($B27=2017,6,IF($B27=2018,7,IF($B27=2019,8,IF($B27=2020,9,0))))))),FALSE)</f>
        <v>0.2945711828715753</v>
      </c>
      <c r="H27" s="546">
        <f>VLOOKUP($A27,EFSOXS!$A$1:$J$44,(IF($B27=2015,4,IF($B27=2016,5,IF($B27=2017,6,IF($B27=2018,7,IF($B27=2019,8,IF($B27=2020,9,0))))))),FALSE)</f>
        <v>6.9108543215850075E-4</v>
      </c>
      <c r="I27" s="546">
        <f>VLOOKUP($A27,EFPMS!$A$1:$J$44,(IF($B27=2015,4,IF($B27=2016,5,IF($B27=2017,6,IF($B27=2018,7,IF($B27=2019,8,IF($B27=2020,9,0))))))),FALSE)</f>
        <v>2.1783222351132885E-2</v>
      </c>
      <c r="J27" s="536">
        <f t="shared" ref="J27:J36" si="43">0.89*I27</f>
        <v>1.9387067892508266E-2</v>
      </c>
      <c r="K27" s="549">
        <f>VLOOKUP($A27,EFCO2S!$A$1:$J$44,(IF($B27=2015,4,IF($B27=2016,5,IF($B27=2017,6,IF($B27=2018,7,IF($B27=2019,8,IF($B27=2020,9,0))))))),FALSE)</f>
        <v>58.913506914239804</v>
      </c>
      <c r="L27" s="546">
        <f>VLOOKUP($A27,EFCH4S!$A$1:$J$44,(IF($B27=2015,4,IF($B27=2016,5,IF($B27=2017,6,IF($B27=2018,7,IF($B27=2019,8,IF($B27=2020,9,0))))))),FALSE)</f>
        <v>5.9519955114860921E-3</v>
      </c>
      <c r="M27" s="540">
        <f t="shared" ref="M27:M36" si="44">0.095*G27</f>
        <v>2.7984262372799655E-2</v>
      </c>
      <c r="N27" s="108">
        <v>1</v>
      </c>
      <c r="O27" s="108">
        <v>8</v>
      </c>
      <c r="P27" s="109">
        <f>6*22</f>
        <v>132</v>
      </c>
      <c r="Q27" s="39">
        <f t="shared" ref="Q27:Y36" si="45">(E27*$N27*$O27)</f>
        <v>0.39207566807528099</v>
      </c>
      <c r="R27" s="29">
        <f t="shared" si="45"/>
        <v>2.8477721924569717</v>
      </c>
      <c r="S27" s="29">
        <f t="shared" si="45"/>
        <v>2.3565694629726024</v>
      </c>
      <c r="T27" s="29">
        <f t="shared" si="45"/>
        <v>5.528683457268006E-3</v>
      </c>
      <c r="U27" s="29">
        <f t="shared" si="45"/>
        <v>0.17426577880906308</v>
      </c>
      <c r="V27" s="29">
        <f t="shared" si="45"/>
        <v>0.15509654314006613</v>
      </c>
      <c r="W27" s="29">
        <f t="shared" si="45"/>
        <v>471.30805531391843</v>
      </c>
      <c r="X27" s="29">
        <f t="shared" si="45"/>
        <v>4.7615964091888736E-2</v>
      </c>
      <c r="Y27" s="29">
        <f t="shared" si="45"/>
        <v>0.22387409898239724</v>
      </c>
    </row>
    <row r="28" spans="1:25" s="3" customFormat="1" x14ac:dyDescent="0.25">
      <c r="A28" s="27" t="s">
        <v>155</v>
      </c>
      <c r="B28" s="115">
        <v>2018</v>
      </c>
      <c r="C28" s="134">
        <v>82</v>
      </c>
      <c r="D28" s="134">
        <v>0.5</v>
      </c>
      <c r="E28" s="546">
        <f>VLOOKUP($A28,EFROGS!$A$1:$J$44,(IF($B28=2015,4,IF($B28=2016,5,IF($B28=2017,6,IF($B28=2018,7,IF($B28=2019,8,IF($B28=2020,9,0))))))),FALSE)</f>
        <v>2.539041750948743E-2</v>
      </c>
      <c r="F28" s="546">
        <f>VLOOKUP($A28,EFCOS!$A$1:$J$44,(IF($B28=2015,4,IF($B28=2016,5,IF($B28=2017,6,IF($B28=2018,7,IF($B28=2019,8,IF($B28=2020,9,0))))))),FALSE)</f>
        <v>0.42688220139286698</v>
      </c>
      <c r="G28" s="546">
        <f>VLOOKUP($A28,EFNOXS!$A$1:$J$44,(IF($B28=2015,4,IF($B28=2016,5,IF($B28=2017,6,IF($B28=2018,7,IF($B28=2019,8,IF($B28=2020,9,0))))))),FALSE)</f>
        <v>0.19783712892298524</v>
      </c>
      <c r="H28" s="546">
        <f>VLOOKUP($A28,EFSOXS!$A$1:$J$44,(IF($B28=2015,4,IF($B28=2016,5,IF($B28=2017,6,IF($B28=2018,7,IF($B28=2019,8,IF($B28=2020,9,0))))))),FALSE)</f>
        <v>9.0467818141783509E-4</v>
      </c>
      <c r="I28" s="546">
        <f>VLOOKUP($A28,EFPMS!$A$1:$J$44,(IF($B28=2015,4,IF($B28=2016,5,IF($B28=2017,6,IF($B28=2018,7,IF($B28=2019,8,IF($B28=2020,9,0))))))),FALSE)</f>
        <v>5.4756277580109121E-3</v>
      </c>
      <c r="J28" s="536">
        <f t="shared" si="43"/>
        <v>4.873308704629712E-3</v>
      </c>
      <c r="K28" s="549">
        <f>VLOOKUP($A28,EFCO2S!$A$1:$J$44,(IF($B28=2015,4,IF($B28=2016,5,IF($B28=2017,6,IF($B28=2018,7,IF($B28=2019,8,IF($B28=2020,9,0))))))),FALSE)</f>
        <v>77.121786625322102</v>
      </c>
      <c r="L28" s="546">
        <f>VLOOKUP($A28,EFCH4S!$A$1:$J$44,(IF($B28=2015,4,IF($B28=2016,5,IF($B28=2017,6,IF($B28=2018,7,IF($B28=2019,8,IF($B28=2020,9,0))))))),FALSE)</f>
        <v>2.7834325013313161E-3</v>
      </c>
      <c r="M28" s="540">
        <f t="shared" si="44"/>
        <v>1.8794527247683598E-2</v>
      </c>
      <c r="N28" s="108">
        <v>1</v>
      </c>
      <c r="O28" s="108">
        <v>8</v>
      </c>
      <c r="P28" s="109">
        <v>11</v>
      </c>
      <c r="Q28" s="39">
        <f t="shared" si="45"/>
        <v>0.20312334007589944</v>
      </c>
      <c r="R28" s="29">
        <f t="shared" si="45"/>
        <v>3.4150576111429358</v>
      </c>
      <c r="S28" s="29">
        <f t="shared" si="45"/>
        <v>1.582697031383882</v>
      </c>
      <c r="T28" s="29">
        <f t="shared" si="45"/>
        <v>7.2374254513426807E-3</v>
      </c>
      <c r="U28" s="29">
        <f t="shared" si="45"/>
        <v>4.3805022064087297E-2</v>
      </c>
      <c r="V28" s="29">
        <f t="shared" si="45"/>
        <v>3.8986469637037696E-2</v>
      </c>
      <c r="W28" s="29">
        <f t="shared" si="45"/>
        <v>616.97429300257681</v>
      </c>
      <c r="X28" s="29">
        <f t="shared" si="45"/>
        <v>2.2267460010650528E-2</v>
      </c>
      <c r="Y28" s="29">
        <f t="shared" si="45"/>
        <v>0.15035621798146878</v>
      </c>
    </row>
    <row r="29" spans="1:25" s="3" customFormat="1" x14ac:dyDescent="0.25">
      <c r="A29" s="27" t="s">
        <v>197</v>
      </c>
      <c r="B29" s="115">
        <v>2018</v>
      </c>
      <c r="C29" s="134">
        <v>200</v>
      </c>
      <c r="D29" s="134">
        <v>0.36</v>
      </c>
      <c r="E29" s="546">
        <f>VLOOKUP($A29,EFROGS!$A$1:$J$44,(IF($B29=2015,4,IF($B29=2016,5,IF($B29=2017,6,IF($B29=2018,7,IF($B29=2019,8,IF($B29=2020,9,0))))))),FALSE)</f>
        <v>7.2887346010641285E-2</v>
      </c>
      <c r="F29" s="546">
        <f>VLOOKUP($A29,EFCOS!$A$1:$J$44,(IF($B29=2015,4,IF($B29=2016,5,IF($B29=2017,6,IF($B29=2018,7,IF($B29=2019,8,IF($B29=2020,9,0))))))),FALSE)</f>
        <v>0.33135948621040862</v>
      </c>
      <c r="G29" s="546">
        <f>VLOOKUP($A29,EFNOXS!$A$1:$J$44,(IF($B29=2015,4,IF($B29=2016,5,IF($B29=2017,6,IF($B29=2018,7,IF($B29=2019,8,IF($B29=2020,9,0))))))),FALSE)</f>
        <v>0.51421364396110203</v>
      </c>
      <c r="H29" s="546">
        <f>VLOOKUP($A29,EFSOXS!$A$1:$J$44,(IF($B29=2015,4,IF($B29=2016,5,IF($B29=2017,6,IF($B29=2018,7,IF($B29=2019,8,IF($B29=2020,9,0))))))),FALSE)</f>
        <v>1.6762429502385828E-3</v>
      </c>
      <c r="I29" s="546">
        <f>VLOOKUP($A29,EFPMS!$A$1:$J$44,(IF($B29=2015,4,IF($B29=2016,5,IF($B29=2017,6,IF($B29=2018,7,IF($B29=2019,8,IF($B29=2020,9,0))))))),FALSE)</f>
        <v>1.7760280708673921E-2</v>
      </c>
      <c r="J29" s="536">
        <f t="shared" si="43"/>
        <v>1.5806649830719791E-2</v>
      </c>
      <c r="K29" s="549">
        <f>VLOOKUP($A29,EFCO2S!$A$1:$J$44,(IF($B29=2015,4,IF($B29=2016,5,IF($B29=2017,6,IF($B29=2018,7,IF($B29=2019,8,IF($B29=2020,9,0))))))),FALSE)</f>
        <v>148.97670143852574</v>
      </c>
      <c r="L29" s="546">
        <f>VLOOKUP($A29,EFCH4S!$A$1:$J$44,(IF($B29=2015,4,IF($B29=2016,5,IF($B29=2017,6,IF($B29=2018,7,IF($B29=2019,8,IF($B29=2020,9,0))))))),FALSE)</f>
        <v>8.5356955520187617E-3</v>
      </c>
      <c r="M29" s="540">
        <f t="shared" si="44"/>
        <v>4.8850296176304694E-2</v>
      </c>
      <c r="N29" s="108">
        <v>1</v>
      </c>
      <c r="O29" s="108">
        <v>6</v>
      </c>
      <c r="P29" s="109">
        <f>4*22</f>
        <v>88</v>
      </c>
      <c r="Q29" s="39">
        <f t="shared" si="45"/>
        <v>0.43732407606384771</v>
      </c>
      <c r="R29" s="29">
        <f t="shared" si="45"/>
        <v>1.9881569172624518</v>
      </c>
      <c r="S29" s="29">
        <f t="shared" si="45"/>
        <v>3.0852818637666122</v>
      </c>
      <c r="T29" s="29">
        <f t="shared" si="45"/>
        <v>1.0057457701431497E-2</v>
      </c>
      <c r="U29" s="29">
        <f t="shared" si="45"/>
        <v>0.10656168425204353</v>
      </c>
      <c r="V29" s="29">
        <f t="shared" si="45"/>
        <v>9.4839898984318743E-2</v>
      </c>
      <c r="W29" s="29">
        <f t="shared" si="45"/>
        <v>893.86020863115436</v>
      </c>
      <c r="X29" s="29">
        <f t="shared" si="45"/>
        <v>5.1214173312112574E-2</v>
      </c>
      <c r="Y29" s="29">
        <f t="shared" si="45"/>
        <v>0.29310177705782814</v>
      </c>
    </row>
    <row r="30" spans="1:25" s="3" customFormat="1" x14ac:dyDescent="0.25">
      <c r="A30" s="37" t="s">
        <v>61</v>
      </c>
      <c r="B30" s="115">
        <v>2018</v>
      </c>
      <c r="C30" s="25">
        <v>235</v>
      </c>
      <c r="D30" s="134">
        <v>0.38</v>
      </c>
      <c r="E30" s="546">
        <f>VLOOKUP($A30,EFROGS!$A$1:$J$44,(IF($B30=2015,4,IF($B30=2016,5,IF($B30=2017,6,IF($B30=2018,7,IF($B30=2019,8,IF($B30=2020,9,0))))))),FALSE)</f>
        <v>8.119224107646289E-2</v>
      </c>
      <c r="F30" s="546">
        <f>VLOOKUP($A30,EFCOS!$A$1:$J$44,(IF($B30=2015,4,IF($B30=2016,5,IF($B30=2017,6,IF($B30=2018,7,IF($B30=2019,8,IF($B30=2020,9,0))))))),FALSE)</f>
        <v>0.37994200133931877</v>
      </c>
      <c r="G30" s="546">
        <f>VLOOKUP($A30,EFNOXS!$A$1:$J$44,(IF($B30=2015,4,IF($B30=2016,5,IF($B30=2017,6,IF($B30=2018,7,IF($B30=2019,8,IF($B30=2020,9,0))))))),FALSE)</f>
        <v>0.48394485675138055</v>
      </c>
      <c r="H30" s="546">
        <f>VLOOKUP($A30,EFSOXS!$A$1:$J$44,(IF($B30=2015,4,IF($B30=2016,5,IF($B30=2017,6,IF($B30=2018,7,IF($B30=2019,8,IF($B30=2020,9,0))))))),FALSE)</f>
        <v>1.873921930245647E-3</v>
      </c>
      <c r="I30" s="546">
        <f>VLOOKUP($A30,EFPMS!$A$1:$J$44,(IF($B30=2015,4,IF($B30=2016,5,IF($B30=2017,6,IF($B30=2018,7,IF($B30=2019,8,IF($B30=2020,9,0))))))),FALSE)</f>
        <v>1.6665559588840455E-2</v>
      </c>
      <c r="J30" s="536">
        <f t="shared" si="43"/>
        <v>1.4832348034068006E-2</v>
      </c>
      <c r="K30" s="549">
        <f>VLOOKUP($A30,EFCO2S!$A$1:$J$44,(IF($B30=2015,4,IF($B30=2016,5,IF($B30=2017,6,IF($B30=2018,7,IF($B30=2019,8,IF($B30=2020,9,0))))))),FALSE)</f>
        <v>166.54543379579488</v>
      </c>
      <c r="L30" s="546">
        <f>VLOOKUP($A30,EFCH4S!$A$1:$J$44,(IF($B30=2015,4,IF($B30=2016,5,IF($B30=2017,6,IF($B30=2018,7,IF($B30=2019,8,IF($B30=2020,9,0))))))),FALSE)</f>
        <v>9.3996999235005617E-3</v>
      </c>
      <c r="M30" s="540">
        <f t="shared" si="44"/>
        <v>4.5974761391381153E-2</v>
      </c>
      <c r="N30" s="108">
        <v>30</v>
      </c>
      <c r="O30" s="108">
        <v>1</v>
      </c>
      <c r="P30" s="109">
        <f>4*22</f>
        <v>88</v>
      </c>
      <c r="Q30" s="39">
        <f t="shared" si="45"/>
        <v>2.4357672322938866</v>
      </c>
      <c r="R30" s="29">
        <f t="shared" si="45"/>
        <v>11.398260040179563</v>
      </c>
      <c r="S30" s="29">
        <f t="shared" si="45"/>
        <v>14.518345702541417</v>
      </c>
      <c r="T30" s="29">
        <f t="shared" si="45"/>
        <v>5.6217657907369406E-2</v>
      </c>
      <c r="U30" s="29">
        <f t="shared" si="45"/>
        <v>0.49996678766521369</v>
      </c>
      <c r="V30" s="29">
        <f t="shared" si="45"/>
        <v>0.4449704410220402</v>
      </c>
      <c r="W30" s="29">
        <f t="shared" si="45"/>
        <v>4996.3630138738463</v>
      </c>
      <c r="X30" s="29">
        <f t="shared" si="45"/>
        <v>0.28199099770501684</v>
      </c>
      <c r="Y30" s="29">
        <f t="shared" si="45"/>
        <v>1.3792428417414346</v>
      </c>
    </row>
    <row r="31" spans="1:25" s="3" customFormat="1" x14ac:dyDescent="0.25">
      <c r="A31" s="27" t="s">
        <v>156</v>
      </c>
      <c r="B31" s="115">
        <v>2018</v>
      </c>
      <c r="C31" s="134">
        <v>37</v>
      </c>
      <c r="D31" s="134">
        <v>0.37</v>
      </c>
      <c r="E31" s="546">
        <f>VLOOKUP($A31,EFROGS!$A$1:$J$44,(IF($B31=2015,4,IF($B31=2016,5,IF($B31=2017,6,IF($B31=2018,7,IF($B31=2019,8,IF($B31=2020,9,0))))))),FALSE)</f>
        <v>2.6321181794284464E-2</v>
      </c>
      <c r="F31" s="546">
        <f>VLOOKUP($A31,EFCOS!$A$1:$J$44,(IF($B31=2015,4,IF($B31=2016,5,IF($B31=2017,6,IF($B31=2018,7,IF($B31=2019,8,IF($B31=2020,9,0))))))),FALSE)</f>
        <v>0.17955203678474077</v>
      </c>
      <c r="G31" s="546">
        <f>VLOOKUP($A31,EFNOXS!$A$1:$J$44,(IF($B31=2015,4,IF($B31=2016,5,IF($B31=2017,6,IF($B31=2018,7,IF($B31=2019,8,IF($B31=2020,9,0))))))),FALSE)</f>
        <v>0.15677301180901521</v>
      </c>
      <c r="H31" s="546">
        <f>VLOOKUP($A31,EFSOXS!$A$1:$J$44,(IF($B31=2015,4,IF($B31=2016,5,IF($B31=2017,6,IF($B31=2018,7,IF($B31=2019,8,IF($B31=2020,9,0))))))),FALSE)</f>
        <v>3.2989903974974726E-4</v>
      </c>
      <c r="I31" s="546">
        <f>VLOOKUP($A31,EFPMS!$A$1:$J$44,(IF($B31=2015,4,IF($B31=2016,5,IF($B31=2017,6,IF($B31=2018,7,IF($B31=2019,8,IF($B31=2020,9,0))))))),FALSE)</f>
        <v>4.7346803420060734E-3</v>
      </c>
      <c r="J31" s="536">
        <f t="shared" si="43"/>
        <v>4.2138655043854056E-3</v>
      </c>
      <c r="K31" s="549">
        <f>VLOOKUP($A31,EFCO2S!$A$1:$J$44,(IF($B31=2015,4,IF($B31=2016,5,IF($B31=2017,6,IF($B31=2018,7,IF($B31=2019,8,IF($B31=2020,9,0))))))),FALSE)</f>
        <v>25.519164465886792</v>
      </c>
      <c r="L31" s="546">
        <f>VLOOKUP($A31,EFCH4S!$A$1:$J$44,(IF($B31=2015,4,IF($B31=2016,5,IF($B31=2017,6,IF($B31=2018,7,IF($B31=2019,8,IF($B31=2020,9,0))))))),FALSE)</f>
        <v>2.3749178457344233E-3</v>
      </c>
      <c r="M31" s="540">
        <f t="shared" si="44"/>
        <v>1.4893436121856445E-2</v>
      </c>
      <c r="N31" s="108">
        <v>1</v>
      </c>
      <c r="O31" s="108">
        <v>4</v>
      </c>
      <c r="P31" s="109">
        <f>6*22</f>
        <v>132</v>
      </c>
      <c r="Q31" s="39">
        <f t="shared" si="45"/>
        <v>0.10528472717713785</v>
      </c>
      <c r="R31" s="29">
        <f t="shared" si="45"/>
        <v>0.71820814713896308</v>
      </c>
      <c r="S31" s="29">
        <f t="shared" si="45"/>
        <v>0.62709204723606082</v>
      </c>
      <c r="T31" s="29">
        <f t="shared" si="45"/>
        <v>1.319596158998989E-3</v>
      </c>
      <c r="U31" s="29">
        <f t="shared" si="45"/>
        <v>1.8938721368024294E-2</v>
      </c>
      <c r="V31" s="29">
        <f t="shared" si="45"/>
        <v>1.6855462017541623E-2</v>
      </c>
      <c r="W31" s="29">
        <f t="shared" si="45"/>
        <v>102.07665786354717</v>
      </c>
      <c r="X31" s="29">
        <f t="shared" si="45"/>
        <v>9.4996713829376932E-3</v>
      </c>
      <c r="Y31" s="29">
        <f t="shared" si="45"/>
        <v>5.9573744487425778E-2</v>
      </c>
    </row>
    <row r="32" spans="1:25" s="3" customFormat="1" x14ac:dyDescent="0.25">
      <c r="A32" s="27" t="s">
        <v>202</v>
      </c>
      <c r="B32" s="115">
        <v>2018</v>
      </c>
      <c r="C32" s="25">
        <v>399</v>
      </c>
      <c r="D32" s="134">
        <v>0.28999999999999998</v>
      </c>
      <c r="E32" s="546">
        <f>VLOOKUP($A32,EFROGS!$A$1:$J$44,(IF($B32=2015,4,IF($B32=2016,5,IF($B32=2017,6,IF($B32=2018,7,IF($B32=2019,8,IF($B32=2020,9,0))))))),FALSE)</f>
        <v>9.4826505737279188E-2</v>
      </c>
      <c r="F32" s="546">
        <f>VLOOKUP($A32,EFCOS!$A$1:$J$44,(IF($B32=2015,4,IF($B32=2016,5,IF($B32=2017,6,IF($B32=2018,7,IF($B32=2019,8,IF($B32=2020,9,0))))))),FALSE)</f>
        <v>0.45434236467617739</v>
      </c>
      <c r="G32" s="546">
        <f>VLOOKUP($A32,EFNOXS!$A$1:$J$44,(IF($B32=2015,4,IF($B32=2016,5,IF($B32=2017,6,IF($B32=2018,7,IF($B32=2019,8,IF($B32=2020,9,0))))))),FALSE)</f>
        <v>0.63535292909985608</v>
      </c>
      <c r="H32" s="546">
        <f>VLOOKUP($A32,EFSOXS!$A$1:$J$44,(IF($B32=2015,4,IF($B32=2016,5,IF($B32=2017,6,IF($B32=2018,7,IF($B32=2019,8,IF($B32=2020,9,0))))))),FALSE)</f>
        <v>1.7677529466161633E-3</v>
      </c>
      <c r="I32" s="546">
        <f>VLOOKUP($A32,EFPMS!$A$1:$J$44,(IF($B32=2015,4,IF($B32=2016,5,IF($B32=2017,6,IF($B32=2018,7,IF($B32=2019,8,IF($B32=2020,9,0))))))),FALSE)</f>
        <v>2.3360137726921776E-2</v>
      </c>
      <c r="J32" s="536">
        <f t="shared" si="43"/>
        <v>2.0790522576960381E-2</v>
      </c>
      <c r="K32" s="549">
        <f>VLOOKUP($A32,EFCO2S!$A$1:$J$44,(IF($B32=2015,4,IF($B32=2016,5,IF($B32=2017,6,IF($B32=2018,7,IF($B32=2019,8,IF($B32=2020,9,0))))))),FALSE)</f>
        <v>180.10127182932982</v>
      </c>
      <c r="L32" s="546">
        <f>VLOOKUP($A32,EFCH4S!$A$1:$J$44,(IF($B32=2015,4,IF($B32=2016,5,IF($B32=2017,6,IF($B32=2018,7,IF($B32=2019,8,IF($B32=2020,9,0))))))),FALSE)</f>
        <v>1.0841920844072756E-2</v>
      </c>
      <c r="M32" s="540">
        <f t="shared" si="44"/>
        <v>6.035852826448633E-2</v>
      </c>
      <c r="N32" s="135">
        <v>1</v>
      </c>
      <c r="O32" s="135">
        <v>2</v>
      </c>
      <c r="P32" s="136">
        <f>6*22</f>
        <v>132</v>
      </c>
      <c r="Q32" s="39">
        <f t="shared" si="45"/>
        <v>0.18965301147455838</v>
      </c>
      <c r="R32" s="29">
        <f t="shared" si="45"/>
        <v>0.90868472935235478</v>
      </c>
      <c r="S32" s="29">
        <f t="shared" si="45"/>
        <v>1.2707058581997122</v>
      </c>
      <c r="T32" s="29">
        <f t="shared" si="45"/>
        <v>3.5355058932323266E-3</v>
      </c>
      <c r="U32" s="29">
        <f t="shared" si="45"/>
        <v>4.6720275453843552E-2</v>
      </c>
      <c r="V32" s="29">
        <f t="shared" si="45"/>
        <v>4.1581045153920762E-2</v>
      </c>
      <c r="W32" s="29">
        <f t="shared" si="45"/>
        <v>360.20254365865964</v>
      </c>
      <c r="X32" s="29">
        <f t="shared" si="45"/>
        <v>2.1683841688145512E-2</v>
      </c>
      <c r="Y32" s="29">
        <f t="shared" si="45"/>
        <v>0.12071705652897266</v>
      </c>
    </row>
    <row r="33" spans="1:25" s="3" customFormat="1" x14ac:dyDescent="0.25">
      <c r="A33" s="27" t="s">
        <v>199</v>
      </c>
      <c r="B33" s="115">
        <v>2018</v>
      </c>
      <c r="C33" s="25">
        <v>175</v>
      </c>
      <c r="D33" s="134">
        <v>0.38</v>
      </c>
      <c r="E33" s="546">
        <f>VLOOKUP($A33,EFROGS!$A$1:$J$44,(IF($B33=2015,4,IF($B33=2016,5,IF($B33=2017,6,IF($B33=2018,7,IF($B33=2019,8,IF($B33=2020,9,0))))))),FALSE)</f>
        <v>7.9081129965351771E-2</v>
      </c>
      <c r="F33" s="546">
        <f>VLOOKUP($A33,EFCOS!$A$1:$J$44,(IF($B33=2015,4,IF($B33=2016,5,IF($B33=2017,6,IF($B33=2018,7,IF($B33=2019,8,IF($B33=2020,9,0))))))),FALSE)</f>
        <v>0.34676739816471558</v>
      </c>
      <c r="G33" s="546">
        <f>VLOOKUP($A33,EFNOXS!$A$1:$J$44,(IF($B33=2015,4,IF($B33=2016,5,IF($B33=2017,6,IF($B33=2018,7,IF($B33=2019,8,IF($B33=2020,9,0))))))),FALSE)</f>
        <v>0.47942104722757106</v>
      </c>
      <c r="H33" s="546">
        <f>VLOOKUP($A33,EFSOXS!$A$1:$J$44,(IF($B33=2015,4,IF($B33=2016,5,IF($B33=2017,6,IF($B33=2018,7,IF($B33=2019,8,IF($B33=2020,9,0))))))),FALSE)</f>
        <v>1.873921930245647E-3</v>
      </c>
      <c r="I33" s="546">
        <f>VLOOKUP($A33,EFPMS!$A$1:$J$44,(IF($B33=2015,4,IF($B33=2016,5,IF($B33=2017,6,IF($B33=2018,7,IF($B33=2019,8,IF($B33=2020,9,0))))))),FALSE)</f>
        <v>1.6439369112649978E-2</v>
      </c>
      <c r="J33" s="536">
        <f t="shared" si="43"/>
        <v>1.463103851025848E-2</v>
      </c>
      <c r="K33" s="549">
        <f>VLOOKUP($A33,EFCO2S!$A$1:$J$44,(IF($B33=2015,4,IF($B33=2016,5,IF($B33=2017,6,IF($B33=2018,7,IF($B33=2019,8,IF($B33=2020,9,0))))))),FALSE)</f>
        <v>166.54543379579488</v>
      </c>
      <c r="L33" s="546">
        <f>VLOOKUP($A33,EFCH4S!$A$1:$J$44,(IF($B33=2015,4,IF($B33=2016,5,IF($B33=2017,6,IF($B33=2018,7,IF($B33=2019,8,IF($B33=2020,9,0))))))),FALSE)</f>
        <v>9.3996999235005617E-3</v>
      </c>
      <c r="M33" s="540">
        <f t="shared" si="44"/>
        <v>4.5544999486619255E-2</v>
      </c>
      <c r="N33" s="108">
        <v>1</v>
      </c>
      <c r="O33" s="108">
        <v>2</v>
      </c>
      <c r="P33" s="109">
        <f>6*22</f>
        <v>132</v>
      </c>
      <c r="Q33" s="39">
        <f t="shared" si="45"/>
        <v>0.15816225993070354</v>
      </c>
      <c r="R33" s="29">
        <f t="shared" si="45"/>
        <v>0.69353479632943116</v>
      </c>
      <c r="S33" s="29">
        <f t="shared" si="45"/>
        <v>0.95884209445514212</v>
      </c>
      <c r="T33" s="29">
        <f t="shared" si="45"/>
        <v>3.7478438604912939E-3</v>
      </c>
      <c r="U33" s="29">
        <f t="shared" si="45"/>
        <v>3.2878738225299957E-2</v>
      </c>
      <c r="V33" s="29">
        <f t="shared" si="45"/>
        <v>2.9262077020516961E-2</v>
      </c>
      <c r="W33" s="29">
        <f t="shared" si="45"/>
        <v>333.09086759158976</v>
      </c>
      <c r="X33" s="29">
        <f t="shared" si="45"/>
        <v>1.8799399847001123E-2</v>
      </c>
      <c r="Y33" s="29">
        <f t="shared" si="45"/>
        <v>9.1089998973238509E-2</v>
      </c>
    </row>
    <row r="34" spans="1:25" s="3" customFormat="1" x14ac:dyDescent="0.25">
      <c r="A34" s="37" t="s">
        <v>157</v>
      </c>
      <c r="B34" s="115">
        <v>2018</v>
      </c>
      <c r="C34" s="25">
        <v>235</v>
      </c>
      <c r="D34" s="134">
        <v>0.38</v>
      </c>
      <c r="E34" s="546">
        <f>VLOOKUP($A34,EFROGS!$A$1:$J$44,(IF($B34=2015,4,IF($B34=2016,5,IF($B34=2017,6,IF($B34=2018,7,IF($B34=2019,8,IF($B34=2020,9,0))))))),FALSE)</f>
        <v>8.119224107646289E-2</v>
      </c>
      <c r="F34" s="546">
        <f>VLOOKUP($A34,EFCOS!$A$1:$J$44,(IF($B34=2015,4,IF($B34=2016,5,IF($B34=2017,6,IF($B34=2018,7,IF($B34=2019,8,IF($B34=2020,9,0))))))),FALSE)</f>
        <v>0.37994200133931877</v>
      </c>
      <c r="G34" s="546">
        <f>VLOOKUP($A34,EFNOXS!$A$1:$J$44,(IF($B34=2015,4,IF($B34=2016,5,IF($B34=2017,6,IF($B34=2018,7,IF($B34=2019,8,IF($B34=2020,9,0))))))),FALSE)</f>
        <v>0.48394485675138055</v>
      </c>
      <c r="H34" s="546">
        <f>VLOOKUP($A34,EFSOXS!$A$1:$J$44,(IF($B34=2015,4,IF($B34=2016,5,IF($B34=2017,6,IF($B34=2018,7,IF($B34=2019,8,IF($B34=2020,9,0))))))),FALSE)</f>
        <v>1.873921930245647E-3</v>
      </c>
      <c r="I34" s="546">
        <f>VLOOKUP($A34,EFPMS!$A$1:$J$44,(IF($B34=2015,4,IF($B34=2016,5,IF($B34=2017,6,IF($B34=2018,7,IF($B34=2019,8,IF($B34=2020,9,0))))))),FALSE)</f>
        <v>1.6665559588840455E-2</v>
      </c>
      <c r="J34" s="536">
        <f t="shared" si="43"/>
        <v>1.4832348034068006E-2</v>
      </c>
      <c r="K34" s="549">
        <f>VLOOKUP($A34,EFCO2S!$A$1:$J$44,(IF($B34=2015,4,IF($B34=2016,5,IF($B34=2017,6,IF($B34=2018,7,IF($B34=2019,8,IF($B34=2020,9,0))))))),FALSE)</f>
        <v>166.54543379579488</v>
      </c>
      <c r="L34" s="546">
        <f>VLOOKUP($A34,EFCH4S!$A$1:$J$44,(IF($B34=2015,4,IF($B34=2016,5,IF($B34=2017,6,IF($B34=2018,7,IF($B34=2019,8,IF($B34=2020,9,0))))))),FALSE)</f>
        <v>9.3996999235005617E-3</v>
      </c>
      <c r="M34" s="540">
        <f t="shared" si="44"/>
        <v>4.5974761391381153E-2</v>
      </c>
      <c r="N34" s="108">
        <v>45</v>
      </c>
      <c r="O34" s="108">
        <v>1</v>
      </c>
      <c r="P34" s="109">
        <f>6*22</f>
        <v>132</v>
      </c>
      <c r="Q34" s="39">
        <f t="shared" si="45"/>
        <v>3.6536508484408299</v>
      </c>
      <c r="R34" s="29">
        <f t="shared" si="45"/>
        <v>17.097390060269344</v>
      </c>
      <c r="S34" s="29">
        <f t="shared" si="45"/>
        <v>21.777518553812126</v>
      </c>
      <c r="T34" s="29">
        <f t="shared" si="45"/>
        <v>8.4326486861054109E-2</v>
      </c>
      <c r="U34" s="29">
        <f t="shared" si="45"/>
        <v>0.74995018149782045</v>
      </c>
      <c r="V34" s="29">
        <f t="shared" si="45"/>
        <v>0.66745566153306024</v>
      </c>
      <c r="W34" s="29">
        <f t="shared" si="45"/>
        <v>7494.5445208107694</v>
      </c>
      <c r="X34" s="29">
        <f t="shared" si="45"/>
        <v>0.42298649655752529</v>
      </c>
      <c r="Y34" s="29">
        <f t="shared" si="45"/>
        <v>2.0688642626121521</v>
      </c>
    </row>
    <row r="35" spans="1:25" s="3" customFormat="1" x14ac:dyDescent="0.25">
      <c r="A35" s="27" t="s">
        <v>158</v>
      </c>
      <c r="B35" s="115">
        <v>2018</v>
      </c>
      <c r="C35" s="134">
        <v>165</v>
      </c>
      <c r="D35" s="134">
        <v>0.42</v>
      </c>
      <c r="E35" s="546">
        <f>VLOOKUP($A35,EFROGS!$A$1:$J$44,(IF($B35=2015,4,IF($B35=2016,5,IF($B35=2017,6,IF($B35=2018,7,IF($B35=2019,8,IF($B35=2020,9,0))))))),FALSE)</f>
        <v>4.8978950385765892E-2</v>
      </c>
      <c r="F35" s="546">
        <f>VLOOKUP($A35,EFCOS!$A$1:$J$44,(IF($B35=2015,4,IF($B35=2016,5,IF($B35=2017,6,IF($B35=2018,7,IF($B35=2019,8,IF($B35=2020,9,0))))))),FALSE)</f>
        <v>0.51096761064993668</v>
      </c>
      <c r="G35" s="546">
        <f>VLOOKUP($A35,EFNOXS!$A$1:$J$44,(IF($B35=2015,4,IF($B35=2016,5,IF($B35=2017,6,IF($B35=2018,7,IF($B35=2019,8,IF($B35=2020,9,0))))))),FALSE)</f>
        <v>0.32718702918888704</v>
      </c>
      <c r="H35" s="546">
        <f>VLOOKUP($A35,EFSOXS!$A$1:$J$44,(IF($B35=2015,4,IF($B35=2016,5,IF($B35=2017,6,IF($B35=2018,7,IF($B35=2019,8,IF($B35=2020,9,0))))))),FALSE)</f>
        <v>1.1984860337219379E-3</v>
      </c>
      <c r="I35" s="546">
        <f>VLOOKUP($A35,EFPMS!$A$1:$J$44,(IF($B35=2015,4,IF($B35=2016,5,IF($B35=2017,6,IF($B35=2018,7,IF($B35=2019,8,IF($B35=2020,9,0))))))),FALSE)</f>
        <v>1.5921598680219098E-2</v>
      </c>
      <c r="J35" s="536">
        <f t="shared" si="43"/>
        <v>1.4170222825394999E-2</v>
      </c>
      <c r="K35" s="549">
        <f>VLOOKUP($A35,EFCO2S!$A$1:$J$44,(IF($B35=2015,4,IF($B35=2016,5,IF($B35=2017,6,IF($B35=2018,7,IF($B35=2019,8,IF($B35=2020,9,0))))))),FALSE)</f>
        <v>106.5158537913082</v>
      </c>
      <c r="L35" s="546">
        <f>VLOOKUP($A35,EFCH4S!$A$1:$J$44,(IF($B35=2015,4,IF($B35=2016,5,IF($B35=2017,6,IF($B35=2018,7,IF($B35=2019,8,IF($B35=2020,9,0))))))),FALSE)</f>
        <v>5.4861803870114613E-3</v>
      </c>
      <c r="M35" s="540">
        <f t="shared" si="44"/>
        <v>3.1082767772944268E-2</v>
      </c>
      <c r="N35" s="108">
        <v>1</v>
      </c>
      <c r="O35" s="108">
        <v>8</v>
      </c>
      <c r="P35" s="109">
        <f>6*22</f>
        <v>132</v>
      </c>
      <c r="Q35" s="39">
        <f t="shared" si="45"/>
        <v>0.39183160308612713</v>
      </c>
      <c r="R35" s="29">
        <f t="shared" si="45"/>
        <v>4.0877408851994934</v>
      </c>
      <c r="S35" s="29">
        <f t="shared" si="45"/>
        <v>2.6174962335110963</v>
      </c>
      <c r="T35" s="29">
        <f t="shared" si="45"/>
        <v>9.5878882697755033E-3</v>
      </c>
      <c r="U35" s="29">
        <f t="shared" si="45"/>
        <v>0.12737278944175279</v>
      </c>
      <c r="V35" s="29">
        <f t="shared" si="45"/>
        <v>0.11336178260315999</v>
      </c>
      <c r="W35" s="29">
        <f t="shared" si="45"/>
        <v>852.12683033046562</v>
      </c>
      <c r="X35" s="29">
        <f t="shared" si="45"/>
        <v>4.388944309609169E-2</v>
      </c>
      <c r="Y35" s="29">
        <f t="shared" si="45"/>
        <v>0.24866214218355415</v>
      </c>
    </row>
    <row r="36" spans="1:25" s="3" customFormat="1" x14ac:dyDescent="0.25">
      <c r="A36" s="27" t="s">
        <v>159</v>
      </c>
      <c r="B36" s="115">
        <v>2018</v>
      </c>
      <c r="C36" s="134">
        <v>8</v>
      </c>
      <c r="D36" s="134">
        <v>1</v>
      </c>
      <c r="E36" s="546">
        <f>VLOOKUP($A36,EFROGS!$A$1:$J$44,(IF($B36=2015,4,IF($B36=2016,5,IF($B36=2017,6,IF($B36=2018,7,IF($B36=2019,8,IF($B36=2020,9,0))))))),FALSE)</f>
        <v>1.1765476462069602E-2</v>
      </c>
      <c r="F36" s="546">
        <f>VLOOKUP($A36,EFCOS!$A$1:$J$44,(IF($B36=2015,4,IF($B36=2016,5,IF($B36=2017,6,IF($B36=2018,7,IF($B36=2019,8,IF($B36=2020,9,0))))))),FALSE)</f>
        <v>4.320029666805545E-2</v>
      </c>
      <c r="G36" s="546">
        <f>VLOOKUP($A36,EFNOXS!$A$1:$J$44,(IF($B36=2015,4,IF($B36=2016,5,IF($B36=2017,6,IF($B36=2018,7,IF($B36=2019,8,IF($B36=2020,9,0))))))),FALSE)</f>
        <v>5.1575922736762966E-2</v>
      </c>
      <c r="H36" s="546">
        <f>VLOOKUP($A36,EFSOXS!$A$1:$J$44,(IF($B36=2015,4,IF($B36=2016,5,IF($B36=2017,6,IF($B36=2018,7,IF($B36=2019,8,IF($B36=2020,9,0))))))),FALSE)</f>
        <v>1.5727910183139585E-4</v>
      </c>
      <c r="I36" s="546">
        <f>VLOOKUP($A36,EFPMS!$A$1:$J$44,(IF($B36=2015,4,IF($B36=2016,5,IF($B36=2017,6,IF($B36=2018,7,IF($B36=2019,8,IF($B36=2020,9,0))))))),FALSE)</f>
        <v>2.0153501803144001E-3</v>
      </c>
      <c r="J36" s="536">
        <f t="shared" si="43"/>
        <v>1.793661660479816E-3</v>
      </c>
      <c r="K36" s="549">
        <f>VLOOKUP($A36,EFCO2S!$A$1:$J$44,(IF($B36=2015,4,IF($B36=2016,5,IF($B36=2017,6,IF($B36=2018,7,IF($B36=2019,8,IF($B36=2020,9,0))))))),FALSE)</f>
        <v>10.107340651040547</v>
      </c>
      <c r="L36" s="546">
        <f>VLOOKUP($A36,EFCH4S!$A$1:$J$44,(IF($B36=2015,4,IF($B36=2016,5,IF($B36=2017,6,IF($B36=2018,7,IF($B36=2019,8,IF($B36=2020,9,0))))))),FALSE)</f>
        <v>1.0615800521627282E-3</v>
      </c>
      <c r="M36" s="540">
        <f t="shared" si="44"/>
        <v>4.8997126599924822E-3</v>
      </c>
      <c r="N36" s="108">
        <v>1</v>
      </c>
      <c r="O36" s="108">
        <v>8</v>
      </c>
      <c r="P36" s="109">
        <f>4*22</f>
        <v>88</v>
      </c>
      <c r="Q36" s="39">
        <f t="shared" si="45"/>
        <v>9.4123811696556814E-2</v>
      </c>
      <c r="R36" s="29">
        <f t="shared" si="45"/>
        <v>0.3456023733444436</v>
      </c>
      <c r="S36" s="29">
        <f t="shared" si="45"/>
        <v>0.41260738189410373</v>
      </c>
      <c r="T36" s="29">
        <f t="shared" si="45"/>
        <v>1.2582328146511668E-3</v>
      </c>
      <c r="U36" s="29">
        <f t="shared" si="45"/>
        <v>1.6122801442515201E-2</v>
      </c>
      <c r="V36" s="29">
        <f t="shared" si="45"/>
        <v>1.4349293283838528E-2</v>
      </c>
      <c r="W36" s="29">
        <f t="shared" si="45"/>
        <v>80.858725208324373</v>
      </c>
      <c r="X36" s="29">
        <f t="shared" si="45"/>
        <v>8.492640417301826E-3</v>
      </c>
      <c r="Y36" s="29">
        <f t="shared" si="45"/>
        <v>3.9197701279939857E-2</v>
      </c>
    </row>
    <row r="37" spans="1:25" s="3" customFormat="1" x14ac:dyDescent="0.25">
      <c r="A37" s="19" t="s">
        <v>38</v>
      </c>
      <c r="B37" s="36"/>
      <c r="C37" s="20"/>
      <c r="D37" s="20"/>
      <c r="E37" s="21"/>
      <c r="F37" s="21"/>
      <c r="G37" s="21"/>
      <c r="H37" s="21"/>
      <c r="I37" s="21"/>
      <c r="J37" s="21"/>
      <c r="K37" s="21"/>
      <c r="L37" s="21"/>
      <c r="M37" s="114"/>
      <c r="N37" s="143"/>
      <c r="O37" s="143"/>
      <c r="P37" s="144"/>
      <c r="Q37" s="138">
        <f>SUM(Q27:Q36)</f>
        <v>8.0609965783148283</v>
      </c>
      <c r="R37" s="138">
        <f t="shared" ref="R37:Y37" si="46">SUM(R27:R36)</f>
        <v>43.500407752675947</v>
      </c>
      <c r="S37" s="138">
        <f t="shared" si="46"/>
        <v>49.207156229772757</v>
      </c>
      <c r="T37" s="138">
        <f t="shared" si="46"/>
        <v>0.182816778375615</v>
      </c>
      <c r="U37" s="138">
        <f t="shared" si="46"/>
        <v>1.8165827802196639</v>
      </c>
      <c r="V37" s="138">
        <f t="shared" si="46"/>
        <v>1.6167586743955009</v>
      </c>
      <c r="W37" s="138">
        <f t="shared" si="46"/>
        <v>16201.405716284855</v>
      </c>
      <c r="X37" s="138">
        <f t="shared" si="46"/>
        <v>0.92844008810867173</v>
      </c>
      <c r="Y37" s="138">
        <f t="shared" si="46"/>
        <v>4.6746798418284117</v>
      </c>
    </row>
    <row r="38" spans="1:25" s="3" customFormat="1" x14ac:dyDescent="0.25">
      <c r="A38" s="19"/>
      <c r="B38" s="36"/>
      <c r="C38" s="20"/>
      <c r="D38" s="20"/>
      <c r="E38" s="21"/>
      <c r="F38" s="21"/>
      <c r="G38" s="21"/>
      <c r="H38" s="21"/>
      <c r="I38" s="21"/>
      <c r="J38" s="21"/>
      <c r="K38" s="21"/>
      <c r="L38" s="21"/>
      <c r="M38" s="114"/>
      <c r="N38" s="143"/>
      <c r="O38" s="143"/>
      <c r="P38" s="144"/>
      <c r="Q38" s="138"/>
      <c r="R38" s="31"/>
      <c r="S38" s="31"/>
      <c r="T38" s="31"/>
      <c r="U38" s="31"/>
      <c r="V38" s="31"/>
      <c r="W38" s="33"/>
      <c r="X38" s="31"/>
      <c r="Y38" s="31"/>
    </row>
    <row r="39" spans="1:25" s="3" customFormat="1" x14ac:dyDescent="0.25">
      <c r="A39" s="19" t="s">
        <v>218</v>
      </c>
      <c r="B39" s="115">
        <v>2018</v>
      </c>
      <c r="C39" s="20"/>
      <c r="D39" s="20"/>
      <c r="E39" s="21"/>
      <c r="F39" s="21"/>
      <c r="G39" s="21"/>
      <c r="H39" s="21"/>
      <c r="I39" s="21"/>
      <c r="J39" s="21"/>
      <c r="K39" s="21"/>
      <c r="L39" s="21"/>
      <c r="M39" s="114"/>
      <c r="N39" s="143"/>
      <c r="O39" s="143"/>
      <c r="P39" s="144"/>
      <c r="Q39" s="138"/>
      <c r="R39" s="31"/>
      <c r="S39" s="31"/>
      <c r="T39" s="31"/>
      <c r="U39" s="31"/>
      <c r="V39" s="31"/>
      <c r="W39" s="33"/>
      <c r="X39" s="31"/>
      <c r="Y39" s="31"/>
    </row>
    <row r="40" spans="1:25" s="3" customFormat="1" x14ac:dyDescent="0.25">
      <c r="A40" s="27" t="s">
        <v>162</v>
      </c>
      <c r="B40" s="115">
        <v>2018</v>
      </c>
      <c r="C40" s="25">
        <v>235</v>
      </c>
      <c r="D40" s="25">
        <v>0.38</v>
      </c>
      <c r="E40" s="546">
        <f>VLOOKUP($A40,EFROGS!$A$1:$J$44,(IF($B40=2015,4,IF($B40=2016,5,IF($B40=2017,6,IF($B40=2018,7,IF($B40=2019,8,IF($B40=2020,9,0))))))),FALSE)</f>
        <v>8.119224107646289E-2</v>
      </c>
      <c r="F40" s="546">
        <f>VLOOKUP($A40,EFCOS!$A$1:$J$44,(IF($B40=2015,4,IF($B40=2016,5,IF($B40=2017,6,IF($B40=2018,7,IF($B40=2019,8,IF($B40=2020,9,0))))))),FALSE)</f>
        <v>0.37994200133931877</v>
      </c>
      <c r="G40" s="546">
        <f>VLOOKUP($A40,EFNOXS!$A$1:$J$44,(IF($B40=2015,4,IF($B40=2016,5,IF($B40=2017,6,IF($B40=2018,7,IF($B40=2019,8,IF($B40=2020,9,0))))))),FALSE)</f>
        <v>0.48394485675138055</v>
      </c>
      <c r="H40" s="546">
        <f>VLOOKUP($A40,EFSOXS!$A$1:$J$44,(IF($B40=2015,4,IF($B40=2016,5,IF($B40=2017,6,IF($B40=2018,7,IF($B40=2019,8,IF($B40=2020,9,0))))))),FALSE)</f>
        <v>1.873921930245647E-3</v>
      </c>
      <c r="I40" s="546">
        <f>VLOOKUP($A40,EFPMS!$A$1:$J$44,(IF($B40=2015,4,IF($B40=2016,5,IF($B40=2017,6,IF($B40=2018,7,IF($B40=2019,8,IF($B40=2020,9,0))))))),FALSE)</f>
        <v>1.6665559588840455E-2</v>
      </c>
      <c r="J40" s="536">
        <f t="shared" ref="J40:J49" si="47">0.89*I40</f>
        <v>1.4832348034068006E-2</v>
      </c>
      <c r="K40" s="549">
        <f>VLOOKUP($A40,EFCO2S!$A$1:$J$44,(IF($B40=2015,4,IF($B40=2016,5,IF($B40=2017,6,IF($B40=2018,7,IF($B40=2019,8,IF($B40=2020,9,0))))))),FALSE)</f>
        <v>166.54543379579488</v>
      </c>
      <c r="L40" s="546">
        <f>VLOOKUP($A40,EFCH4S!$A$1:$J$44,(IF($B40=2015,4,IF($B40=2016,5,IF($B40=2017,6,IF($B40=2018,7,IF($B40=2019,8,IF($B40=2020,9,0))))))),FALSE)</f>
        <v>9.3996999235005617E-3</v>
      </c>
      <c r="M40" s="540">
        <f t="shared" ref="M40:M49" si="48">0.095*G40</f>
        <v>4.5974761391381153E-2</v>
      </c>
      <c r="N40" s="108">
        <v>2</v>
      </c>
      <c r="O40" s="108">
        <v>6</v>
      </c>
      <c r="P40" s="109">
        <f>9*22</f>
        <v>198</v>
      </c>
      <c r="Q40" s="39">
        <f t="shared" ref="Q40:Y49" si="49">(E40*$N40*$O40)</f>
        <v>0.97430689291755468</v>
      </c>
      <c r="R40" s="29">
        <f t="shared" si="49"/>
        <v>4.5593040160718257</v>
      </c>
      <c r="S40" s="29">
        <f t="shared" si="49"/>
        <v>5.8073382810165661</v>
      </c>
      <c r="T40" s="29">
        <f t="shared" si="49"/>
        <v>2.2487063162947764E-2</v>
      </c>
      <c r="U40" s="29">
        <f t="shared" si="49"/>
        <v>0.19998671506608545</v>
      </c>
      <c r="V40" s="29">
        <f t="shared" si="49"/>
        <v>0.17798817640881606</v>
      </c>
      <c r="W40" s="29">
        <f t="shared" si="49"/>
        <v>1998.5452055495384</v>
      </c>
      <c r="X40" s="29">
        <f t="shared" si="49"/>
        <v>0.11279639908200674</v>
      </c>
      <c r="Y40" s="29">
        <f t="shared" si="49"/>
        <v>0.55169713669657383</v>
      </c>
    </row>
    <row r="41" spans="1:25" s="3" customFormat="1" x14ac:dyDescent="0.25">
      <c r="A41" s="27" t="s">
        <v>163</v>
      </c>
      <c r="B41" s="115">
        <v>2018</v>
      </c>
      <c r="C41" s="25">
        <v>75</v>
      </c>
      <c r="D41" s="25">
        <v>0.31</v>
      </c>
      <c r="E41" s="546">
        <f>VLOOKUP($A41,EFROGS!$A$1:$J$44,(IF($B41=2015,4,IF($B41=2016,5,IF($B41=2017,6,IF($B41=2018,7,IF($B41=2019,8,IF($B41=2020,9,0))))))),FALSE)</f>
        <v>2.503304302758573E-2</v>
      </c>
      <c r="F41" s="546">
        <f>VLOOKUP($A41,EFCOS!$A$1:$J$44,(IF($B41=2015,4,IF($B41=2016,5,IF($B41=2017,6,IF($B41=2018,7,IF($B41=2019,8,IF($B41=2020,9,0))))))),FALSE)</f>
        <v>0.21923257911050123</v>
      </c>
      <c r="G41" s="546">
        <f>VLOOKUP($A41,EFNOXS!$A$1:$J$44,(IF($B41=2015,4,IF($B41=2016,5,IF($B41=2017,6,IF($B41=2018,7,IF($B41=2019,8,IF($B41=2020,9,0))))))),FALSE)</f>
        <v>0.18418335618414555</v>
      </c>
      <c r="H41" s="546">
        <f>VLOOKUP($A41,EFSOXS!$A$1:$J$44,(IF($B41=2015,4,IF($B41=2016,5,IF($B41=2017,6,IF($B41=2018,7,IF($B41=2019,8,IF($B41=2020,9,0))))))),FALSE)</f>
        <v>4.466019753080203E-4</v>
      </c>
      <c r="I41" s="546">
        <f>VLOOKUP($A41,EFPMS!$A$1:$J$44,(IF($B41=2015,4,IF($B41=2016,5,IF($B41=2017,6,IF($B41=2018,7,IF($B41=2019,8,IF($B41=2020,9,0))))))),FALSE)</f>
        <v>1.2096076420543793E-2</v>
      </c>
      <c r="J41" s="536">
        <f t="shared" si="47"/>
        <v>1.0765508014283977E-2</v>
      </c>
      <c r="K41" s="549">
        <f>VLOOKUP($A41,EFCO2S!$A$1:$J$44,(IF($B41=2015,4,IF($B41=2016,5,IF($B41=2017,6,IF($B41=2018,7,IF($B41=2019,8,IF($B41=2020,9,0))))))),FALSE)</f>
        <v>38.071830204285249</v>
      </c>
      <c r="L41" s="546">
        <f>VLOOKUP($A41,EFCH4S!$A$1:$J$44,(IF($B41=2015,4,IF($B41=2016,5,IF($B41=2017,6,IF($B41=2018,7,IF($B41=2019,8,IF($B41=2020,9,0))))))),FALSE)</f>
        <v>2.9492141591912126E-3</v>
      </c>
      <c r="M41" s="540">
        <f t="shared" si="48"/>
        <v>1.7497418837493828E-2</v>
      </c>
      <c r="N41" s="108">
        <v>2</v>
      </c>
      <c r="O41" s="108">
        <v>8</v>
      </c>
      <c r="P41" s="109">
        <f>10*22</f>
        <v>220</v>
      </c>
      <c r="Q41" s="39">
        <f t="shared" si="49"/>
        <v>0.40052868844137168</v>
      </c>
      <c r="R41" s="29">
        <f t="shared" si="49"/>
        <v>3.5077212657680197</v>
      </c>
      <c r="S41" s="29">
        <f t="shared" si="49"/>
        <v>2.9469336989463288</v>
      </c>
      <c r="T41" s="29">
        <f t="shared" si="49"/>
        <v>7.1456316049283248E-3</v>
      </c>
      <c r="U41" s="29">
        <f t="shared" si="49"/>
        <v>0.19353722272870069</v>
      </c>
      <c r="V41" s="29">
        <f t="shared" si="49"/>
        <v>0.17224812822854363</v>
      </c>
      <c r="W41" s="29">
        <f t="shared" si="49"/>
        <v>609.14928326856398</v>
      </c>
      <c r="X41" s="29">
        <f t="shared" si="49"/>
        <v>4.7187426547059402E-2</v>
      </c>
      <c r="Y41" s="29">
        <f t="shared" si="49"/>
        <v>0.27995870139990126</v>
      </c>
    </row>
    <row r="42" spans="1:25" s="3" customFormat="1" x14ac:dyDescent="0.25">
      <c r="A42" s="27" t="s">
        <v>202</v>
      </c>
      <c r="B42" s="115">
        <v>2018</v>
      </c>
      <c r="C42" s="25">
        <v>399</v>
      </c>
      <c r="D42" s="25">
        <v>0.28999999999999998</v>
      </c>
      <c r="E42" s="546">
        <f>VLOOKUP($A42,EFROGS!$A$1:$J$44,(IF($B42=2015,4,IF($B42=2016,5,IF($B42=2017,6,IF($B42=2018,7,IF($B42=2019,8,IF($B42=2020,9,0))))))),FALSE)</f>
        <v>9.4826505737279188E-2</v>
      </c>
      <c r="F42" s="546">
        <f>VLOOKUP($A42,EFCOS!$A$1:$J$44,(IF($B42=2015,4,IF($B42=2016,5,IF($B42=2017,6,IF($B42=2018,7,IF($B42=2019,8,IF($B42=2020,9,0))))))),FALSE)</f>
        <v>0.45434236467617739</v>
      </c>
      <c r="G42" s="546">
        <f>VLOOKUP($A42,EFNOXS!$A$1:$J$44,(IF($B42=2015,4,IF($B42=2016,5,IF($B42=2017,6,IF($B42=2018,7,IF($B42=2019,8,IF($B42=2020,9,0))))))),FALSE)</f>
        <v>0.63535292909985608</v>
      </c>
      <c r="H42" s="546">
        <f>VLOOKUP($A42,EFSOXS!$A$1:$J$44,(IF($B42=2015,4,IF($B42=2016,5,IF($B42=2017,6,IF($B42=2018,7,IF($B42=2019,8,IF($B42=2020,9,0))))))),FALSE)</f>
        <v>1.7677529466161633E-3</v>
      </c>
      <c r="I42" s="546">
        <f>VLOOKUP($A42,EFPMS!$A$1:$J$44,(IF($B42=2015,4,IF($B42=2016,5,IF($B42=2017,6,IF($B42=2018,7,IF($B42=2019,8,IF($B42=2020,9,0))))))),FALSE)</f>
        <v>2.3360137726921776E-2</v>
      </c>
      <c r="J42" s="536">
        <f t="shared" si="47"/>
        <v>2.0790522576960381E-2</v>
      </c>
      <c r="K42" s="549">
        <f>VLOOKUP($A42,EFCO2S!$A$1:$J$44,(IF($B42=2015,4,IF($B42=2016,5,IF($B42=2017,6,IF($B42=2018,7,IF($B42=2019,8,IF($B42=2020,9,0))))))),FALSE)</f>
        <v>180.10127182932982</v>
      </c>
      <c r="L42" s="546">
        <f>VLOOKUP($A42,EFCH4S!$A$1:$J$44,(IF($B42=2015,4,IF($B42=2016,5,IF($B42=2017,6,IF($B42=2018,7,IF($B42=2019,8,IF($B42=2020,9,0))))))),FALSE)</f>
        <v>1.0841920844072756E-2</v>
      </c>
      <c r="M42" s="540">
        <f t="shared" si="48"/>
        <v>6.035852826448633E-2</v>
      </c>
      <c r="N42" s="135">
        <v>1</v>
      </c>
      <c r="O42" s="135">
        <v>6</v>
      </c>
      <c r="P42" s="136">
        <f>3*22</f>
        <v>66</v>
      </c>
      <c r="Q42" s="39">
        <f t="shared" si="49"/>
        <v>0.56895903442367513</v>
      </c>
      <c r="R42" s="29">
        <f t="shared" si="49"/>
        <v>2.7260541880570646</v>
      </c>
      <c r="S42" s="29">
        <f t="shared" si="49"/>
        <v>3.8121175745991365</v>
      </c>
      <c r="T42" s="29">
        <f t="shared" si="49"/>
        <v>1.060651767969698E-2</v>
      </c>
      <c r="U42" s="29">
        <f t="shared" si="49"/>
        <v>0.14016082636153065</v>
      </c>
      <c r="V42" s="29">
        <f t="shared" si="49"/>
        <v>0.12474313546176229</v>
      </c>
      <c r="W42" s="29">
        <f t="shared" si="49"/>
        <v>1080.607630975979</v>
      </c>
      <c r="X42" s="29">
        <f t="shared" si="49"/>
        <v>6.5051525064436538E-2</v>
      </c>
      <c r="Y42" s="29">
        <f t="shared" si="49"/>
        <v>0.36215116958691795</v>
      </c>
    </row>
    <row r="43" spans="1:25" s="3" customFormat="1" x14ac:dyDescent="0.25">
      <c r="A43" s="27" t="s">
        <v>156</v>
      </c>
      <c r="B43" s="115">
        <v>2018</v>
      </c>
      <c r="C43" s="134">
        <v>37</v>
      </c>
      <c r="D43" s="25">
        <v>0.37</v>
      </c>
      <c r="E43" s="546">
        <f>VLOOKUP($A43,EFROGS!$A$1:$J$44,(IF($B43=2015,4,IF($B43=2016,5,IF($B43=2017,6,IF($B43=2018,7,IF($B43=2019,8,IF($B43=2020,9,0))))))),FALSE)</f>
        <v>2.6321181794284464E-2</v>
      </c>
      <c r="F43" s="546">
        <f>VLOOKUP($A43,EFCOS!$A$1:$J$44,(IF($B43=2015,4,IF($B43=2016,5,IF($B43=2017,6,IF($B43=2018,7,IF($B43=2019,8,IF($B43=2020,9,0))))))),FALSE)</f>
        <v>0.17955203678474077</v>
      </c>
      <c r="G43" s="546">
        <f>VLOOKUP($A43,EFNOXS!$A$1:$J$44,(IF($B43=2015,4,IF($B43=2016,5,IF($B43=2017,6,IF($B43=2018,7,IF($B43=2019,8,IF($B43=2020,9,0))))))),FALSE)</f>
        <v>0.15677301180901521</v>
      </c>
      <c r="H43" s="546">
        <f>VLOOKUP($A43,EFSOXS!$A$1:$J$44,(IF($B43=2015,4,IF($B43=2016,5,IF($B43=2017,6,IF($B43=2018,7,IF($B43=2019,8,IF($B43=2020,9,0))))))),FALSE)</f>
        <v>3.2989903974974726E-4</v>
      </c>
      <c r="I43" s="546">
        <f>VLOOKUP($A43,EFPMS!$A$1:$J$44,(IF($B43=2015,4,IF($B43=2016,5,IF($B43=2017,6,IF($B43=2018,7,IF($B43=2019,8,IF($B43=2020,9,0))))))),FALSE)</f>
        <v>4.7346803420060734E-3</v>
      </c>
      <c r="J43" s="536">
        <f t="shared" si="47"/>
        <v>4.2138655043854056E-3</v>
      </c>
      <c r="K43" s="549">
        <f>VLOOKUP($A43,EFCO2S!$A$1:$J$44,(IF($B43=2015,4,IF($B43=2016,5,IF($B43=2017,6,IF($B43=2018,7,IF($B43=2019,8,IF($B43=2020,9,0))))))),FALSE)</f>
        <v>25.519164465886792</v>
      </c>
      <c r="L43" s="546">
        <f>VLOOKUP($A43,EFCH4S!$A$1:$J$44,(IF($B43=2015,4,IF($B43=2016,5,IF($B43=2017,6,IF($B43=2018,7,IF($B43=2019,8,IF($B43=2020,9,0))))))),FALSE)</f>
        <v>2.3749178457344233E-3</v>
      </c>
      <c r="M43" s="540">
        <f t="shared" si="48"/>
        <v>1.4893436121856445E-2</v>
      </c>
      <c r="N43" s="108">
        <v>2</v>
      </c>
      <c r="O43" s="108">
        <v>6</v>
      </c>
      <c r="P43" s="109">
        <f>10*22</f>
        <v>220</v>
      </c>
      <c r="Q43" s="39">
        <f t="shared" si="49"/>
        <v>0.31585418153141354</v>
      </c>
      <c r="R43" s="29">
        <f t="shared" si="49"/>
        <v>2.1546244414168894</v>
      </c>
      <c r="S43" s="29">
        <f t="shared" si="49"/>
        <v>1.8812761417081825</v>
      </c>
      <c r="T43" s="29">
        <f t="shared" si="49"/>
        <v>3.9587884769969675E-3</v>
      </c>
      <c r="U43" s="29">
        <f t="shared" si="49"/>
        <v>5.6816164104072878E-2</v>
      </c>
      <c r="V43" s="29">
        <f t="shared" si="49"/>
        <v>5.0566386052624868E-2</v>
      </c>
      <c r="W43" s="29">
        <f t="shared" si="49"/>
        <v>306.22997359064152</v>
      </c>
      <c r="X43" s="29">
        <f t="shared" si="49"/>
        <v>2.849901414881308E-2</v>
      </c>
      <c r="Y43" s="29">
        <f t="shared" si="49"/>
        <v>0.17872123346227733</v>
      </c>
    </row>
    <row r="44" spans="1:25" s="3" customFormat="1" x14ac:dyDescent="0.25">
      <c r="A44" s="27" t="s">
        <v>203</v>
      </c>
      <c r="B44" s="115">
        <v>2018</v>
      </c>
      <c r="C44" s="25">
        <v>235</v>
      </c>
      <c r="D44" s="25">
        <v>0.38</v>
      </c>
      <c r="E44" s="546">
        <f>VLOOKUP($A44,EFROGS!$A$1:$J$44,(IF($B44=2015,4,IF($B44=2016,5,IF($B44=2017,6,IF($B44=2018,7,IF($B44=2019,8,IF($B44=2020,9,0))))))),FALSE)</f>
        <v>7.9081129965351771E-2</v>
      </c>
      <c r="F44" s="546">
        <f>VLOOKUP($A44,EFCOS!$A$1:$J$44,(IF($B44=2015,4,IF($B44=2016,5,IF($B44=2017,6,IF($B44=2018,7,IF($B44=2019,8,IF($B44=2020,9,0))))))),FALSE)</f>
        <v>0.34676739816471558</v>
      </c>
      <c r="G44" s="546">
        <f>VLOOKUP($A44,EFNOXS!$A$1:$J$44,(IF($B44=2015,4,IF($B44=2016,5,IF($B44=2017,6,IF($B44=2018,7,IF($B44=2019,8,IF($B44=2020,9,0))))))),FALSE)</f>
        <v>0.47942104722757106</v>
      </c>
      <c r="H44" s="546">
        <f>VLOOKUP($A44,EFSOXS!$A$1:$J$44,(IF($B44=2015,4,IF($B44=2016,5,IF($B44=2017,6,IF($B44=2018,7,IF($B44=2019,8,IF($B44=2020,9,0))))))),FALSE)</f>
        <v>1.873921930245647E-3</v>
      </c>
      <c r="I44" s="546">
        <f>VLOOKUP($A44,EFPMS!$A$1:$J$44,(IF($B44=2015,4,IF($B44=2016,5,IF($B44=2017,6,IF($B44=2018,7,IF($B44=2019,8,IF($B44=2020,9,0))))))),FALSE)</f>
        <v>1.6439369112649978E-2</v>
      </c>
      <c r="J44" s="536">
        <f t="shared" si="47"/>
        <v>1.463103851025848E-2</v>
      </c>
      <c r="K44" s="549">
        <f>VLOOKUP($A44,EFCO2S!$A$1:$J$44,(IF($B44=2015,4,IF($B44=2016,5,IF($B44=2017,6,IF($B44=2018,7,IF($B44=2019,8,IF($B44=2020,9,0))))))),FALSE)</f>
        <v>166.54543379579488</v>
      </c>
      <c r="L44" s="546">
        <f>VLOOKUP($A44,EFCH4S!$A$1:$J$44,(IF($B44=2015,4,IF($B44=2016,5,IF($B44=2017,6,IF($B44=2018,7,IF($B44=2019,8,IF($B44=2020,9,0))))))),FALSE)</f>
        <v>9.3996999235005617E-3</v>
      </c>
      <c r="M44" s="540">
        <f t="shared" si="48"/>
        <v>4.5544999486619255E-2</v>
      </c>
      <c r="N44" s="108">
        <v>2</v>
      </c>
      <c r="O44" s="108">
        <v>8</v>
      </c>
      <c r="P44" s="109">
        <f>2*22</f>
        <v>44</v>
      </c>
      <c r="Q44" s="39">
        <f t="shared" ref="Q44" si="50">(E44*$N44*$O44)</f>
        <v>1.2652980794456283</v>
      </c>
      <c r="R44" s="29">
        <f t="shared" ref="R44" si="51">(F44*$N44*$O44)</f>
        <v>5.5482783706354493</v>
      </c>
      <c r="S44" s="29">
        <f t="shared" ref="S44" si="52">(G44*$N44*$O44)</f>
        <v>7.670736755641137</v>
      </c>
      <c r="T44" s="29">
        <f t="shared" ref="T44" si="53">(H44*$N44*$O44)</f>
        <v>2.9982750883930352E-2</v>
      </c>
      <c r="U44" s="29">
        <f t="shared" ref="U44" si="54">(I44*$N44*$O44)</f>
        <v>0.26302990580239966</v>
      </c>
      <c r="V44" s="29">
        <f t="shared" ref="V44" si="55">(J44*$N44*$O44)</f>
        <v>0.23409661616413568</v>
      </c>
      <c r="W44" s="29">
        <f t="shared" ref="W44" si="56">(K44*$N44*$O44)</f>
        <v>2664.726940732718</v>
      </c>
      <c r="X44" s="29">
        <f t="shared" ref="X44" si="57">(L44*$N44*$O44)</f>
        <v>0.15039519877600899</v>
      </c>
      <c r="Y44" s="29">
        <f t="shared" ref="Y44" si="58">(M44*$N44*$O44)</f>
        <v>0.72871999178590807</v>
      </c>
    </row>
    <row r="45" spans="1:25" s="3" customFormat="1" x14ac:dyDescent="0.25">
      <c r="A45" s="27" t="s">
        <v>165</v>
      </c>
      <c r="B45" s="115">
        <v>2018</v>
      </c>
      <c r="C45" s="25">
        <v>525</v>
      </c>
      <c r="D45" s="25">
        <v>1</v>
      </c>
      <c r="E45" s="546">
        <f>VLOOKUP($A45,EFROGS!$A$1:$J$44,(IF($B45=2015,4,IF($B45=2016,5,IF($B45=2017,6,IF($B45=2018,7,IF($B45=2019,8,IF($B45=2020,9,0))))))),FALSE)</f>
        <v>0</v>
      </c>
      <c r="F45" s="546">
        <f>VLOOKUP($A45,EFCOS!$A$1:$J$44,(IF($B45=2015,4,IF($B45=2016,5,IF($B45=2017,6,IF($B45=2018,7,IF($B45=2019,8,IF($B45=2020,9,0))))))),FALSE)</f>
        <v>0</v>
      </c>
      <c r="G45" s="546">
        <f>VLOOKUP($A45,EFNOXS!$A$1:$J$44,(IF($B45=2015,4,IF($B45=2016,5,IF($B45=2017,6,IF($B45=2018,7,IF($B45=2019,8,IF($B45=2020,9,0))))))),FALSE)</f>
        <v>0</v>
      </c>
      <c r="H45" s="546">
        <f>VLOOKUP($A45,EFSOXS!$A$1:$J$44,(IF($B45=2015,4,IF($B45=2016,5,IF($B45=2017,6,IF($B45=2018,7,IF($B45=2019,8,IF($B45=2020,9,0))))))),FALSE)</f>
        <v>0</v>
      </c>
      <c r="I45" s="546">
        <f>VLOOKUP($A45,EFPMS!$A$1:$J$44,(IF($B45=2015,4,IF($B45=2016,5,IF($B45=2017,6,IF($B45=2018,7,IF($B45=2019,8,IF($B45=2020,9,0))))))),FALSE)</f>
        <v>0</v>
      </c>
      <c r="J45" s="536">
        <f t="shared" si="47"/>
        <v>0</v>
      </c>
      <c r="K45" s="549">
        <f>VLOOKUP($A45,EFCO2S!$A$1:$J$44,(IF($B45=2015,4,IF($B45=2016,5,IF($B45=2017,6,IF($B45=2018,7,IF($B45=2019,8,IF($B45=2020,9,0))))))),FALSE)</f>
        <v>0</v>
      </c>
      <c r="L45" s="546">
        <f>VLOOKUP($A45,EFCH4S!$A$1:$J$44,(IF($B45=2015,4,IF($B45=2016,5,IF($B45=2017,6,IF($B45=2018,7,IF($B45=2019,8,IF($B45=2020,9,0))))))),FALSE)</f>
        <v>0</v>
      </c>
      <c r="M45" s="540">
        <f t="shared" si="48"/>
        <v>0</v>
      </c>
      <c r="N45" s="108">
        <v>1</v>
      </c>
      <c r="O45" s="108">
        <v>2</v>
      </c>
      <c r="P45" s="109">
        <f>2*22</f>
        <v>44</v>
      </c>
      <c r="Q45" s="39">
        <f t="shared" si="49"/>
        <v>0</v>
      </c>
      <c r="R45" s="29">
        <f t="shared" si="49"/>
        <v>0</v>
      </c>
      <c r="S45" s="29">
        <f t="shared" si="49"/>
        <v>0</v>
      </c>
      <c r="T45" s="29">
        <f t="shared" si="49"/>
        <v>0</v>
      </c>
      <c r="U45" s="29">
        <f t="shared" si="49"/>
        <v>0</v>
      </c>
      <c r="V45" s="29">
        <f t="shared" si="49"/>
        <v>0</v>
      </c>
      <c r="W45" s="29">
        <f t="shared" si="49"/>
        <v>0</v>
      </c>
      <c r="X45" s="29">
        <f t="shared" si="49"/>
        <v>0</v>
      </c>
      <c r="Y45" s="29">
        <f t="shared" si="49"/>
        <v>0</v>
      </c>
    </row>
    <row r="46" spans="1:25" s="3" customFormat="1" x14ac:dyDescent="0.25">
      <c r="A46" s="27" t="s">
        <v>166</v>
      </c>
      <c r="B46" s="115">
        <v>2018</v>
      </c>
      <c r="C46" s="25">
        <v>300</v>
      </c>
      <c r="D46" s="25">
        <v>0.42</v>
      </c>
      <c r="E46" s="546">
        <f>VLOOKUP($A46,EFROGS!$A$1:$J$44,(IF($B46=2015,4,IF($B46=2016,5,IF($B46=2017,6,IF($B46=2018,7,IF($B46=2019,8,IF($B46=2020,9,0))))))),FALSE)</f>
        <v>8.9114694806079767E-2</v>
      </c>
      <c r="F46" s="546">
        <f>VLOOKUP($A46,EFCOS!$A$1:$J$44,(IF($B46=2015,4,IF($B46=2016,5,IF($B46=2017,6,IF($B46=2018,7,IF($B46=2019,8,IF($B46=2020,9,0))))))),FALSE)</f>
        <v>0.49788582627608957</v>
      </c>
      <c r="G46" s="546">
        <f>VLOOKUP($A46,EFNOXS!$A$1:$J$44,(IF($B46=2015,4,IF($B46=2016,5,IF($B46=2017,6,IF($B46=2018,7,IF($B46=2019,8,IF($B46=2020,9,0))))))),FALSE)</f>
        <v>0.58288128371480197</v>
      </c>
      <c r="H46" s="546">
        <f>VLOOKUP($A46,EFSOXS!$A$1:$J$44,(IF($B46=2015,4,IF($B46=2016,5,IF($B46=2017,6,IF($B46=2018,7,IF($B46=2019,8,IF($B46=2020,9,0))))))),FALSE)</f>
        <v>2.4954338651265763E-3</v>
      </c>
      <c r="I46" s="546">
        <f>VLOOKUP($A46,EFPMS!$A$1:$J$44,(IF($B46=2015,4,IF($B46=2016,5,IF($B46=2017,6,IF($B46=2018,7,IF($B46=2019,8,IF($B46=2020,9,0))))))),FALSE)</f>
        <v>2.0403482403565855E-2</v>
      </c>
      <c r="J46" s="536">
        <f t="shared" si="47"/>
        <v>1.8159099339173611E-2</v>
      </c>
      <c r="K46" s="549">
        <f>VLOOKUP($A46,EFCO2S!$A$1:$J$44,(IF($B46=2015,4,IF($B46=2016,5,IF($B46=2017,6,IF($B46=2018,7,IF($B46=2019,8,IF($B46=2020,9,0))))))),FALSE)</f>
        <v>254.23847108919361</v>
      </c>
      <c r="L46" s="546">
        <f>VLOOKUP($A46,EFCH4S!$A$1:$J$44,(IF($B46=2015,4,IF($B46=2016,5,IF($B46=2017,6,IF($B46=2018,7,IF($B46=2019,8,IF($B46=2020,9,0))))))),FALSE)</f>
        <v>1.0126092850486785E-2</v>
      </c>
      <c r="M46" s="540">
        <f t="shared" si="48"/>
        <v>5.5373721952906185E-2</v>
      </c>
      <c r="N46" s="108">
        <v>2</v>
      </c>
      <c r="O46" s="108">
        <v>4</v>
      </c>
      <c r="P46" s="109">
        <f>1*22</f>
        <v>22</v>
      </c>
      <c r="Q46" s="39">
        <f t="shared" si="49"/>
        <v>0.71291755844863813</v>
      </c>
      <c r="R46" s="29">
        <f t="shared" si="49"/>
        <v>3.9830866102087166</v>
      </c>
      <c r="S46" s="29">
        <f t="shared" si="49"/>
        <v>4.6630502697184157</v>
      </c>
      <c r="T46" s="29">
        <f t="shared" si="49"/>
        <v>1.996347092101261E-2</v>
      </c>
      <c r="U46" s="29">
        <f t="shared" si="49"/>
        <v>0.16322785922852684</v>
      </c>
      <c r="V46" s="29">
        <f t="shared" si="49"/>
        <v>0.14527279471338889</v>
      </c>
      <c r="W46" s="29">
        <f t="shared" si="49"/>
        <v>2033.9077687135489</v>
      </c>
      <c r="X46" s="29">
        <f t="shared" si="49"/>
        <v>8.1008742803894279E-2</v>
      </c>
      <c r="Y46" s="29">
        <f t="shared" si="49"/>
        <v>0.44298977562324948</v>
      </c>
    </row>
    <row r="47" spans="1:25" s="3" customFormat="1" x14ac:dyDescent="0.25">
      <c r="A47" s="37" t="s">
        <v>167</v>
      </c>
      <c r="B47" s="115">
        <v>2018</v>
      </c>
      <c r="C47" s="25">
        <v>235</v>
      </c>
      <c r="D47" s="25">
        <v>0.38</v>
      </c>
      <c r="E47" s="546">
        <f>VLOOKUP($A47,EFROGS!$A$1:$J$44,(IF($B47=2015,4,IF($B47=2016,5,IF($B47=2017,6,IF($B47=2018,7,IF($B47=2019,8,IF($B47=2020,9,0))))))),FALSE)</f>
        <v>8.119224107646289E-2</v>
      </c>
      <c r="F47" s="546">
        <f>VLOOKUP($A47,EFCOS!$A$1:$J$44,(IF($B47=2015,4,IF($B47=2016,5,IF($B47=2017,6,IF($B47=2018,7,IF($B47=2019,8,IF($B47=2020,9,0))))))),FALSE)</f>
        <v>0.37994200133931877</v>
      </c>
      <c r="G47" s="546">
        <f>VLOOKUP($A47,EFNOXS!$A$1:$J$44,(IF($B47=2015,4,IF($B47=2016,5,IF($B47=2017,6,IF($B47=2018,7,IF($B47=2019,8,IF($B47=2020,9,0))))))),FALSE)</f>
        <v>0.48394485675138055</v>
      </c>
      <c r="H47" s="546">
        <f>VLOOKUP($A47,EFSOXS!$A$1:$J$44,(IF($B47=2015,4,IF($B47=2016,5,IF($B47=2017,6,IF($B47=2018,7,IF($B47=2019,8,IF($B47=2020,9,0))))))),FALSE)</f>
        <v>1.873921930245647E-3</v>
      </c>
      <c r="I47" s="546">
        <f>VLOOKUP($A47,EFPMS!$A$1:$J$44,(IF($B47=2015,4,IF($B47=2016,5,IF($B47=2017,6,IF($B47=2018,7,IF($B47=2019,8,IF($B47=2020,9,0))))))),FALSE)</f>
        <v>1.6665559588840455E-2</v>
      </c>
      <c r="J47" s="536">
        <f t="shared" si="47"/>
        <v>1.4832348034068006E-2</v>
      </c>
      <c r="K47" s="549">
        <f>VLOOKUP($A47,EFCO2S!$A$1:$J$44,(IF($B47=2015,4,IF($B47=2016,5,IF($B47=2017,6,IF($B47=2018,7,IF($B47=2019,8,IF($B47=2020,9,0))))))),FALSE)</f>
        <v>166.54543379579488</v>
      </c>
      <c r="L47" s="546">
        <f>VLOOKUP($A47,EFCH4S!$A$1:$J$44,(IF($B47=2015,4,IF($B47=2016,5,IF($B47=2017,6,IF($B47=2018,7,IF($B47=2019,8,IF($B47=2020,9,0))))))),FALSE)</f>
        <v>9.3996999235005617E-3</v>
      </c>
      <c r="M47" s="540">
        <f t="shared" si="48"/>
        <v>4.5974761391381153E-2</v>
      </c>
      <c r="N47" s="108">
        <v>1</v>
      </c>
      <c r="O47" s="108">
        <v>8</v>
      </c>
      <c r="P47" s="109">
        <f>1*22</f>
        <v>22</v>
      </c>
      <c r="Q47" s="39">
        <f t="shared" si="49"/>
        <v>0.64953792861170312</v>
      </c>
      <c r="R47" s="29">
        <f t="shared" si="49"/>
        <v>3.0395360107145502</v>
      </c>
      <c r="S47" s="29">
        <f t="shared" si="49"/>
        <v>3.8715588540110444</v>
      </c>
      <c r="T47" s="29">
        <f t="shared" si="49"/>
        <v>1.4991375441965176E-2</v>
      </c>
      <c r="U47" s="29">
        <f t="shared" si="49"/>
        <v>0.13332447671072364</v>
      </c>
      <c r="V47" s="29">
        <f t="shared" si="49"/>
        <v>0.11865878427254405</v>
      </c>
      <c r="W47" s="29">
        <f t="shared" si="49"/>
        <v>1332.363470366359</v>
      </c>
      <c r="X47" s="29">
        <f t="shared" si="49"/>
        <v>7.5197599388004494E-2</v>
      </c>
      <c r="Y47" s="29">
        <f t="shared" si="49"/>
        <v>0.36779809113104922</v>
      </c>
    </row>
    <row r="48" spans="1:25" s="3" customFormat="1" x14ac:dyDescent="0.25">
      <c r="A48" s="37" t="s">
        <v>167</v>
      </c>
      <c r="B48" s="115">
        <v>2018</v>
      </c>
      <c r="C48" s="25">
        <v>235</v>
      </c>
      <c r="D48" s="25">
        <v>0.38</v>
      </c>
      <c r="E48" s="546">
        <f>VLOOKUP($A48,EFROGS!$A$1:$J$44,(IF($B48=2015,4,IF($B48=2016,5,IF($B48=2017,6,IF($B48=2018,7,IF($B48=2019,8,IF($B48=2020,9,0))))))),FALSE)</f>
        <v>8.119224107646289E-2</v>
      </c>
      <c r="F48" s="546">
        <f>VLOOKUP($A48,EFCOS!$A$1:$J$44,(IF($B48=2015,4,IF($B48=2016,5,IF($B48=2017,6,IF($B48=2018,7,IF($B48=2019,8,IF($B48=2020,9,0))))))),FALSE)</f>
        <v>0.37994200133931877</v>
      </c>
      <c r="G48" s="546">
        <f>VLOOKUP($A48,EFNOXS!$A$1:$J$44,(IF($B48=2015,4,IF($B48=2016,5,IF($B48=2017,6,IF($B48=2018,7,IF($B48=2019,8,IF($B48=2020,9,0))))))),FALSE)</f>
        <v>0.48394485675138055</v>
      </c>
      <c r="H48" s="546">
        <f>VLOOKUP($A48,EFSOXS!$A$1:$J$44,(IF($B48=2015,4,IF($B48=2016,5,IF($B48=2017,6,IF($B48=2018,7,IF($B48=2019,8,IF($B48=2020,9,0))))))),FALSE)</f>
        <v>1.873921930245647E-3</v>
      </c>
      <c r="I48" s="546">
        <f>VLOOKUP($A48,EFPMS!$A$1:$J$44,(IF($B48=2015,4,IF($B48=2016,5,IF($B48=2017,6,IF($B48=2018,7,IF($B48=2019,8,IF($B48=2020,9,0))))))),FALSE)</f>
        <v>1.6665559588840455E-2</v>
      </c>
      <c r="J48" s="536">
        <f t="shared" si="47"/>
        <v>1.4832348034068006E-2</v>
      </c>
      <c r="K48" s="549">
        <f>VLOOKUP($A48,EFCO2S!$A$1:$J$44,(IF($B48=2015,4,IF($B48=2016,5,IF($B48=2017,6,IF($B48=2018,7,IF($B48=2019,8,IF($B48=2020,9,0))))))),FALSE)</f>
        <v>166.54543379579488</v>
      </c>
      <c r="L48" s="546">
        <f>VLOOKUP($A48,EFCH4S!$A$1:$J$44,(IF($B48=2015,4,IF($B48=2016,5,IF($B48=2017,6,IF($B48=2018,7,IF($B48=2019,8,IF($B48=2020,9,0))))))),FALSE)</f>
        <v>9.3996999235005617E-3</v>
      </c>
      <c r="M48" s="540">
        <f t="shared" si="48"/>
        <v>4.5974761391381153E-2</v>
      </c>
      <c r="N48" s="108">
        <v>1</v>
      </c>
      <c r="O48" s="108">
        <v>24</v>
      </c>
      <c r="P48" s="109">
        <f>0.5*22</f>
        <v>11</v>
      </c>
      <c r="Q48" s="39">
        <f t="shared" si="49"/>
        <v>1.9486137858351094</v>
      </c>
      <c r="R48" s="29">
        <f t="shared" si="49"/>
        <v>9.1186080321436513</v>
      </c>
      <c r="S48" s="29">
        <f t="shared" si="49"/>
        <v>11.614676562033132</v>
      </c>
      <c r="T48" s="29">
        <f t="shared" si="49"/>
        <v>4.4974126325895529E-2</v>
      </c>
      <c r="U48" s="29">
        <f t="shared" si="49"/>
        <v>0.3999734301321709</v>
      </c>
      <c r="V48" s="29">
        <f t="shared" si="49"/>
        <v>0.35597635281763212</v>
      </c>
      <c r="W48" s="29">
        <f t="shared" si="49"/>
        <v>3997.0904110990768</v>
      </c>
      <c r="X48" s="29">
        <f t="shared" si="49"/>
        <v>0.22559279816401348</v>
      </c>
      <c r="Y48" s="29">
        <f t="shared" si="49"/>
        <v>1.1033942733931477</v>
      </c>
    </row>
    <row r="49" spans="1:25" s="3" customFormat="1" x14ac:dyDescent="0.25">
      <c r="A49" s="27" t="s">
        <v>168</v>
      </c>
      <c r="B49" s="115">
        <v>2018</v>
      </c>
      <c r="C49" s="25">
        <v>235</v>
      </c>
      <c r="D49" s="25">
        <v>0.38</v>
      </c>
      <c r="E49" s="546">
        <f>VLOOKUP($A49,EFROGS!$A$1:$J$44,(IF($B49=2015,4,IF($B49=2016,5,IF($B49=2017,6,IF($B49=2018,7,IF($B49=2019,8,IF($B49=2020,9,0))))))),FALSE)</f>
        <v>8.119224107646289E-2</v>
      </c>
      <c r="F49" s="546">
        <f>VLOOKUP($A49,EFCOS!$A$1:$J$44,(IF($B49=2015,4,IF($B49=2016,5,IF($B49=2017,6,IF($B49=2018,7,IF($B49=2019,8,IF($B49=2020,9,0))))))),FALSE)</f>
        <v>0.37994200133931877</v>
      </c>
      <c r="G49" s="546">
        <f>VLOOKUP($A49,EFNOXS!$A$1:$J$44,(IF($B49=2015,4,IF($B49=2016,5,IF($B49=2017,6,IF($B49=2018,7,IF($B49=2019,8,IF($B49=2020,9,0))))))),FALSE)</f>
        <v>0.48394485675138055</v>
      </c>
      <c r="H49" s="546">
        <f>VLOOKUP($A49,EFSOXS!$A$1:$J$44,(IF($B49=2015,4,IF($B49=2016,5,IF($B49=2017,6,IF($B49=2018,7,IF($B49=2019,8,IF($B49=2020,9,0))))))),FALSE)</f>
        <v>1.873921930245647E-3</v>
      </c>
      <c r="I49" s="546">
        <f>VLOOKUP($A49,EFPMS!$A$1:$J$44,(IF($B49=2015,4,IF($B49=2016,5,IF($B49=2017,6,IF($B49=2018,7,IF($B49=2019,8,IF($B49=2020,9,0))))))),FALSE)</f>
        <v>1.6665559588840455E-2</v>
      </c>
      <c r="J49" s="536">
        <f t="shared" si="47"/>
        <v>1.4832348034068006E-2</v>
      </c>
      <c r="K49" s="549">
        <f>VLOOKUP($A49,EFCO2S!$A$1:$J$44,(IF($B49=2015,4,IF($B49=2016,5,IF($B49=2017,6,IF($B49=2018,7,IF($B49=2019,8,IF($B49=2020,9,0))))))),FALSE)</f>
        <v>166.54543379579488</v>
      </c>
      <c r="L49" s="546">
        <f>VLOOKUP($A49,EFCH4S!$A$1:$J$44,(IF($B49=2015,4,IF($B49=2016,5,IF($B49=2017,6,IF($B49=2018,7,IF($B49=2019,8,IF($B49=2020,9,0))))))),FALSE)</f>
        <v>9.3996999235005617E-3</v>
      </c>
      <c r="M49" s="540">
        <f t="shared" si="48"/>
        <v>4.5974761391381153E-2</v>
      </c>
      <c r="N49" s="108">
        <v>1</v>
      </c>
      <c r="O49" s="108">
        <v>24</v>
      </c>
      <c r="P49" s="109">
        <f>0.75*22</f>
        <v>16.5</v>
      </c>
      <c r="Q49" s="39">
        <f t="shared" si="49"/>
        <v>1.9486137858351094</v>
      </c>
      <c r="R49" s="29">
        <f t="shared" si="49"/>
        <v>9.1186080321436513</v>
      </c>
      <c r="S49" s="29">
        <f t="shared" si="49"/>
        <v>11.614676562033132</v>
      </c>
      <c r="T49" s="29">
        <f t="shared" si="49"/>
        <v>4.4974126325895529E-2</v>
      </c>
      <c r="U49" s="29">
        <f t="shared" si="49"/>
        <v>0.3999734301321709</v>
      </c>
      <c r="V49" s="29">
        <f t="shared" si="49"/>
        <v>0.35597635281763212</v>
      </c>
      <c r="W49" s="29">
        <f t="shared" si="49"/>
        <v>3997.0904110990768</v>
      </c>
      <c r="X49" s="29">
        <f t="shared" si="49"/>
        <v>0.22559279816401348</v>
      </c>
      <c r="Y49" s="29">
        <f t="shared" si="49"/>
        <v>1.1033942733931477</v>
      </c>
    </row>
    <row r="50" spans="1:25" s="3" customFormat="1" x14ac:dyDescent="0.25">
      <c r="A50" s="19" t="s">
        <v>38</v>
      </c>
      <c r="B50" s="115"/>
      <c r="C50" s="25"/>
      <c r="D50" s="20"/>
      <c r="E50" s="21"/>
      <c r="F50" s="21"/>
      <c r="G50" s="21"/>
      <c r="H50" s="21"/>
      <c r="I50" s="21"/>
      <c r="J50" s="21"/>
      <c r="K50" s="21"/>
      <c r="L50" s="21"/>
      <c r="M50" s="114"/>
      <c r="N50" s="143"/>
      <c r="O50" s="143"/>
      <c r="P50" s="144"/>
      <c r="Q50" s="138">
        <f>SUM(Q40:Q49)</f>
        <v>8.7846299354902033</v>
      </c>
      <c r="R50" s="138">
        <f t="shared" ref="R50:Y50" si="59">SUM(R40:R49)</f>
        <v>43.755820967159821</v>
      </c>
      <c r="S50" s="138">
        <f t="shared" si="59"/>
        <v>53.882364699707075</v>
      </c>
      <c r="T50" s="138">
        <f t="shared" si="59"/>
        <v>0.19908385082326924</v>
      </c>
      <c r="U50" s="138">
        <f t="shared" si="59"/>
        <v>1.9500300302663813</v>
      </c>
      <c r="V50" s="138">
        <f t="shared" si="59"/>
        <v>1.7355267269370795</v>
      </c>
      <c r="W50" s="138">
        <f t="shared" si="59"/>
        <v>18019.711095395505</v>
      </c>
      <c r="X50" s="138">
        <f t="shared" si="59"/>
        <v>1.0113215021382504</v>
      </c>
      <c r="Y50" s="138">
        <f t="shared" si="59"/>
        <v>5.1188246464721727</v>
      </c>
    </row>
    <row r="51" spans="1:25" s="3" customFormat="1" x14ac:dyDescent="0.25">
      <c r="A51" s="27"/>
      <c r="B51" s="115"/>
      <c r="C51" s="25"/>
      <c r="D51" s="20"/>
      <c r="E51" s="21"/>
      <c r="F51" s="21"/>
      <c r="G51" s="21"/>
      <c r="H51" s="21"/>
      <c r="I51" s="21"/>
      <c r="J51" s="21"/>
      <c r="K51" s="21"/>
      <c r="L51" s="21"/>
      <c r="M51" s="114"/>
      <c r="N51" s="143"/>
      <c r="O51" s="143"/>
      <c r="P51" s="144"/>
      <c r="Q51" s="138"/>
      <c r="R51" s="31"/>
      <c r="S51" s="31"/>
      <c r="T51" s="31"/>
      <c r="U51" s="31"/>
      <c r="V51" s="31"/>
      <c r="W51" s="33"/>
      <c r="X51" s="31"/>
      <c r="Y51" s="31"/>
    </row>
    <row r="52" spans="1:25" s="3" customFormat="1" x14ac:dyDescent="0.25">
      <c r="A52" s="19" t="s">
        <v>219</v>
      </c>
      <c r="B52" s="115">
        <v>2019</v>
      </c>
      <c r="C52" s="25"/>
      <c r="D52" s="20"/>
      <c r="E52" s="21"/>
      <c r="F52" s="21"/>
      <c r="G52" s="21"/>
      <c r="H52" s="21"/>
      <c r="I52" s="21"/>
      <c r="J52" s="21"/>
      <c r="K52" s="21"/>
      <c r="L52" s="21"/>
      <c r="M52" s="114"/>
      <c r="N52" s="143"/>
      <c r="O52" s="143"/>
      <c r="P52" s="144"/>
      <c r="Q52" s="138"/>
      <c r="R52" s="31"/>
      <c r="S52" s="31"/>
      <c r="T52" s="31"/>
      <c r="U52" s="31"/>
      <c r="V52" s="31"/>
      <c r="W52" s="33"/>
      <c r="X52" s="31"/>
      <c r="Y52" s="31"/>
    </row>
    <row r="53" spans="1:25" s="3" customFormat="1" x14ac:dyDescent="0.25">
      <c r="A53" s="27" t="s">
        <v>213</v>
      </c>
      <c r="B53" s="115">
        <v>2019</v>
      </c>
      <c r="C53" s="25">
        <v>175</v>
      </c>
      <c r="D53" s="20"/>
      <c r="E53" s="546">
        <f>VLOOKUP($A53,EFROGS!$A$1:$J$44,(IF($B53=2015,4,IF($B53=2016,5,IF($B53=2017,6,IF($B53=2018,7,IF($B53=2019,8,IF($B53=2020,9,0))))))),FALSE)</f>
        <v>6.7085777655213327E-2</v>
      </c>
      <c r="F53" s="546">
        <f>VLOOKUP($A53,EFCOS!$A$1:$J$44,(IF($B53=2015,4,IF($B53=2016,5,IF($B53=2017,6,IF($B53=2018,7,IF($B53=2019,8,IF($B53=2020,9,0))))))),FALSE)</f>
        <v>0.34144226313529447</v>
      </c>
      <c r="G53" s="546">
        <f>VLOOKUP($A53,EFNOXS!$A$1:$J$44,(IF($B53=2015,4,IF($B53=2016,5,IF($B53=2017,6,IF($B53=2018,7,IF($B53=2019,8,IF($B53=2020,9,0))))))),FALSE)</f>
        <v>0.36542804294942877</v>
      </c>
      <c r="H53" s="546">
        <f>VLOOKUP($A53,EFSOXS!$A$1:$J$44,(IF($B53=2015,4,IF($B53=2016,5,IF($B53=2017,6,IF($B53=2018,7,IF($B53=2019,8,IF($B53=2020,9,0))))))),FALSE)</f>
        <v>1.8739219985869813E-3</v>
      </c>
      <c r="I53" s="546">
        <f>VLOOKUP($A53,EFPMS!$A$1:$J$44,(IF($B53=2015,4,IF($B53=2016,5,IF($B53=2017,6,IF($B53=2018,7,IF($B53=2019,8,IF($B53=2020,9,0))))))),FALSE)</f>
        <v>1.2739176001638888E-2</v>
      </c>
      <c r="J53" s="536">
        <f t="shared" ref="J53" si="60">0.89*I53</f>
        <v>1.133786664145861E-2</v>
      </c>
      <c r="K53" s="549">
        <f>VLOOKUP($A53,EFCO2S!$A$1:$J$44,(IF($B53=2015,4,IF($B53=2016,5,IF($B53=2017,6,IF($B53=2018,7,IF($B53=2019,8,IF($B53=2020,9,0))))))),FALSE)</f>
        <v>166.54541132463186</v>
      </c>
      <c r="L53" s="546">
        <f>VLOOKUP($A53,EFCH4S!$A$1:$J$44,(IF($B53=2015,4,IF($B53=2016,5,IF($B53=2017,6,IF($B53=2018,7,IF($B53=2019,8,IF($B53=2020,9,0))))))),FALSE)</f>
        <v>8.8537970071824509E-3</v>
      </c>
      <c r="M53" s="540">
        <f t="shared" ref="M53" si="61">0.095*G53</f>
        <v>3.4715664080195732E-2</v>
      </c>
      <c r="N53" s="108">
        <v>2</v>
      </c>
      <c r="O53" s="108">
        <v>1</v>
      </c>
      <c r="P53" s="109">
        <f>5*22</f>
        <v>110</v>
      </c>
      <c r="Q53" s="39">
        <f t="shared" ref="Q53" si="62">(E53*$N53*$O53)</f>
        <v>0.13417155531042665</v>
      </c>
      <c r="R53" s="29">
        <f t="shared" ref="R53" si="63">(F53*$N53*$O53)</f>
        <v>0.68288452627058893</v>
      </c>
      <c r="S53" s="29">
        <f t="shared" ref="S53" si="64">(G53*$N53*$O53)</f>
        <v>0.73085608589885753</v>
      </c>
      <c r="T53" s="29">
        <f t="shared" ref="T53" si="65">(H53*$N53*$O53)</f>
        <v>3.7478439971739626E-3</v>
      </c>
      <c r="U53" s="29">
        <f t="shared" ref="U53" si="66">(I53*$N53*$O53)</f>
        <v>2.5478352003277777E-2</v>
      </c>
      <c r="V53" s="29">
        <f t="shared" ref="V53" si="67">(J53*$N53*$O53)</f>
        <v>2.2675733282917221E-2</v>
      </c>
      <c r="W53" s="29">
        <f t="shared" ref="W53" si="68">(K53*$N53*$O53)</f>
        <v>333.09082264926371</v>
      </c>
      <c r="X53" s="29">
        <f t="shared" ref="X53" si="69">(L53*$N53*$O53)</f>
        <v>1.7707594014364902E-2</v>
      </c>
      <c r="Y53" s="29">
        <f t="shared" ref="Y53" si="70">(M53*$N53*$O53)</f>
        <v>6.9431328160391464E-2</v>
      </c>
    </row>
    <row r="54" spans="1:25" s="3" customFormat="1" x14ac:dyDescent="0.25">
      <c r="A54" s="19" t="s">
        <v>38</v>
      </c>
      <c r="B54" s="115"/>
      <c r="C54" s="25"/>
      <c r="D54" s="20"/>
      <c r="E54" s="21"/>
      <c r="F54" s="21"/>
      <c r="G54" s="21"/>
      <c r="H54" s="21"/>
      <c r="I54" s="21"/>
      <c r="J54" s="21"/>
      <c r="K54" s="21"/>
      <c r="L54" s="21"/>
      <c r="M54" s="114"/>
      <c r="N54" s="143"/>
      <c r="O54" s="143"/>
      <c r="P54" s="144"/>
      <c r="Q54" s="138">
        <f t="shared" ref="Q54:Y54" si="71">SUM(Q53)</f>
        <v>0.13417155531042665</v>
      </c>
      <c r="R54" s="31">
        <f t="shared" si="71"/>
        <v>0.68288452627058893</v>
      </c>
      <c r="S54" s="31">
        <f t="shared" si="71"/>
        <v>0.73085608589885753</v>
      </c>
      <c r="T54" s="31">
        <f t="shared" si="71"/>
        <v>3.7478439971739626E-3</v>
      </c>
      <c r="U54" s="31">
        <f t="shared" si="71"/>
        <v>2.5478352003277777E-2</v>
      </c>
      <c r="V54" s="31">
        <f t="shared" si="71"/>
        <v>2.2675733282917221E-2</v>
      </c>
      <c r="W54" s="33">
        <f t="shared" si="71"/>
        <v>333.09082264926371</v>
      </c>
      <c r="X54" s="31">
        <f t="shared" si="71"/>
        <v>1.7707594014364902E-2</v>
      </c>
      <c r="Y54" s="31">
        <f t="shared" si="71"/>
        <v>6.9431328160391464E-2</v>
      </c>
    </row>
    <row r="55" spans="1:25" s="3" customFormat="1" x14ac:dyDescent="0.25">
      <c r="A55" s="27"/>
      <c r="B55" s="115"/>
      <c r="C55" s="25"/>
      <c r="D55" s="20"/>
      <c r="E55" s="21"/>
      <c r="F55" s="21"/>
      <c r="G55" s="21"/>
      <c r="H55" s="21"/>
      <c r="I55" s="21"/>
      <c r="J55" s="21"/>
      <c r="K55" s="21"/>
      <c r="L55" s="21"/>
      <c r="M55" s="114"/>
      <c r="N55" s="143"/>
      <c r="O55" s="143"/>
      <c r="P55" s="144"/>
      <c r="Q55" s="138"/>
      <c r="R55" s="31"/>
      <c r="S55" s="31"/>
      <c r="T55" s="31"/>
      <c r="U55" s="31"/>
      <c r="V55" s="31"/>
      <c r="W55" s="33"/>
      <c r="X55" s="31"/>
      <c r="Y55" s="31"/>
    </row>
    <row r="56" spans="1:25" s="3" customFormat="1" x14ac:dyDescent="0.25">
      <c r="A56" s="19" t="s">
        <v>222</v>
      </c>
      <c r="B56" s="115">
        <v>2019</v>
      </c>
      <c r="C56" s="25"/>
      <c r="D56" s="20"/>
      <c r="E56" s="21"/>
      <c r="F56" s="21"/>
      <c r="G56" s="21"/>
      <c r="H56" s="21"/>
      <c r="I56" s="21"/>
      <c r="J56" s="21"/>
      <c r="K56" s="21"/>
      <c r="L56" s="21"/>
      <c r="M56" s="114"/>
      <c r="N56" s="143"/>
      <c r="O56" s="143"/>
      <c r="P56" s="144"/>
      <c r="Q56" s="138"/>
      <c r="R56" s="31"/>
      <c r="S56" s="31"/>
      <c r="T56" s="31"/>
      <c r="U56" s="31"/>
      <c r="V56" s="31"/>
      <c r="W56" s="33"/>
      <c r="X56" s="31"/>
      <c r="Y56" s="31"/>
    </row>
    <row r="57" spans="1:25" s="3" customFormat="1" x14ac:dyDescent="0.25">
      <c r="A57" s="27" t="s">
        <v>213</v>
      </c>
      <c r="B57" s="115">
        <v>2019</v>
      </c>
      <c r="C57" s="25">
        <v>175</v>
      </c>
      <c r="D57" s="20"/>
      <c r="E57" s="546">
        <f>VLOOKUP($A57,EFROGS!$A$1:$J$44,(IF($B57=2015,4,IF($B57=2016,5,IF($B57=2017,6,IF($B57=2018,7,IF($B57=2019,8,IF($B57=2020,9,0))))))),FALSE)</f>
        <v>6.7085777655213327E-2</v>
      </c>
      <c r="F57" s="546">
        <f>VLOOKUP($A57,EFCOS!$A$1:$J$44,(IF($B57=2015,4,IF($B57=2016,5,IF($B57=2017,6,IF($B57=2018,7,IF($B57=2019,8,IF($B57=2020,9,0))))))),FALSE)</f>
        <v>0.34144226313529447</v>
      </c>
      <c r="G57" s="546">
        <f>VLOOKUP($A57,EFNOXS!$A$1:$J$44,(IF($B57=2015,4,IF($B57=2016,5,IF($B57=2017,6,IF($B57=2018,7,IF($B57=2019,8,IF($B57=2020,9,0))))))),FALSE)</f>
        <v>0.36542804294942877</v>
      </c>
      <c r="H57" s="546">
        <f>VLOOKUP($A57,EFSOXS!$A$1:$J$44,(IF($B57=2015,4,IF($B57=2016,5,IF($B57=2017,6,IF($B57=2018,7,IF($B57=2019,8,IF($B57=2020,9,0))))))),FALSE)</f>
        <v>1.8739219985869813E-3</v>
      </c>
      <c r="I57" s="546">
        <f>VLOOKUP($A57,EFPMS!$A$1:$J$44,(IF($B57=2015,4,IF($B57=2016,5,IF($B57=2017,6,IF($B57=2018,7,IF($B57=2019,8,IF($B57=2020,9,0))))))),FALSE)</f>
        <v>1.2739176001638888E-2</v>
      </c>
      <c r="J57" s="536">
        <f t="shared" ref="J57:J60" si="72">0.89*I57</f>
        <v>1.133786664145861E-2</v>
      </c>
      <c r="K57" s="549">
        <f>VLOOKUP($A57,EFCO2S!$A$1:$J$44,(IF($B57=2015,4,IF($B57=2016,5,IF($B57=2017,6,IF($B57=2018,7,IF($B57=2019,8,IF($B57=2020,9,0))))))),FALSE)</f>
        <v>166.54541132463186</v>
      </c>
      <c r="L57" s="546">
        <f>VLOOKUP($A57,EFCH4S!$A$1:$J$44,(IF($B57=2015,4,IF($B57=2016,5,IF($B57=2017,6,IF($B57=2018,7,IF($B57=2019,8,IF($B57=2020,9,0))))))),FALSE)</f>
        <v>8.8537970071824509E-3</v>
      </c>
      <c r="M57" s="540">
        <f t="shared" ref="M57:M60" si="73">0.095*G57</f>
        <v>3.4715664080195732E-2</v>
      </c>
      <c r="N57" s="108">
        <v>1</v>
      </c>
      <c r="O57" s="108">
        <v>1</v>
      </c>
      <c r="P57" s="109">
        <v>10</v>
      </c>
      <c r="Q57" s="39">
        <f t="shared" ref="Q57" si="74">(E57*$N57*$O57)</f>
        <v>6.7085777655213327E-2</v>
      </c>
      <c r="R57" s="29">
        <f t="shared" ref="R57" si="75">(F57*$N57*$O57)</f>
        <v>0.34144226313529447</v>
      </c>
      <c r="S57" s="29">
        <f t="shared" ref="S57" si="76">(G57*$N57*$O57)</f>
        <v>0.36542804294942877</v>
      </c>
      <c r="T57" s="29">
        <f t="shared" ref="T57" si="77">(H57*$N57*$O57)</f>
        <v>1.8739219985869813E-3</v>
      </c>
      <c r="U57" s="29">
        <f t="shared" ref="U57" si="78">(I57*$N57*$O57)</f>
        <v>1.2739176001638888E-2</v>
      </c>
      <c r="V57" s="29">
        <f t="shared" ref="V57" si="79">(J57*$N57*$O57)</f>
        <v>1.133786664145861E-2</v>
      </c>
      <c r="W57" s="29">
        <f t="shared" ref="W57" si="80">(K57*$N57*$O57)</f>
        <v>166.54541132463186</v>
      </c>
      <c r="X57" s="29">
        <f t="shared" ref="X57" si="81">(L57*$N57*$O57)</f>
        <v>8.8537970071824509E-3</v>
      </c>
      <c r="Y57" s="29">
        <f t="shared" ref="Y57" si="82">(M57*$N57*$O57)</f>
        <v>3.4715664080195732E-2</v>
      </c>
    </row>
    <row r="58" spans="1:25" s="3" customFormat="1" x14ac:dyDescent="0.25">
      <c r="A58" s="27" t="s">
        <v>203</v>
      </c>
      <c r="B58" s="115">
        <v>2019</v>
      </c>
      <c r="C58" s="25">
        <v>235</v>
      </c>
      <c r="D58" s="20"/>
      <c r="E58" s="546">
        <f>VLOOKUP($A58,EFROGS!$A$1:$J$44,(IF($B58=2015,4,IF($B58=2016,5,IF($B58=2017,6,IF($B58=2018,7,IF($B58=2019,8,IF($B58=2020,9,0))))))),FALSE)</f>
        <v>6.7085777655213327E-2</v>
      </c>
      <c r="F58" s="546">
        <f>VLOOKUP($A58,EFCOS!$A$1:$J$44,(IF($B58=2015,4,IF($B58=2016,5,IF($B58=2017,6,IF($B58=2018,7,IF($B58=2019,8,IF($B58=2020,9,0))))))),FALSE)</f>
        <v>0.34144226313529447</v>
      </c>
      <c r="G58" s="546">
        <f>VLOOKUP($A58,EFNOXS!$A$1:$J$44,(IF($B58=2015,4,IF($B58=2016,5,IF($B58=2017,6,IF($B58=2018,7,IF($B58=2019,8,IF($B58=2020,9,0))))))),FALSE)</f>
        <v>0.36542804294942877</v>
      </c>
      <c r="H58" s="546">
        <f>VLOOKUP($A58,EFSOXS!$A$1:$J$44,(IF($B58=2015,4,IF($B58=2016,5,IF($B58=2017,6,IF($B58=2018,7,IF($B58=2019,8,IF($B58=2020,9,0))))))),FALSE)</f>
        <v>1.8739219985869813E-3</v>
      </c>
      <c r="I58" s="546">
        <f>VLOOKUP($A58,EFPMS!$A$1:$J$44,(IF($B58=2015,4,IF($B58=2016,5,IF($B58=2017,6,IF($B58=2018,7,IF($B58=2019,8,IF($B58=2020,9,0))))))),FALSE)</f>
        <v>1.2739176001638888E-2</v>
      </c>
      <c r="J58" s="536">
        <f t="shared" si="72"/>
        <v>1.133786664145861E-2</v>
      </c>
      <c r="K58" s="549">
        <f>VLOOKUP($A58,EFCO2S!$A$1:$J$44,(IF($B58=2015,4,IF($B58=2016,5,IF($B58=2017,6,IF($B58=2018,7,IF($B58=2019,8,IF($B58=2020,9,0))))))),FALSE)</f>
        <v>166.54541132463186</v>
      </c>
      <c r="L58" s="546">
        <f>VLOOKUP($A58,EFCH4S!$A$1:$J$44,(IF($B58=2015,4,IF($B58=2016,5,IF($B58=2017,6,IF($B58=2018,7,IF($B58=2019,8,IF($B58=2020,9,0))))))),FALSE)</f>
        <v>8.8537970071824509E-3</v>
      </c>
      <c r="M58" s="540">
        <f t="shared" si="73"/>
        <v>3.4715664080195732E-2</v>
      </c>
      <c r="N58" s="108">
        <v>2</v>
      </c>
      <c r="O58" s="108">
        <v>8</v>
      </c>
      <c r="P58" s="109">
        <v>10</v>
      </c>
      <c r="Q58" s="39">
        <f t="shared" ref="Q58:Q59" si="83">(E58*$N58*$O58)</f>
        <v>1.0733724424834132</v>
      </c>
      <c r="R58" s="29">
        <f t="shared" ref="R58:R59" si="84">(F58*$N58*$O58)</f>
        <v>5.4630762101647115</v>
      </c>
      <c r="S58" s="29">
        <f t="shared" ref="S58:S59" si="85">(G58*$N58*$O58)</f>
        <v>5.8468486871908603</v>
      </c>
      <c r="T58" s="29">
        <f t="shared" ref="T58:T59" si="86">(H58*$N58*$O58)</f>
        <v>2.9982751977391701E-2</v>
      </c>
      <c r="U58" s="29">
        <f t="shared" ref="U58:U59" si="87">(I58*$N58*$O58)</f>
        <v>0.20382681602622221</v>
      </c>
      <c r="V58" s="29">
        <f t="shared" ref="V58:V59" si="88">(J58*$N58*$O58)</f>
        <v>0.18140586626333777</v>
      </c>
      <c r="W58" s="29">
        <f t="shared" ref="W58:W59" si="89">(K58*$N58*$O58)</f>
        <v>2664.7265811941097</v>
      </c>
      <c r="X58" s="29">
        <f t="shared" ref="X58:X59" si="90">(L58*$N58*$O58)</f>
        <v>0.14166075211491921</v>
      </c>
      <c r="Y58" s="29">
        <f t="shared" ref="Y58:Y59" si="91">(M58*$N58*$O58)</f>
        <v>0.55545062528313172</v>
      </c>
    </row>
    <row r="59" spans="1:25" s="3" customFormat="1" x14ac:dyDescent="0.25">
      <c r="A59" s="27" t="s">
        <v>165</v>
      </c>
      <c r="B59" s="115">
        <v>2019</v>
      </c>
      <c r="C59" s="25">
        <v>525</v>
      </c>
      <c r="D59" s="20"/>
      <c r="E59" s="546">
        <f>VLOOKUP($A59,EFROGS!$A$1:$J$44,(IF($B59=2015,4,IF($B59=2016,5,IF($B59=2017,6,IF($B59=2018,7,IF($B59=2019,8,IF($B59=2020,9,0))))))),FALSE)</f>
        <v>0</v>
      </c>
      <c r="F59" s="546">
        <f>VLOOKUP($A59,EFCOS!$A$1:$J$44,(IF($B59=2015,4,IF($B59=2016,5,IF($B59=2017,6,IF($B59=2018,7,IF($B59=2019,8,IF($B59=2020,9,0))))))),FALSE)</f>
        <v>0</v>
      </c>
      <c r="G59" s="546">
        <f>VLOOKUP($A59,EFNOXS!$A$1:$J$44,(IF($B59=2015,4,IF($B59=2016,5,IF($B59=2017,6,IF($B59=2018,7,IF($B59=2019,8,IF($B59=2020,9,0))))))),FALSE)</f>
        <v>0</v>
      </c>
      <c r="H59" s="546">
        <f>VLOOKUP($A59,EFSOXS!$A$1:$J$44,(IF($B59=2015,4,IF($B59=2016,5,IF($B59=2017,6,IF($B59=2018,7,IF($B59=2019,8,IF($B59=2020,9,0))))))),FALSE)</f>
        <v>0</v>
      </c>
      <c r="I59" s="546">
        <f>VLOOKUP($A59,EFPMS!$A$1:$J$44,(IF($B59=2015,4,IF($B59=2016,5,IF($B59=2017,6,IF($B59=2018,7,IF($B59=2019,8,IF($B59=2020,9,0))))))),FALSE)</f>
        <v>0</v>
      </c>
      <c r="J59" s="536">
        <f t="shared" si="72"/>
        <v>0</v>
      </c>
      <c r="K59" s="549">
        <f>VLOOKUP($A59,EFCO2S!$A$1:$J$44,(IF($B59=2015,4,IF($B59=2016,5,IF($B59=2017,6,IF($B59=2018,7,IF($B59=2019,8,IF($B59=2020,9,0))))))),FALSE)</f>
        <v>0</v>
      </c>
      <c r="L59" s="546">
        <f>VLOOKUP($A59,EFCH4S!$A$1:$J$44,(IF($B59=2015,4,IF($B59=2016,5,IF($B59=2017,6,IF($B59=2018,7,IF($B59=2019,8,IF($B59=2020,9,0))))))),FALSE)</f>
        <v>0</v>
      </c>
      <c r="M59" s="540">
        <f t="shared" si="73"/>
        <v>0</v>
      </c>
      <c r="N59" s="108">
        <v>1</v>
      </c>
      <c r="O59" s="108">
        <v>2</v>
      </c>
      <c r="P59" s="109">
        <v>11</v>
      </c>
      <c r="Q59" s="39">
        <f t="shared" si="83"/>
        <v>0</v>
      </c>
      <c r="R59" s="29">
        <f t="shared" si="84"/>
        <v>0</v>
      </c>
      <c r="S59" s="29">
        <f t="shared" si="85"/>
        <v>0</v>
      </c>
      <c r="T59" s="29">
        <f t="shared" si="86"/>
        <v>0</v>
      </c>
      <c r="U59" s="29">
        <f t="shared" si="87"/>
        <v>0</v>
      </c>
      <c r="V59" s="29">
        <f t="shared" si="88"/>
        <v>0</v>
      </c>
      <c r="W59" s="29">
        <f t="shared" si="89"/>
        <v>0</v>
      </c>
      <c r="X59" s="29">
        <f t="shared" si="90"/>
        <v>0</v>
      </c>
      <c r="Y59" s="29">
        <f t="shared" si="91"/>
        <v>0</v>
      </c>
    </row>
    <row r="60" spans="1:25" s="3" customFormat="1" x14ac:dyDescent="0.25">
      <c r="A60" s="27" t="s">
        <v>162</v>
      </c>
      <c r="B60" s="115">
        <v>2019</v>
      </c>
      <c r="C60" s="25">
        <v>235</v>
      </c>
      <c r="D60" s="20"/>
      <c r="E60" s="546">
        <f>VLOOKUP($A60,EFROGS!$A$1:$J$44,(IF($B60=2015,4,IF($B60=2016,5,IF($B60=2017,6,IF($B60=2018,7,IF($B60=2019,8,IF($B60=2020,9,0))))))),FALSE)</f>
        <v>6.9900592470028153E-2</v>
      </c>
      <c r="F60" s="546">
        <f>VLOOKUP($A60,EFCOS!$A$1:$J$44,(IF($B60=2015,4,IF($B60=2016,5,IF($B60=2017,6,IF($B60=2018,7,IF($B60=2019,8,IF($B60=2020,9,0))))))),FALSE)</f>
        <v>0.38567506736809876</v>
      </c>
      <c r="G60" s="546">
        <f>VLOOKUP($A60,EFNOXS!$A$1:$J$44,(IF($B60=2015,4,IF($B60=2016,5,IF($B60=2017,6,IF($B60=2018,7,IF($B60=2019,8,IF($B60=2020,9,0))))))),FALSE)</f>
        <v>0.37145978898117477</v>
      </c>
      <c r="H60" s="546">
        <f>VLOOKUP($A60,EFSOXS!$A$1:$J$44,(IF($B60=2015,4,IF($B60=2016,5,IF($B60=2017,6,IF($B60=2018,7,IF($B60=2019,8,IF($B60=2020,9,0))))))),FALSE)</f>
        <v>1.8739219985869813E-3</v>
      </c>
      <c r="I60" s="546">
        <f>VLOOKUP($A60,EFPMS!$A$1:$J$44,(IF($B60=2015,4,IF($B60=2016,5,IF($B60=2017,6,IF($B60=2018,7,IF($B60=2019,8,IF($B60=2020,9,0))))))),FALSE)</f>
        <v>1.3040763303226189E-2</v>
      </c>
      <c r="J60" s="536">
        <f t="shared" si="72"/>
        <v>1.1606279339871309E-2</v>
      </c>
      <c r="K60" s="549">
        <f>VLOOKUP($A60,EFCO2S!$A$1:$J$44,(IF($B60=2015,4,IF($B60=2016,5,IF($B60=2017,6,IF($B60=2018,7,IF($B60=2019,8,IF($B60=2020,9,0))))))),FALSE)</f>
        <v>166.54541132463186</v>
      </c>
      <c r="L60" s="546">
        <f>VLOOKUP($A60,EFCH4S!$A$1:$J$44,(IF($B60=2015,4,IF($B60=2016,5,IF($B60=2017,6,IF($B60=2018,7,IF($B60=2019,8,IF($B60=2020,9,0))))))),FALSE)</f>
        <v>8.8537970071824509E-3</v>
      </c>
      <c r="M60" s="540">
        <f t="shared" si="73"/>
        <v>3.5288679953211603E-2</v>
      </c>
      <c r="N60" s="108">
        <v>1</v>
      </c>
      <c r="O60" s="108">
        <v>8</v>
      </c>
      <c r="P60" s="109">
        <f>0.5*22</f>
        <v>11</v>
      </c>
      <c r="Q60" s="39">
        <f t="shared" ref="Q60" si="92">(E60*$N60*$O60)</f>
        <v>0.55920473976022522</v>
      </c>
      <c r="R60" s="29">
        <f t="shared" ref="R60" si="93">(F60*$N60*$O60)</f>
        <v>3.08540053894479</v>
      </c>
      <c r="S60" s="29">
        <f t="shared" ref="S60" si="94">(G60*$N60*$O60)</f>
        <v>2.9716783118493981</v>
      </c>
      <c r="T60" s="29">
        <f t="shared" ref="T60" si="95">(H60*$N60*$O60)</f>
        <v>1.499137598869585E-2</v>
      </c>
      <c r="U60" s="29">
        <f t="shared" ref="U60" si="96">(I60*$N60*$O60)</f>
        <v>0.10432610642580951</v>
      </c>
      <c r="V60" s="29">
        <f t="shared" ref="V60" si="97">(J60*$N60*$O60)</f>
        <v>9.285023471897047E-2</v>
      </c>
      <c r="W60" s="29">
        <f t="shared" ref="W60" si="98">(K60*$N60*$O60)</f>
        <v>1332.3632905970549</v>
      </c>
      <c r="X60" s="29">
        <f t="shared" ref="X60" si="99">(L60*$N60*$O60)</f>
        <v>7.0830376057459607E-2</v>
      </c>
      <c r="Y60" s="29">
        <f t="shared" ref="Y60" si="100">(M60*$N60*$O60)</f>
        <v>0.28230943962569283</v>
      </c>
    </row>
    <row r="61" spans="1:25" s="3" customFormat="1" x14ac:dyDescent="0.25">
      <c r="A61" s="19" t="s">
        <v>38</v>
      </c>
      <c r="B61" s="115"/>
      <c r="C61" s="25"/>
      <c r="D61" s="20"/>
      <c r="E61" s="21"/>
      <c r="F61" s="21"/>
      <c r="G61" s="21"/>
      <c r="H61" s="21"/>
      <c r="I61" s="21"/>
      <c r="J61" s="21"/>
      <c r="K61" s="21"/>
      <c r="L61" s="21"/>
      <c r="M61" s="114"/>
      <c r="N61" s="143"/>
      <c r="O61" s="143"/>
      <c r="P61" s="144"/>
      <c r="Q61" s="138">
        <f t="shared" ref="Q61:Y61" si="101">SUM(Q57:Q60)</f>
        <v>1.699662959898852</v>
      </c>
      <c r="R61" s="31">
        <f t="shared" si="101"/>
        <v>8.8899190122447962</v>
      </c>
      <c r="S61" s="31">
        <f t="shared" si="101"/>
        <v>9.1839550419896874</v>
      </c>
      <c r="T61" s="31">
        <f t="shared" si="101"/>
        <v>4.684804996467453E-2</v>
      </c>
      <c r="U61" s="31">
        <f t="shared" si="101"/>
        <v>0.32089209845367062</v>
      </c>
      <c r="V61" s="31">
        <f t="shared" si="101"/>
        <v>0.28559396762376688</v>
      </c>
      <c r="W61" s="33">
        <f t="shared" si="101"/>
        <v>4163.6352831157965</v>
      </c>
      <c r="X61" s="31">
        <f t="shared" si="101"/>
        <v>0.22134492517956128</v>
      </c>
      <c r="Y61" s="31">
        <f t="shared" si="101"/>
        <v>0.87247572898902037</v>
      </c>
    </row>
    <row r="62" spans="1:25" s="3" customFormat="1" x14ac:dyDescent="0.25">
      <c r="A62" s="27"/>
      <c r="B62" s="115"/>
      <c r="C62" s="25"/>
      <c r="D62" s="20"/>
      <c r="E62" s="21"/>
      <c r="F62" s="21"/>
      <c r="G62" s="21"/>
      <c r="H62" s="21"/>
      <c r="I62" s="21"/>
      <c r="J62" s="21"/>
      <c r="K62" s="21"/>
      <c r="L62" s="21"/>
      <c r="M62" s="114"/>
      <c r="N62" s="143"/>
      <c r="O62" s="143"/>
      <c r="P62" s="144"/>
      <c r="Q62" s="138"/>
      <c r="R62" s="31"/>
      <c r="S62" s="31"/>
      <c r="T62" s="31"/>
      <c r="U62" s="31"/>
      <c r="V62" s="31"/>
      <c r="W62" s="33"/>
      <c r="X62" s="31"/>
      <c r="Y62" s="31"/>
    </row>
    <row r="63" spans="1:25" s="3" customFormat="1" x14ac:dyDescent="0.25">
      <c r="A63" s="19" t="s">
        <v>220</v>
      </c>
      <c r="B63" s="115">
        <v>2020</v>
      </c>
      <c r="C63" s="25"/>
      <c r="D63" s="20"/>
      <c r="E63" s="21"/>
      <c r="F63" s="21"/>
      <c r="G63" s="21"/>
      <c r="H63" s="21"/>
      <c r="I63" s="21"/>
      <c r="J63" s="21"/>
      <c r="K63" s="21"/>
      <c r="L63" s="21"/>
      <c r="M63" s="114"/>
      <c r="N63" s="143"/>
      <c r="O63" s="143"/>
      <c r="P63" s="144"/>
      <c r="Q63" s="138"/>
      <c r="R63" s="31"/>
      <c r="S63" s="31"/>
      <c r="T63" s="31"/>
      <c r="U63" s="31"/>
      <c r="V63" s="31"/>
      <c r="W63" s="33"/>
      <c r="X63" s="31"/>
      <c r="Y63" s="31"/>
    </row>
    <row r="64" spans="1:25" s="3" customFormat="1" x14ac:dyDescent="0.25">
      <c r="A64" s="27" t="s">
        <v>213</v>
      </c>
      <c r="B64" s="115">
        <v>2020</v>
      </c>
      <c r="C64" s="25">
        <v>175</v>
      </c>
      <c r="D64" s="20"/>
      <c r="E64" s="546">
        <f>VLOOKUP($A64,EFROGS!$A$1:$J$44,(IF($B64=2015,4,IF($B64=2016,5,IF($B64=2017,6,IF($B64=2018,7,IF($B64=2019,8,IF($B64=2020,9,0))))))),FALSE)</f>
        <v>5.6624968735151403E-2</v>
      </c>
      <c r="F64" s="546">
        <f>VLOOKUP($A64,EFCOS!$A$1:$J$44,(IF($B64=2015,4,IF($B64=2016,5,IF($B64=2017,6,IF($B64=2018,7,IF($B64=2019,8,IF($B64=2020,9,0))))))),FALSE)</f>
        <v>0.33698254165636399</v>
      </c>
      <c r="G64" s="546">
        <f>VLOOKUP($A64,EFNOXS!$A$1:$J$44,(IF($B64=2015,4,IF($B64=2016,5,IF($B64=2017,6,IF($B64=2018,7,IF($B64=2019,8,IF($B64=2020,9,0))))))),FALSE)</f>
        <v>0.27411119268865514</v>
      </c>
      <c r="H64" s="546">
        <f>VLOOKUP($A64,EFSOXS!$A$1:$J$44,(IF($B64=2015,4,IF($B64=2016,5,IF($B64=2017,6,IF($B64=2018,7,IF($B64=2019,8,IF($B64=2020,9,0))))))),FALSE)</f>
        <v>1.8739212869985323E-3</v>
      </c>
      <c r="I64" s="546">
        <f>VLOOKUP($A64,EFPMS!$A$1:$J$44,(IF($B64=2015,4,IF($B64=2016,5,IF($B64=2017,6,IF($B64=2018,7,IF($B64=2019,8,IF($B64=2020,9,0))))))),FALSE)</f>
        <v>9.753223926346026E-3</v>
      </c>
      <c r="J64" s="536">
        <f t="shared" ref="J64:J65" si="102">0.89*I64</f>
        <v>8.6803692944479628E-3</v>
      </c>
      <c r="K64" s="549">
        <f>VLOOKUP($A64,EFCO2S!$A$1:$J$44,(IF($B64=2015,4,IF($B64=2016,5,IF($B64=2017,6,IF($B64=2018,7,IF($B64=2019,8,IF($B64=2020,9,0))))))),FALSE)</f>
        <v>166.54540745667055</v>
      </c>
      <c r="L64" s="546">
        <f>VLOOKUP($A64,EFCH4S!$A$1:$J$44,(IF($B64=2015,4,IF($B64=2016,5,IF($B64=2017,6,IF($B64=2018,7,IF($B64=2019,8,IF($B64=2020,9,0))))))),FALSE)</f>
        <v>8.3664496800051249E-3</v>
      </c>
      <c r="M64" s="540">
        <f t="shared" ref="M64:M65" si="103">0.095*G64</f>
        <v>2.6040563305422239E-2</v>
      </c>
      <c r="N64" s="108">
        <v>2</v>
      </c>
      <c r="O64" s="108">
        <v>1</v>
      </c>
      <c r="P64" s="109">
        <v>22</v>
      </c>
      <c r="Q64" s="39">
        <f t="shared" ref="Q64:Q65" si="104">(E64*$N64*$O64)</f>
        <v>0.11324993747030281</v>
      </c>
      <c r="R64" s="29">
        <f t="shared" ref="R64:R65" si="105">(F64*$N64*$O64)</f>
        <v>0.67396508331272797</v>
      </c>
      <c r="S64" s="29">
        <f t="shared" ref="S64:S65" si="106">(G64*$N64*$O64)</f>
        <v>0.54822238537731027</v>
      </c>
      <c r="T64" s="29">
        <f t="shared" ref="T64:T65" si="107">(H64*$N64*$O64)</f>
        <v>3.7478425739970646E-3</v>
      </c>
      <c r="U64" s="29">
        <f t="shared" ref="U64:U65" si="108">(I64*$N64*$O64)</f>
        <v>1.9506447852692052E-2</v>
      </c>
      <c r="V64" s="29">
        <f t="shared" ref="V64:V65" si="109">(J64*$N64*$O64)</f>
        <v>1.7360738588895926E-2</v>
      </c>
      <c r="W64" s="29">
        <f t="shared" ref="W64:W65" si="110">(K64*$N64*$O64)</f>
        <v>333.09081491334109</v>
      </c>
      <c r="X64" s="29">
        <f t="shared" ref="X64:X65" si="111">(L64*$N64*$O64)</f>
        <v>1.673289936001025E-2</v>
      </c>
      <c r="Y64" s="29">
        <f t="shared" ref="Y64:Y65" si="112">(M64*$N64*$O64)</f>
        <v>5.2081126610844478E-2</v>
      </c>
    </row>
    <row r="65" spans="1:32" s="3" customFormat="1" x14ac:dyDescent="0.25">
      <c r="A65" s="27" t="s">
        <v>203</v>
      </c>
      <c r="B65" s="115">
        <v>2020</v>
      </c>
      <c r="C65" s="25">
        <v>235</v>
      </c>
      <c r="D65" s="20"/>
      <c r="E65" s="546">
        <f>VLOOKUP($A65,EFROGS!$A$1:$J$44,(IF($B65=2015,4,IF($B65=2016,5,IF($B65=2017,6,IF($B65=2018,7,IF($B65=2019,8,IF($B65=2020,9,0))))))),FALSE)</f>
        <v>5.6624968735151403E-2</v>
      </c>
      <c r="F65" s="546">
        <f>VLOOKUP($A65,EFCOS!$A$1:$J$44,(IF($B65=2015,4,IF($B65=2016,5,IF($B65=2017,6,IF($B65=2018,7,IF($B65=2019,8,IF($B65=2020,9,0))))))),FALSE)</f>
        <v>0.33698254165636399</v>
      </c>
      <c r="G65" s="546">
        <f>VLOOKUP($A65,EFNOXS!$A$1:$J$44,(IF($B65=2015,4,IF($B65=2016,5,IF($B65=2017,6,IF($B65=2018,7,IF($B65=2019,8,IF($B65=2020,9,0))))))),FALSE)</f>
        <v>0.27411119268865514</v>
      </c>
      <c r="H65" s="546">
        <f>VLOOKUP($A65,EFSOXS!$A$1:$J$44,(IF($B65=2015,4,IF($B65=2016,5,IF($B65=2017,6,IF($B65=2018,7,IF($B65=2019,8,IF($B65=2020,9,0))))))),FALSE)</f>
        <v>1.8739212869985323E-3</v>
      </c>
      <c r="I65" s="546">
        <f>VLOOKUP($A65,EFPMS!$A$1:$J$44,(IF($B65=2015,4,IF($B65=2016,5,IF($B65=2017,6,IF($B65=2018,7,IF($B65=2019,8,IF($B65=2020,9,0))))))),FALSE)</f>
        <v>9.753223926346026E-3</v>
      </c>
      <c r="J65" s="536">
        <f t="shared" si="102"/>
        <v>8.6803692944479628E-3</v>
      </c>
      <c r="K65" s="549">
        <f>VLOOKUP($A65,EFCO2S!$A$1:$J$44,(IF($B65=2015,4,IF($B65=2016,5,IF($B65=2017,6,IF($B65=2018,7,IF($B65=2019,8,IF($B65=2020,9,0))))))),FALSE)</f>
        <v>166.54540745667055</v>
      </c>
      <c r="L65" s="546">
        <f>VLOOKUP($A65,EFCH4S!$A$1:$J$44,(IF($B65=2015,4,IF($B65=2016,5,IF($B65=2017,6,IF($B65=2018,7,IF($B65=2019,8,IF($B65=2020,9,0))))))),FALSE)</f>
        <v>8.3664496800051249E-3</v>
      </c>
      <c r="M65" s="540">
        <f t="shared" si="103"/>
        <v>2.6040563305422239E-2</v>
      </c>
      <c r="N65" s="108">
        <v>2</v>
      </c>
      <c r="O65" s="108">
        <v>1</v>
      </c>
      <c r="P65" s="109">
        <v>22</v>
      </c>
      <c r="Q65" s="39">
        <f t="shared" si="104"/>
        <v>0.11324993747030281</v>
      </c>
      <c r="R65" s="29">
        <f t="shared" si="105"/>
        <v>0.67396508331272797</v>
      </c>
      <c r="S65" s="29">
        <f t="shared" si="106"/>
        <v>0.54822238537731027</v>
      </c>
      <c r="T65" s="29">
        <f t="shared" si="107"/>
        <v>3.7478425739970646E-3</v>
      </c>
      <c r="U65" s="29">
        <f t="shared" si="108"/>
        <v>1.9506447852692052E-2</v>
      </c>
      <c r="V65" s="29">
        <f t="shared" si="109"/>
        <v>1.7360738588895926E-2</v>
      </c>
      <c r="W65" s="29">
        <f t="shared" si="110"/>
        <v>333.09081491334109</v>
      </c>
      <c r="X65" s="29">
        <f t="shared" si="111"/>
        <v>1.673289936001025E-2</v>
      </c>
      <c r="Y65" s="29">
        <f t="shared" si="112"/>
        <v>5.2081126610844478E-2</v>
      </c>
    </row>
    <row r="66" spans="1:32" s="3" customFormat="1" x14ac:dyDescent="0.25">
      <c r="A66" s="19" t="s">
        <v>38</v>
      </c>
      <c r="B66" s="115"/>
      <c r="C66" s="25"/>
      <c r="D66" s="20"/>
      <c r="E66" s="21"/>
      <c r="F66" s="21"/>
      <c r="G66" s="21"/>
      <c r="H66" s="21"/>
      <c r="I66" s="21"/>
      <c r="J66" s="21"/>
      <c r="K66" s="21"/>
      <c r="L66" s="21"/>
      <c r="M66" s="114"/>
      <c r="N66" s="12"/>
      <c r="O66" s="12"/>
      <c r="P66" s="12"/>
      <c r="Q66" s="138">
        <f t="shared" ref="Q66:Y66" si="113">SUM(Q64:Q65)</f>
        <v>0.22649987494060561</v>
      </c>
      <c r="R66" s="31">
        <f t="shared" si="113"/>
        <v>1.3479301666254559</v>
      </c>
      <c r="S66" s="31">
        <f t="shared" si="113"/>
        <v>1.0964447707546205</v>
      </c>
      <c r="T66" s="31">
        <f t="shared" si="113"/>
        <v>7.4956851479941293E-3</v>
      </c>
      <c r="U66" s="31">
        <f t="shared" si="113"/>
        <v>3.9012895705384104E-2</v>
      </c>
      <c r="V66" s="31">
        <f t="shared" si="113"/>
        <v>3.4721477177791851E-2</v>
      </c>
      <c r="W66" s="33">
        <f t="shared" si="113"/>
        <v>666.18162982668218</v>
      </c>
      <c r="X66" s="31">
        <f t="shared" si="113"/>
        <v>3.34657987200205E-2</v>
      </c>
      <c r="Y66" s="31">
        <f t="shared" si="113"/>
        <v>0.10416225322168896</v>
      </c>
    </row>
    <row r="67" spans="1:32" s="6" customFormat="1" x14ac:dyDescent="0.25">
      <c r="A67" s="125"/>
      <c r="B67" s="126"/>
      <c r="C67" s="127"/>
      <c r="D67" s="127"/>
      <c r="E67" s="131"/>
      <c r="F67" s="131"/>
      <c r="G67" s="131"/>
      <c r="H67" s="131"/>
      <c r="I67" s="131"/>
      <c r="J67" s="132"/>
      <c r="K67" s="133"/>
      <c r="L67" s="131"/>
      <c r="M67" s="128"/>
      <c r="N67" s="129"/>
      <c r="O67" s="129"/>
      <c r="P67" s="129"/>
      <c r="Q67" s="130"/>
      <c r="R67" s="130"/>
      <c r="S67" s="130"/>
      <c r="T67" s="130"/>
      <c r="U67" s="130"/>
      <c r="V67" s="130"/>
      <c r="W67" s="130"/>
      <c r="X67" s="130"/>
      <c r="Y67" s="130"/>
      <c r="AF67" s="7"/>
    </row>
    <row r="68" spans="1:32" s="6" customFormat="1" x14ac:dyDescent="0.25">
      <c r="A68"/>
      <c r="B68" s="1"/>
      <c r="C68" s="1"/>
      <c r="D68" s="1"/>
      <c r="E68" s="623" t="s">
        <v>2</v>
      </c>
      <c r="F68" s="623"/>
      <c r="G68" s="623"/>
      <c r="H68" s="623"/>
      <c r="I68" s="623"/>
      <c r="J68" s="623"/>
      <c r="K68" s="623"/>
      <c r="L68" s="623"/>
      <c r="M68"/>
      <c r="N68" s="3"/>
      <c r="O68"/>
      <c r="P68"/>
      <c r="Q68" s="4"/>
      <c r="R68" s="4"/>
      <c r="S68" s="4"/>
      <c r="T68" s="4"/>
      <c r="U68" s="4"/>
      <c r="V68" s="4"/>
      <c r="W68" s="5"/>
      <c r="X68" s="4"/>
      <c r="Y68" s="4"/>
      <c r="AF68" s="7"/>
    </row>
    <row r="69" spans="1:32" s="6" customFormat="1" ht="39.6" x14ac:dyDescent="0.25">
      <c r="A69" s="12" t="s">
        <v>131</v>
      </c>
      <c r="B69" s="13" t="s">
        <v>3</v>
      </c>
      <c r="C69" s="13" t="s">
        <v>4</v>
      </c>
      <c r="D69" s="1"/>
      <c r="E69" s="18" t="s">
        <v>27</v>
      </c>
      <c r="F69" s="18" t="s">
        <v>28</v>
      </c>
      <c r="G69" s="18" t="s">
        <v>29</v>
      </c>
      <c r="H69" s="18" t="s">
        <v>30</v>
      </c>
      <c r="I69" s="18" t="s">
        <v>31</v>
      </c>
      <c r="J69" s="18" t="s">
        <v>32</v>
      </c>
      <c r="K69" s="17" t="s">
        <v>33</v>
      </c>
      <c r="L69" s="18" t="s">
        <v>34</v>
      </c>
      <c r="M69" s="18" t="s">
        <v>35</v>
      </c>
      <c r="N69" s="3"/>
      <c r="O69"/>
      <c r="P69"/>
      <c r="Q69" s="4"/>
      <c r="R69" s="4"/>
      <c r="S69" s="4"/>
      <c r="T69" s="4"/>
      <c r="U69" s="4"/>
      <c r="V69" s="4"/>
      <c r="W69" s="5"/>
      <c r="X69" s="4"/>
      <c r="Y69" s="4"/>
      <c r="AF69" s="7"/>
    </row>
    <row r="70" spans="1:32" s="6" customFormat="1" x14ac:dyDescent="0.25">
      <c r="A70" s="12" t="str">
        <f t="shared" ref="A70:A75" si="114">A7</f>
        <v>Capistrano Substation Remove RFS 138/12kV Equipment - 230 kV</v>
      </c>
      <c r="B70" s="160"/>
      <c r="C70" s="13"/>
      <c r="D70" s="1"/>
      <c r="E70" s="18"/>
      <c r="F70" s="18"/>
      <c r="G70" s="18"/>
      <c r="H70" s="18"/>
      <c r="I70" s="18"/>
      <c r="J70" s="18"/>
      <c r="K70" s="17"/>
      <c r="L70" s="18"/>
      <c r="M70" s="18"/>
      <c r="N70" s="3"/>
      <c r="O70"/>
      <c r="P70"/>
      <c r="Q70" s="4"/>
      <c r="R70" s="4"/>
      <c r="S70" s="4"/>
      <c r="T70" s="4"/>
      <c r="U70" s="4"/>
      <c r="V70" s="4"/>
      <c r="W70" s="5"/>
      <c r="X70" s="4"/>
      <c r="Y70" s="4"/>
      <c r="AF70" s="7"/>
    </row>
    <row r="71" spans="1:32" s="6" customFormat="1" x14ac:dyDescent="0.25">
      <c r="A71" s="137" t="str">
        <f t="shared" si="114"/>
        <v>Manlift</v>
      </c>
      <c r="B71" s="160"/>
      <c r="C71" s="13"/>
      <c r="D71" s="1"/>
      <c r="E71" s="30">
        <f t="shared" ref="E71:M71" si="115">(Q8*$P8)/2000</f>
        <v>8.1560041166708168E-3</v>
      </c>
      <c r="F71" s="30">
        <f t="shared" si="115"/>
        <v>5.9353117166791973E-2</v>
      </c>
      <c r="G71" s="30">
        <f t="shared" si="115"/>
        <v>5.9673468971512378E-2</v>
      </c>
      <c r="H71" s="30">
        <f t="shared" si="115"/>
        <v>1.1790290442274618E-4</v>
      </c>
      <c r="I71" s="30">
        <f t="shared" si="115"/>
        <v>4.1316581498140031E-3</v>
      </c>
      <c r="J71" s="30">
        <f t="shared" si="115"/>
        <v>3.6771757533344629E-3</v>
      </c>
      <c r="K71" s="30">
        <f t="shared" si="115"/>
        <v>10.05096043493627</v>
      </c>
      <c r="L71" s="30">
        <f t="shared" si="115"/>
        <v>8.7714570101686757E-4</v>
      </c>
      <c r="M71" s="30">
        <f t="shared" si="115"/>
        <v>5.6689795522936771E-3</v>
      </c>
      <c r="N71" s="3"/>
      <c r="O71"/>
      <c r="P71"/>
      <c r="Q71" s="4"/>
      <c r="R71" s="4"/>
      <c r="S71" s="4"/>
      <c r="T71" s="4"/>
      <c r="U71" s="4"/>
      <c r="V71" s="4"/>
      <c r="W71" s="5"/>
      <c r="X71" s="4"/>
      <c r="Y71" s="4"/>
      <c r="AF71" s="7"/>
    </row>
    <row r="72" spans="1:32" s="6" customFormat="1" x14ac:dyDescent="0.25">
      <c r="A72" s="137" t="str">
        <f t="shared" si="114"/>
        <v>2-ton Flatbed Truck</v>
      </c>
      <c r="B72" s="160"/>
      <c r="C72" s="13"/>
      <c r="D72" s="1"/>
      <c r="E72" s="30">
        <f t="shared" ref="E72:E74" si="116">(Q9*$P9)/2000</f>
        <v>1.5545377004002551E-2</v>
      </c>
      <c r="F72" s="30">
        <f t="shared" ref="F72:F74" si="117">(R9*$P9)/2000</f>
        <v>6.1923683301643176E-2</v>
      </c>
      <c r="G72" s="30">
        <f t="shared" ref="G72:G74" si="118">(S9*$P9)/2000</f>
        <v>0.10260173808552611</v>
      </c>
      <c r="H72" s="30">
        <f t="shared" ref="H72:H74" si="119">(T9*$P9)/2000</f>
        <v>3.0919693548977351E-4</v>
      </c>
      <c r="I72" s="30">
        <f t="shared" ref="I72:I74" si="120">(U9*$P9)/2000</f>
        <v>3.4818631251096947E-3</v>
      </c>
      <c r="J72" s="30">
        <f t="shared" ref="J72:J74" si="121">(V9*$P9)/2000</f>
        <v>3.0988581813476287E-3</v>
      </c>
      <c r="K72" s="30">
        <f t="shared" ref="K72:K74" si="122">(W9*$P9)/2000</f>
        <v>27.479985676753881</v>
      </c>
      <c r="L72" s="30">
        <f t="shared" ref="L72:L74" si="123">(X9*$P9)/2000</f>
        <v>1.6507100080980176E-3</v>
      </c>
      <c r="M72" s="30">
        <f t="shared" ref="M72:M74" si="124">(Y9*$P9)/2000</f>
        <v>9.7471651181249789E-3</v>
      </c>
      <c r="N72" s="3"/>
      <c r="O72"/>
      <c r="P72"/>
      <c r="Q72" s="4"/>
      <c r="R72" s="4"/>
      <c r="S72" s="4"/>
      <c r="T72" s="4"/>
      <c r="U72" s="4"/>
      <c r="V72" s="4"/>
      <c r="W72" s="5"/>
      <c r="X72" s="4"/>
      <c r="Y72" s="4"/>
      <c r="AF72" s="7"/>
    </row>
    <row r="73" spans="1:32" s="6" customFormat="1" x14ac:dyDescent="0.25">
      <c r="A73" s="137" t="str">
        <f t="shared" si="114"/>
        <v>Dump Trucks</v>
      </c>
      <c r="B73" s="160"/>
      <c r="C73" s="13"/>
      <c r="D73" s="1"/>
      <c r="E73" s="30">
        <f t="shared" si="116"/>
        <v>5.1817923346675178E-3</v>
      </c>
      <c r="F73" s="30">
        <f t="shared" si="117"/>
        <v>2.0641227767214387E-2</v>
      </c>
      <c r="G73" s="30">
        <f t="shared" si="118"/>
        <v>3.4200579361842037E-2</v>
      </c>
      <c r="H73" s="30">
        <f t="shared" si="119"/>
        <v>1.0306564516325784E-4</v>
      </c>
      <c r="I73" s="30">
        <f t="shared" si="120"/>
        <v>1.1606210417032317E-3</v>
      </c>
      <c r="J73" s="30">
        <f t="shared" si="121"/>
        <v>1.0329527271158764E-3</v>
      </c>
      <c r="K73" s="30">
        <f t="shared" si="122"/>
        <v>9.1599952255846251</v>
      </c>
      <c r="L73" s="30">
        <f t="shared" si="123"/>
        <v>5.5023666936600594E-4</v>
      </c>
      <c r="M73" s="30">
        <f t="shared" si="124"/>
        <v>3.2490550393749931E-3</v>
      </c>
      <c r="N73" s="3"/>
      <c r="O73"/>
      <c r="P73"/>
      <c r="Q73" s="4"/>
      <c r="R73" s="4"/>
      <c r="S73" s="4"/>
      <c r="T73" s="4"/>
      <c r="U73" s="4"/>
      <c r="V73" s="4"/>
      <c r="W73" s="5"/>
      <c r="X73" s="4"/>
      <c r="Y73" s="4"/>
      <c r="AF73" s="7"/>
    </row>
    <row r="74" spans="1:32" s="6" customFormat="1" x14ac:dyDescent="0.25">
      <c r="A74" s="137" t="str">
        <f t="shared" si="114"/>
        <v>Crane</v>
      </c>
      <c r="B74" s="160"/>
      <c r="C74" s="13"/>
      <c r="D74" s="1"/>
      <c r="E74" s="30">
        <f t="shared" si="116"/>
        <v>4.7566174274352429E-3</v>
      </c>
      <c r="F74" s="30">
        <f t="shared" si="117"/>
        <v>1.9872658828228553E-2</v>
      </c>
      <c r="G74" s="30">
        <f t="shared" si="118"/>
        <v>3.4830250829132596E-2</v>
      </c>
      <c r="H74" s="30">
        <f t="shared" si="119"/>
        <v>7.7781127193212471E-5</v>
      </c>
      <c r="I74" s="30">
        <f t="shared" si="120"/>
        <v>1.2692312427901003E-3</v>
      </c>
      <c r="J74" s="30">
        <f t="shared" si="121"/>
        <v>1.1296158060831894E-3</v>
      </c>
      <c r="K74" s="30">
        <f t="shared" si="122"/>
        <v>7.9244561383462644</v>
      </c>
      <c r="L74" s="30">
        <f t="shared" si="123"/>
        <v>5.0103182270603826E-4</v>
      </c>
      <c r="M74" s="30">
        <f t="shared" si="124"/>
        <v>3.3088738287675966E-3</v>
      </c>
      <c r="N74" s="3"/>
      <c r="O74"/>
      <c r="P74"/>
      <c r="Q74" s="4"/>
      <c r="R74" s="4"/>
      <c r="S74" s="4"/>
      <c r="T74" s="4"/>
      <c r="U74" s="4"/>
      <c r="V74" s="4"/>
      <c r="W74" s="5"/>
      <c r="X74" s="4"/>
      <c r="Y74" s="4"/>
      <c r="AF74" s="7"/>
    </row>
    <row r="75" spans="1:32" s="6" customFormat="1" x14ac:dyDescent="0.25">
      <c r="A75" s="12" t="str">
        <f t="shared" si="114"/>
        <v>Subtotal</v>
      </c>
      <c r="B75" s="160"/>
      <c r="C75" s="13"/>
      <c r="D75" s="1"/>
      <c r="E75" s="18">
        <f>SUM(E71:E74)</f>
        <v>3.3639790882776126E-2</v>
      </c>
      <c r="F75" s="18">
        <f t="shared" ref="F75:M75" si="125">SUM(F71:F74)</f>
        <v>0.16179068706387809</v>
      </c>
      <c r="G75" s="18">
        <f t="shared" si="125"/>
        <v>0.23130603724801313</v>
      </c>
      <c r="H75" s="18">
        <f t="shared" si="125"/>
        <v>6.079466122689899E-4</v>
      </c>
      <c r="I75" s="18">
        <f t="shared" si="125"/>
        <v>1.004337355941703E-2</v>
      </c>
      <c r="J75" s="18">
        <f t="shared" si="125"/>
        <v>8.9386024678811578E-3</v>
      </c>
      <c r="K75" s="18">
        <f t="shared" si="125"/>
        <v>54.615397475621037</v>
      </c>
      <c r="L75" s="18">
        <f t="shared" si="125"/>
        <v>3.579124201186929E-3</v>
      </c>
      <c r="M75" s="18">
        <f t="shared" si="125"/>
        <v>2.1974073538561244E-2</v>
      </c>
      <c r="N75" s="3"/>
      <c r="O75"/>
      <c r="P75"/>
      <c r="Q75" s="4"/>
      <c r="R75" s="4"/>
      <c r="S75" s="4"/>
      <c r="T75" s="4"/>
      <c r="U75" s="4"/>
      <c r="V75" s="4"/>
      <c r="W75" s="5"/>
      <c r="X75" s="4"/>
      <c r="Y75" s="4"/>
      <c r="AF75" s="7"/>
    </row>
    <row r="76" spans="1:32" s="6" customFormat="1" x14ac:dyDescent="0.25">
      <c r="A76" s="12"/>
      <c r="B76" s="160"/>
      <c r="C76" s="13"/>
      <c r="D76" s="1"/>
      <c r="E76" s="18"/>
      <c r="F76" s="18"/>
      <c r="G76" s="18"/>
      <c r="H76" s="18"/>
      <c r="I76" s="18"/>
      <c r="J76" s="18"/>
      <c r="K76" s="17"/>
      <c r="L76" s="18"/>
      <c r="M76" s="18"/>
      <c r="N76" s="3"/>
      <c r="O76"/>
      <c r="P76"/>
      <c r="Q76" s="4"/>
      <c r="R76" s="4"/>
      <c r="S76" s="4"/>
      <c r="T76" s="4"/>
      <c r="U76" s="4"/>
      <c r="V76" s="4"/>
      <c r="W76" s="5"/>
      <c r="X76" s="4"/>
      <c r="Y76" s="4"/>
      <c r="AF76" s="7"/>
    </row>
    <row r="77" spans="1:32" s="6" customFormat="1" x14ac:dyDescent="0.25">
      <c r="A77" s="12" t="str">
        <f t="shared" ref="A77:A87" si="126">A14</f>
        <v>Capistrano Substation Site Development - 230 kV</v>
      </c>
      <c r="B77" s="160"/>
      <c r="C77" s="13"/>
      <c r="D77" s="1"/>
      <c r="E77" s="18"/>
      <c r="F77" s="18"/>
      <c r="G77" s="18"/>
      <c r="H77" s="18"/>
      <c r="I77" s="18"/>
      <c r="J77" s="18"/>
      <c r="K77" s="17"/>
      <c r="L77" s="18"/>
      <c r="M77" s="18"/>
      <c r="N77" s="3"/>
      <c r="O77"/>
      <c r="P77"/>
      <c r="Q77" s="4"/>
      <c r="R77" s="4"/>
      <c r="S77" s="4"/>
      <c r="T77" s="4"/>
      <c r="U77" s="4"/>
      <c r="V77" s="4"/>
      <c r="W77" s="5"/>
      <c r="X77" s="4"/>
      <c r="Y77" s="4"/>
      <c r="AF77" s="7"/>
    </row>
    <row r="78" spans="1:32" s="6" customFormat="1" x14ac:dyDescent="0.25">
      <c r="A78" s="137" t="str">
        <f t="shared" si="126"/>
        <v>Bulldozer</v>
      </c>
      <c r="B78" s="160"/>
      <c r="C78" s="13"/>
      <c r="D78" s="1"/>
      <c r="E78" s="30">
        <f t="shared" ref="E78:E86" si="127">(Q15*$P15)/2000</f>
        <v>0.11692619213067602</v>
      </c>
      <c r="F78" s="30">
        <f t="shared" ref="F78:F86" si="128">(R15*$P15)/2000</f>
        <v>0.53517542765979664</v>
      </c>
      <c r="G78" s="30">
        <f t="shared" ref="G78:G86" si="129">(S15*$P15)/2000</f>
        <v>0.89230683410470379</v>
      </c>
      <c r="H78" s="30">
        <f t="shared" ref="H78:H86" si="130">(T15*$P15)/2000</f>
        <v>1.3726997016371249E-3</v>
      </c>
      <c r="I78" s="30">
        <f t="shared" ref="I78:I86" si="131">(U15*$P15)/2000</f>
        <v>3.6354705998706639E-2</v>
      </c>
      <c r="J78" s="30">
        <f t="shared" ref="J78:J86" si="132">(V15*$P15)/2000</f>
        <v>3.2355688338848915E-2</v>
      </c>
      <c r="K78" s="30">
        <f t="shared" ref="K78:K86" si="133">(W15*$P15)/2000</f>
        <v>139.85268351834793</v>
      </c>
      <c r="L78" s="30">
        <f t="shared" ref="L78:L86" si="134">(X15*$P15)/2000</f>
        <v>1.2672940301554126E-2</v>
      </c>
      <c r="M78" s="30">
        <f t="shared" ref="M78:M86" si="135">(Y15*$P15)/2000</f>
        <v>8.4769149239946856E-2</v>
      </c>
      <c r="N78" s="3"/>
      <c r="O78"/>
      <c r="P78"/>
      <c r="Q78" s="4"/>
      <c r="R78" s="4"/>
      <c r="S78" s="4"/>
      <c r="T78" s="4"/>
      <c r="U78" s="4"/>
      <c r="V78" s="4"/>
      <c r="W78" s="5"/>
      <c r="X78" s="4"/>
      <c r="Y78" s="4"/>
      <c r="AF78" s="7"/>
    </row>
    <row r="79" spans="1:32" s="6" customFormat="1" x14ac:dyDescent="0.25">
      <c r="A79" s="137" t="str">
        <f t="shared" si="126"/>
        <v>Road Grader/Blade</v>
      </c>
      <c r="B79" s="160"/>
      <c r="C79" s="13"/>
      <c r="D79" s="1"/>
      <c r="E79" s="30">
        <f t="shared" si="127"/>
        <v>6.7897763375688133E-2</v>
      </c>
      <c r="F79" s="30">
        <f t="shared" si="128"/>
        <v>0.29923095398864241</v>
      </c>
      <c r="G79" s="30">
        <f t="shared" si="129"/>
        <v>0.4805149847869955</v>
      </c>
      <c r="H79" s="30">
        <f t="shared" si="130"/>
        <v>1.1893006934671072E-3</v>
      </c>
      <c r="I79" s="30">
        <f t="shared" si="131"/>
        <v>1.7417842469632787E-2</v>
      </c>
      <c r="J79" s="30">
        <f t="shared" si="132"/>
        <v>1.5501879797973182E-2</v>
      </c>
      <c r="K79" s="30">
        <f t="shared" si="133"/>
        <v>121.16770292017259</v>
      </c>
      <c r="L79" s="30">
        <f t="shared" si="134"/>
        <v>7.1303799677060525E-3</v>
      </c>
      <c r="M79" s="30">
        <f t="shared" si="135"/>
        <v>4.5648923554764569E-2</v>
      </c>
      <c r="N79" s="3"/>
      <c r="O79"/>
      <c r="P79"/>
      <c r="Q79" s="4"/>
      <c r="R79" s="4"/>
      <c r="S79" s="4"/>
      <c r="T79" s="4"/>
      <c r="U79" s="4"/>
      <c r="V79" s="4"/>
      <c r="W79" s="5"/>
      <c r="X79" s="4"/>
      <c r="Y79" s="4"/>
      <c r="AF79" s="7"/>
    </row>
    <row r="80" spans="1:32" s="6" customFormat="1" x14ac:dyDescent="0.25">
      <c r="A80" s="137" t="str">
        <f t="shared" si="126"/>
        <v>Scraper</v>
      </c>
      <c r="B80" s="160"/>
      <c r="C80" s="13"/>
      <c r="D80" s="1"/>
      <c r="E80" s="30">
        <f t="shared" si="127"/>
        <v>0.11506511910911886</v>
      </c>
      <c r="F80" s="30">
        <f t="shared" si="128"/>
        <v>0.49164679289639635</v>
      </c>
      <c r="G80" s="30">
        <f t="shared" si="129"/>
        <v>0.87238282906695419</v>
      </c>
      <c r="H80" s="30">
        <f t="shared" si="130"/>
        <v>1.6658005503859391E-3</v>
      </c>
      <c r="I80" s="30">
        <f t="shared" si="131"/>
        <v>3.3396173794565776E-2</v>
      </c>
      <c r="J80" s="30">
        <f t="shared" si="132"/>
        <v>2.9722594677163542E-2</v>
      </c>
      <c r="K80" s="30">
        <f t="shared" si="133"/>
        <v>169.71424700346242</v>
      </c>
      <c r="L80" s="30">
        <f t="shared" si="134"/>
        <v>1.2360108684701559E-2</v>
      </c>
      <c r="M80" s="30">
        <f t="shared" si="135"/>
        <v>8.2876368761360647E-2</v>
      </c>
      <c r="N80" s="3"/>
      <c r="O80"/>
      <c r="P80"/>
      <c r="Q80" s="4"/>
      <c r="R80" s="4"/>
      <c r="S80" s="4"/>
      <c r="T80" s="4"/>
      <c r="U80" s="4"/>
      <c r="V80" s="4"/>
      <c r="W80" s="5"/>
      <c r="X80" s="4"/>
      <c r="Y80" s="4"/>
      <c r="AF80" s="7"/>
    </row>
    <row r="81" spans="1:32" s="6" customFormat="1" x14ac:dyDescent="0.25">
      <c r="A81" s="137" t="str">
        <f t="shared" si="126"/>
        <v>Compactor</v>
      </c>
      <c r="B81" s="160"/>
      <c r="C81" s="13"/>
      <c r="D81" s="1"/>
      <c r="E81" s="30">
        <f t="shared" si="127"/>
        <v>2.2350398135211925E-2</v>
      </c>
      <c r="F81" s="30">
        <f t="shared" si="128"/>
        <v>9.5618193141148194E-2</v>
      </c>
      <c r="G81" s="30">
        <f t="shared" si="129"/>
        <v>0.19413268318072877</v>
      </c>
      <c r="H81" s="30">
        <f t="shared" si="130"/>
        <v>4.5474603327164386E-4</v>
      </c>
      <c r="I81" s="30">
        <f t="shared" si="131"/>
        <v>6.5435491983541153E-3</v>
      </c>
      <c r="J81" s="30">
        <f t="shared" si="132"/>
        <v>5.8237587865351617E-3</v>
      </c>
      <c r="K81" s="30">
        <f t="shared" si="133"/>
        <v>40.415702908492534</v>
      </c>
      <c r="L81" s="30">
        <f t="shared" si="134"/>
        <v>2.3461921438668871E-3</v>
      </c>
      <c r="M81" s="30">
        <f t="shared" si="135"/>
        <v>1.8442604902169236E-2</v>
      </c>
      <c r="N81" s="3"/>
      <c r="O81"/>
      <c r="P81"/>
      <c r="Q81" s="4"/>
      <c r="R81" s="4"/>
      <c r="S81" s="4"/>
      <c r="T81" s="4"/>
      <c r="U81" s="4"/>
      <c r="V81" s="4"/>
      <c r="W81" s="5"/>
      <c r="X81" s="4"/>
      <c r="Y81" s="4"/>
      <c r="AF81" s="7"/>
    </row>
    <row r="82" spans="1:32" s="6" customFormat="1" x14ac:dyDescent="0.25">
      <c r="A82" s="137" t="str">
        <f t="shared" si="126"/>
        <v>Loader</v>
      </c>
      <c r="B82" s="160"/>
      <c r="C82" s="13"/>
      <c r="D82" s="1"/>
      <c r="E82" s="30">
        <f t="shared" si="127"/>
        <v>2.2283353565895669E-2</v>
      </c>
      <c r="F82" s="30">
        <f t="shared" si="128"/>
        <v>8.7932875180134609E-2</v>
      </c>
      <c r="G82" s="30">
        <f t="shared" si="129"/>
        <v>0.17114036902873553</v>
      </c>
      <c r="H82" s="30">
        <f t="shared" si="130"/>
        <v>4.4252817947028935E-4</v>
      </c>
      <c r="I82" s="30">
        <f t="shared" si="131"/>
        <v>5.8635233419221796E-3</v>
      </c>
      <c r="J82" s="30">
        <f t="shared" si="132"/>
        <v>5.2185357743107395E-3</v>
      </c>
      <c r="K82" s="30">
        <f t="shared" si="133"/>
        <v>39.329834433952925</v>
      </c>
      <c r="L82" s="30">
        <f t="shared" si="134"/>
        <v>2.3809038935101077E-3</v>
      </c>
      <c r="M82" s="30">
        <f t="shared" si="135"/>
        <v>1.6258335057729875E-2</v>
      </c>
      <c r="N82" s="3"/>
      <c r="O82"/>
      <c r="P82"/>
      <c r="Q82" s="4"/>
      <c r="R82" s="4"/>
      <c r="S82" s="4"/>
      <c r="T82" s="4"/>
      <c r="U82" s="4"/>
      <c r="V82" s="4"/>
      <c r="W82" s="5"/>
      <c r="X82" s="4"/>
      <c r="Y82" s="4"/>
      <c r="AF82" s="7"/>
    </row>
    <row r="83" spans="1:32" s="6" customFormat="1" x14ac:dyDescent="0.25">
      <c r="A83" s="137" t="str">
        <f t="shared" si="126"/>
        <v>CAT 416 Rubber Tire Backhoe</v>
      </c>
      <c r="B83" s="160"/>
      <c r="C83" s="13"/>
      <c r="D83" s="1"/>
      <c r="E83" s="30">
        <f t="shared" si="127"/>
        <v>1.5580286325870777E-2</v>
      </c>
      <c r="F83" s="30">
        <f t="shared" si="128"/>
        <v>9.8462774650543719E-2</v>
      </c>
      <c r="G83" s="30">
        <f t="shared" si="129"/>
        <v>9.5253484983942913E-2</v>
      </c>
      <c r="H83" s="30">
        <f t="shared" si="130"/>
        <v>1.8244662409830015E-4</v>
      </c>
      <c r="I83" s="30">
        <f t="shared" si="131"/>
        <v>7.3524972046110932E-3</v>
      </c>
      <c r="J83" s="30">
        <f t="shared" si="132"/>
        <v>6.5437225121038733E-3</v>
      </c>
      <c r="K83" s="30">
        <f t="shared" si="133"/>
        <v>15.553167904915192</v>
      </c>
      <c r="L83" s="30">
        <f t="shared" si="134"/>
        <v>1.7009877880328475E-3</v>
      </c>
      <c r="M83" s="30">
        <f t="shared" si="135"/>
        <v>9.0490810734745793E-3</v>
      </c>
      <c r="N83" s="3"/>
      <c r="O83"/>
      <c r="P83"/>
      <c r="Q83" s="4"/>
      <c r="R83" s="4"/>
      <c r="S83" s="4"/>
      <c r="T83" s="4"/>
      <c r="U83" s="4"/>
      <c r="V83" s="4"/>
      <c r="W83" s="5"/>
      <c r="X83" s="4"/>
      <c r="Y83" s="4"/>
      <c r="AF83" s="7"/>
    </row>
    <row r="84" spans="1:32" s="6" customFormat="1" x14ac:dyDescent="0.25">
      <c r="A84" s="137" t="str">
        <f t="shared" si="126"/>
        <v>Water Truck</v>
      </c>
      <c r="B84" s="160"/>
      <c r="C84" s="13"/>
      <c r="D84" s="1"/>
      <c r="E84" s="30">
        <f t="shared" si="127"/>
        <v>6.1252619127121315E-3</v>
      </c>
      <c r="F84" s="30">
        <f t="shared" si="128"/>
        <v>2.3309790780974726E-2</v>
      </c>
      <c r="G84" s="30">
        <f t="shared" si="129"/>
        <v>4.0841647615162818E-2</v>
      </c>
      <c r="H84" s="30">
        <f t="shared" si="130"/>
        <v>1.236787741959094E-4</v>
      </c>
      <c r="I84" s="30">
        <f t="shared" si="131"/>
        <v>1.382792869091497E-3</v>
      </c>
      <c r="J84" s="30">
        <f t="shared" si="132"/>
        <v>1.2306856534914324E-3</v>
      </c>
      <c r="K84" s="30">
        <f t="shared" si="133"/>
        <v>10.991994270701548</v>
      </c>
      <c r="L84" s="30">
        <f t="shared" si="134"/>
        <v>6.602840032392071E-4</v>
      </c>
      <c r="M84" s="30">
        <f t="shared" si="135"/>
        <v>3.8799565234404684E-3</v>
      </c>
      <c r="N84" s="3"/>
      <c r="O84"/>
      <c r="P84"/>
      <c r="Q84" s="4"/>
      <c r="R84" s="4"/>
      <c r="S84" s="4"/>
      <c r="T84" s="4"/>
      <c r="U84" s="4"/>
      <c r="V84" s="4"/>
      <c r="W84" s="5"/>
      <c r="X84" s="4"/>
      <c r="Y84" s="4"/>
      <c r="AF84" s="7"/>
    </row>
    <row r="85" spans="1:32" s="6" customFormat="1" x14ac:dyDescent="0.25">
      <c r="A85" s="137" t="str">
        <f t="shared" si="126"/>
        <v>Dump/Haul Truck</v>
      </c>
      <c r="B85" s="160"/>
      <c r="C85" s="13"/>
      <c r="D85" s="1"/>
      <c r="E85" s="30">
        <f t="shared" si="127"/>
        <v>2.4872603206404081E-2</v>
      </c>
      <c r="F85" s="30">
        <f t="shared" si="128"/>
        <v>9.9077893282629073E-2</v>
      </c>
      <c r="G85" s="30">
        <f t="shared" si="129"/>
        <v>0.16416278093684178</v>
      </c>
      <c r="H85" s="30">
        <f t="shared" si="130"/>
        <v>4.9471509678363759E-4</v>
      </c>
      <c r="I85" s="30">
        <f t="shared" si="131"/>
        <v>5.5709810001755115E-3</v>
      </c>
      <c r="J85" s="30">
        <f t="shared" si="132"/>
        <v>4.9581730901562052E-3</v>
      </c>
      <c r="K85" s="30">
        <f t="shared" si="133"/>
        <v>43.967977082806193</v>
      </c>
      <c r="L85" s="30">
        <f t="shared" si="134"/>
        <v>2.6411360129568284E-3</v>
      </c>
      <c r="M85" s="30">
        <f t="shared" si="135"/>
        <v>1.5595464188999968E-2</v>
      </c>
      <c r="N85" s="3"/>
      <c r="O85"/>
      <c r="P85"/>
      <c r="Q85" s="4"/>
      <c r="R85" s="4"/>
      <c r="S85" s="4"/>
      <c r="T85" s="4"/>
      <c r="U85" s="4"/>
      <c r="V85" s="4"/>
      <c r="W85" s="5"/>
      <c r="X85" s="4"/>
      <c r="Y85" s="4"/>
      <c r="AF85" s="7"/>
    </row>
    <row r="86" spans="1:32" s="6" customFormat="1" x14ac:dyDescent="0.25">
      <c r="A86" s="137" t="str">
        <f t="shared" si="126"/>
        <v>Excavator</v>
      </c>
      <c r="B86" s="160"/>
      <c r="C86" s="13"/>
      <c r="D86" s="1"/>
      <c r="E86" s="30">
        <f t="shared" si="127"/>
        <v>2.3811940235469928E-2</v>
      </c>
      <c r="F86" s="30">
        <f t="shared" si="128"/>
        <v>9.7321182846699841E-2</v>
      </c>
      <c r="G86" s="30">
        <f t="shared" si="129"/>
        <v>0.14535536901852208</v>
      </c>
      <c r="H86" s="30">
        <f t="shared" si="130"/>
        <v>4.5424928274112185E-4</v>
      </c>
      <c r="I86" s="30">
        <f t="shared" si="131"/>
        <v>5.2630956763390808E-3</v>
      </c>
      <c r="J86" s="30">
        <f t="shared" si="132"/>
        <v>4.6841551519417818E-3</v>
      </c>
      <c r="K86" s="30">
        <f t="shared" si="133"/>
        <v>46.279599634646189</v>
      </c>
      <c r="L86" s="30">
        <f t="shared" si="134"/>
        <v>2.5284929928936339E-3</v>
      </c>
      <c r="M86" s="30">
        <f t="shared" si="135"/>
        <v>1.3808760056759597E-2</v>
      </c>
      <c r="N86" s="3"/>
      <c r="O86"/>
      <c r="P86"/>
      <c r="Q86" s="4"/>
      <c r="R86" s="4"/>
      <c r="S86" s="4"/>
      <c r="T86" s="4"/>
      <c r="U86" s="4"/>
      <c r="V86" s="4"/>
      <c r="W86" s="5"/>
      <c r="X86" s="4"/>
      <c r="Y86" s="4"/>
      <c r="AF86" s="7"/>
    </row>
    <row r="87" spans="1:32" s="6" customFormat="1" x14ac:dyDescent="0.25">
      <c r="A87" s="12" t="str">
        <f t="shared" si="126"/>
        <v>Subtotal</v>
      </c>
      <c r="B87" s="160"/>
      <c r="C87" s="13"/>
      <c r="D87" s="1"/>
      <c r="E87" s="18">
        <f>SUM(E78:E86)</f>
        <v>0.41491291799704755</v>
      </c>
      <c r="F87" s="18">
        <f t="shared" ref="F87:M87" si="136">SUM(F78:F86)</f>
        <v>1.8277758844269656</v>
      </c>
      <c r="G87" s="18">
        <f t="shared" si="136"/>
        <v>3.0560909827225871</v>
      </c>
      <c r="H87" s="18">
        <f t="shared" si="136"/>
        <v>6.3801649360510733E-3</v>
      </c>
      <c r="I87" s="18">
        <f t="shared" si="136"/>
        <v>0.11914516155339869</v>
      </c>
      <c r="J87" s="18">
        <f t="shared" si="136"/>
        <v>0.10603919378252483</v>
      </c>
      <c r="K87" s="18">
        <f t="shared" si="136"/>
        <v>627.27290967749752</v>
      </c>
      <c r="L87" s="18">
        <f t="shared" si="136"/>
        <v>4.4421425788461248E-2</v>
      </c>
      <c r="M87" s="18">
        <f t="shared" si="136"/>
        <v>0.29032864335864578</v>
      </c>
      <c r="N87" s="3"/>
      <c r="O87"/>
      <c r="P87"/>
      <c r="Q87" s="4"/>
      <c r="R87" s="4"/>
      <c r="S87" s="4"/>
      <c r="T87" s="4"/>
      <c r="U87" s="4"/>
      <c r="V87" s="4"/>
      <c r="W87" s="5"/>
      <c r="X87" s="4"/>
      <c r="Y87" s="4"/>
      <c r="AF87" s="7"/>
    </row>
    <row r="88" spans="1:32" s="6" customFormat="1" x14ac:dyDescent="0.25">
      <c r="A88" s="12"/>
      <c r="B88" s="160"/>
      <c r="C88" s="13"/>
      <c r="D88" s="1"/>
      <c r="E88" s="18"/>
      <c r="F88" s="18"/>
      <c r="G88" s="18"/>
      <c r="H88" s="18"/>
      <c r="I88" s="18"/>
      <c r="J88" s="18"/>
      <c r="K88" s="17"/>
      <c r="L88" s="18"/>
      <c r="M88" s="18"/>
      <c r="N88" s="3"/>
      <c r="O88"/>
      <c r="P88"/>
      <c r="Q88" s="4"/>
      <c r="R88" s="4"/>
      <c r="S88" s="4"/>
      <c r="T88" s="4"/>
      <c r="U88" s="4"/>
      <c r="V88" s="4"/>
      <c r="W88" s="5"/>
      <c r="X88" s="4"/>
      <c r="Y88" s="4"/>
      <c r="AF88" s="7"/>
    </row>
    <row r="89" spans="1:32" s="3" customFormat="1" x14ac:dyDescent="0.25">
      <c r="A89" s="12" t="str">
        <f t="shared" ref="A89:A100" si="137">A26</f>
        <v>Capistrano Substation Below Grade - 230 kV</v>
      </c>
      <c r="B89" s="36"/>
      <c r="C89" s="20"/>
      <c r="D89" s="1"/>
      <c r="E89" s="30"/>
      <c r="F89" s="30"/>
      <c r="G89" s="30"/>
      <c r="H89" s="30"/>
      <c r="I89" s="30"/>
      <c r="J89" s="30"/>
      <c r="K89" s="30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37" t="str">
        <f t="shared" si="137"/>
        <v>CAT 416 Rubber Tire Backhoe</v>
      </c>
      <c r="B90" s="36"/>
      <c r="C90" s="20"/>
      <c r="D90" s="1"/>
      <c r="E90" s="30">
        <f t="shared" ref="E90:M95" si="138">(Q27*$P27)/2000</f>
        <v>2.5876994092968543E-2</v>
      </c>
      <c r="F90" s="30">
        <f t="shared" si="138"/>
        <v>0.18795296470216014</v>
      </c>
      <c r="G90" s="30">
        <f t="shared" si="138"/>
        <v>0.15553358455619176</v>
      </c>
      <c r="H90" s="30">
        <f t="shared" si="138"/>
        <v>3.6489310817968838E-4</v>
      </c>
      <c r="I90" s="30">
        <f t="shared" si="138"/>
        <v>1.1501541401398162E-2</v>
      </c>
      <c r="J90" s="30">
        <f t="shared" si="138"/>
        <v>1.0236371847244364E-2</v>
      </c>
      <c r="K90" s="30">
        <f t="shared" si="138"/>
        <v>31.106331650718616</v>
      </c>
      <c r="L90" s="30">
        <f t="shared" si="138"/>
        <v>3.1426536300646567E-3</v>
      </c>
      <c r="M90" s="30">
        <f t="shared" si="138"/>
        <v>1.4775690532838217E-2</v>
      </c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137"/>
        <v>Drill Rig</v>
      </c>
      <c r="B91" s="36"/>
      <c r="C91" s="20"/>
      <c r="D91" s="1"/>
      <c r="E91" s="30">
        <f t="shared" si="138"/>
        <v>1.1171783704174469E-3</v>
      </c>
      <c r="F91" s="30">
        <f t="shared" si="138"/>
        <v>1.8782816861286147E-2</v>
      </c>
      <c r="G91" s="30">
        <f t="shared" si="138"/>
        <v>8.7048336726113507E-3</v>
      </c>
      <c r="H91" s="30">
        <f t="shared" si="138"/>
        <v>3.9805839982384744E-5</v>
      </c>
      <c r="I91" s="30">
        <f t="shared" si="138"/>
        <v>2.4092762135248015E-4</v>
      </c>
      <c r="J91" s="30">
        <f t="shared" si="138"/>
        <v>2.1442558300370734E-4</v>
      </c>
      <c r="K91" s="30">
        <f t="shared" si="138"/>
        <v>3.3933586115141723</v>
      </c>
      <c r="L91" s="30">
        <f t="shared" si="138"/>
        <v>1.2247103005857791E-4</v>
      </c>
      <c r="M91" s="30">
        <f t="shared" si="138"/>
        <v>8.2695919889807829E-4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137"/>
        <v>Loader</v>
      </c>
      <c r="B92" s="36"/>
      <c r="C92" s="20"/>
      <c r="D92" s="1"/>
      <c r="E92" s="30">
        <f t="shared" si="138"/>
        <v>1.9242259346809298E-2</v>
      </c>
      <c r="F92" s="30">
        <f t="shared" si="138"/>
        <v>8.7478904359547888E-2</v>
      </c>
      <c r="G92" s="30">
        <f t="shared" si="138"/>
        <v>0.13575240200573094</v>
      </c>
      <c r="H92" s="30">
        <f t="shared" si="138"/>
        <v>4.4252813886298586E-4</v>
      </c>
      <c r="I92" s="30">
        <f t="shared" si="138"/>
        <v>4.688714107089916E-3</v>
      </c>
      <c r="J92" s="30">
        <f t="shared" si="138"/>
        <v>4.1729555553100244E-3</v>
      </c>
      <c r="K92" s="30">
        <f t="shared" si="138"/>
        <v>39.32984917977079</v>
      </c>
      <c r="L92" s="30">
        <f t="shared" si="138"/>
        <v>2.2534236257329534E-3</v>
      </c>
      <c r="M92" s="30">
        <f t="shared" si="138"/>
        <v>1.2896478190544439E-2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137"/>
        <v>Dump Trucks</v>
      </c>
      <c r="B93" s="36"/>
      <c r="C93" s="20"/>
      <c r="D93" s="1"/>
      <c r="E93" s="30">
        <f t="shared" si="138"/>
        <v>0.107173758220931</v>
      </c>
      <c r="F93" s="30">
        <f t="shared" si="138"/>
        <v>0.50152344176790076</v>
      </c>
      <c r="G93" s="30">
        <f t="shared" si="138"/>
        <v>0.63880721091182235</v>
      </c>
      <c r="H93" s="30">
        <f t="shared" si="138"/>
        <v>2.4735769479242537E-3</v>
      </c>
      <c r="I93" s="30">
        <f t="shared" si="138"/>
        <v>2.1998538657269404E-2</v>
      </c>
      <c r="J93" s="30">
        <f t="shared" si="138"/>
        <v>1.9578699404969768E-2</v>
      </c>
      <c r="K93" s="30">
        <f t="shared" si="138"/>
        <v>219.83997261044925</v>
      </c>
      <c r="L93" s="30">
        <f t="shared" si="138"/>
        <v>1.2407603899020741E-2</v>
      </c>
      <c r="M93" s="30">
        <f t="shared" si="138"/>
        <v>6.0686685036623125E-2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137"/>
        <v>Skid Steer Loaders</v>
      </c>
      <c r="B94" s="36"/>
      <c r="C94" s="20"/>
      <c r="D94" s="1"/>
      <c r="E94" s="30">
        <f t="shared" si="138"/>
        <v>6.9487919936910983E-3</v>
      </c>
      <c r="F94" s="30">
        <f t="shared" si="138"/>
        <v>4.7401737711171565E-2</v>
      </c>
      <c r="G94" s="30">
        <f t="shared" si="138"/>
        <v>4.1388075117580019E-2</v>
      </c>
      <c r="H94" s="30">
        <f t="shared" si="138"/>
        <v>8.7093346493933278E-5</v>
      </c>
      <c r="I94" s="30">
        <f t="shared" si="138"/>
        <v>1.2499556102896034E-3</v>
      </c>
      <c r="J94" s="30">
        <f t="shared" si="138"/>
        <v>1.1124604931577471E-3</v>
      </c>
      <c r="K94" s="30">
        <f t="shared" si="138"/>
        <v>6.7370594189941126</v>
      </c>
      <c r="L94" s="30">
        <f t="shared" si="138"/>
        <v>6.2697831127388767E-4</v>
      </c>
      <c r="M94" s="30">
        <f t="shared" si="138"/>
        <v>3.9318671361701016E-3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 t="str">
        <f t="shared" si="137"/>
        <v>Crane</v>
      </c>
      <c r="B95" s="36"/>
      <c r="C95" s="20"/>
      <c r="D95" s="1"/>
      <c r="E95" s="30">
        <f t="shared" si="138"/>
        <v>1.2517098757320853E-2</v>
      </c>
      <c r="F95" s="30">
        <f t="shared" si="138"/>
        <v>5.9973192137255417E-2</v>
      </c>
      <c r="G95" s="30">
        <f t="shared" si="138"/>
        <v>8.3866586641181004E-2</v>
      </c>
      <c r="H95" s="30">
        <f t="shared" si="138"/>
        <v>2.3334338895333358E-4</v>
      </c>
      <c r="I95" s="30">
        <f t="shared" si="138"/>
        <v>3.0835381799536746E-3</v>
      </c>
      <c r="J95" s="30">
        <f t="shared" si="138"/>
        <v>2.7443489801587703E-3</v>
      </c>
      <c r="K95" s="30">
        <f t="shared" si="138"/>
        <v>23.773367881471536</v>
      </c>
      <c r="L95" s="30">
        <f t="shared" si="138"/>
        <v>1.4311335514176039E-3</v>
      </c>
      <c r="M95" s="30">
        <f t="shared" si="138"/>
        <v>7.9673257309121961E-3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37" t="str">
        <f t="shared" si="137"/>
        <v>Water Truck</v>
      </c>
      <c r="B96" s="36"/>
      <c r="C96" s="20"/>
      <c r="D96" s="1"/>
      <c r="E96" s="30">
        <f t="shared" ref="E96:M99" si="139">(Q33*$P33)/2000</f>
        <v>1.0438709155426433E-2</v>
      </c>
      <c r="F96" s="30">
        <f t="shared" si="139"/>
        <v>4.5773296557742454E-2</v>
      </c>
      <c r="G96" s="30">
        <f t="shared" si="139"/>
        <v>6.3283578234039378E-2</v>
      </c>
      <c r="H96" s="30">
        <f t="shared" si="139"/>
        <v>2.4735769479242539E-4</v>
      </c>
      <c r="I96" s="30">
        <f t="shared" si="139"/>
        <v>2.169996722869797E-3</v>
      </c>
      <c r="J96" s="30">
        <f t="shared" si="139"/>
        <v>1.9312970833541194E-3</v>
      </c>
      <c r="K96" s="30">
        <f t="shared" si="139"/>
        <v>21.983997261044923</v>
      </c>
      <c r="L96" s="30">
        <f t="shared" si="139"/>
        <v>1.240760389902074E-3</v>
      </c>
      <c r="M96" s="30">
        <f t="shared" si="139"/>
        <v>6.0119399322337416E-3</v>
      </c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37" t="str">
        <f t="shared" si="137"/>
        <v>Concrete Trucks</v>
      </c>
      <c r="B97" s="36"/>
      <c r="C97" s="20"/>
      <c r="D97" s="1"/>
      <c r="E97" s="30">
        <f t="shared" si="139"/>
        <v>0.24114095599709479</v>
      </c>
      <c r="F97" s="30">
        <f t="shared" si="139"/>
        <v>1.1284277439777768</v>
      </c>
      <c r="G97" s="30">
        <f t="shared" si="139"/>
        <v>1.4373162245516002</v>
      </c>
      <c r="H97" s="30">
        <f t="shared" si="139"/>
        <v>5.5655481328295711E-3</v>
      </c>
      <c r="I97" s="30">
        <f t="shared" si="139"/>
        <v>4.9496711978856148E-2</v>
      </c>
      <c r="J97" s="30">
        <f t="shared" si="139"/>
        <v>4.4052073661181981E-2</v>
      </c>
      <c r="K97" s="30">
        <f t="shared" si="139"/>
        <v>494.6399383735108</v>
      </c>
      <c r="L97" s="30">
        <f t="shared" si="139"/>
        <v>2.791710877279667E-2</v>
      </c>
      <c r="M97" s="30">
        <f t="shared" si="139"/>
        <v>0.13654504133240203</v>
      </c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s="3" customFormat="1" x14ac:dyDescent="0.25">
      <c r="A98" s="137" t="str">
        <f t="shared" si="137"/>
        <v>Ditch Witch</v>
      </c>
      <c r="B98" s="36"/>
      <c r="C98" s="20"/>
      <c r="D98" s="1"/>
      <c r="E98" s="30">
        <f t="shared" si="139"/>
        <v>2.586088580368439E-2</v>
      </c>
      <c r="F98" s="30">
        <f t="shared" si="139"/>
        <v>0.26979089842316656</v>
      </c>
      <c r="G98" s="30">
        <f t="shared" si="139"/>
        <v>0.17275475141173235</v>
      </c>
      <c r="H98" s="30">
        <f t="shared" si="139"/>
        <v>6.3280062580518327E-4</v>
      </c>
      <c r="I98" s="30">
        <f t="shared" si="139"/>
        <v>8.4066041031556852E-3</v>
      </c>
      <c r="J98" s="30">
        <f t="shared" si="139"/>
        <v>7.481877651808559E-3</v>
      </c>
      <c r="K98" s="30">
        <f t="shared" si="139"/>
        <v>56.240370801810727</v>
      </c>
      <c r="L98" s="30">
        <f t="shared" si="139"/>
        <v>2.8967032443420514E-3</v>
      </c>
      <c r="M98" s="30">
        <f t="shared" si="139"/>
        <v>1.6411701384114571E-2</v>
      </c>
      <c r="O98"/>
      <c r="P98"/>
      <c r="Q98" s="4"/>
      <c r="R98" s="4"/>
      <c r="S98" s="4"/>
      <c r="T98" s="4"/>
      <c r="U98" s="4"/>
      <c r="V98" s="4"/>
      <c r="W98" s="5"/>
      <c r="X98" s="4"/>
      <c r="Y98" s="4"/>
      <c r="Z98" s="6"/>
      <c r="AA98" s="6"/>
      <c r="AB98" s="6"/>
      <c r="AC98" s="6"/>
      <c r="AD98" s="6"/>
      <c r="AE98" s="6"/>
      <c r="AF98" s="7"/>
    </row>
    <row r="99" spans="1:32" s="3" customFormat="1" x14ac:dyDescent="0.25">
      <c r="A99" s="137" t="str">
        <f t="shared" si="137"/>
        <v>Handheld Compactor</v>
      </c>
      <c r="B99" s="36"/>
      <c r="C99" s="20"/>
      <c r="D99" s="1"/>
      <c r="E99" s="30">
        <f t="shared" si="139"/>
        <v>4.1414477146484996E-3</v>
      </c>
      <c r="F99" s="30">
        <f t="shared" si="139"/>
        <v>1.5206504427155518E-2</v>
      </c>
      <c r="G99" s="30">
        <f t="shared" si="139"/>
        <v>1.8154724803340565E-2</v>
      </c>
      <c r="H99" s="30">
        <f t="shared" si="139"/>
        <v>5.5362243844651342E-5</v>
      </c>
      <c r="I99" s="30">
        <f t="shared" si="139"/>
        <v>7.0940326347066884E-4</v>
      </c>
      <c r="J99" s="30">
        <f t="shared" si="139"/>
        <v>6.3136890448889523E-4</v>
      </c>
      <c r="K99" s="30">
        <f t="shared" si="139"/>
        <v>3.5577839091662722</v>
      </c>
      <c r="L99" s="30">
        <f t="shared" si="139"/>
        <v>3.7367617836128037E-4</v>
      </c>
      <c r="M99" s="30">
        <f t="shared" si="139"/>
        <v>1.7246988563173538E-3</v>
      </c>
      <c r="O99"/>
      <c r="P99"/>
      <c r="Q99" s="4"/>
      <c r="R99" s="4"/>
      <c r="S99" s="4"/>
      <c r="T99" s="4"/>
      <c r="U99" s="4"/>
      <c r="V99" s="4"/>
      <c r="W99" s="5"/>
      <c r="X99" s="4"/>
      <c r="Y99" s="4"/>
      <c r="Z99" s="6"/>
      <c r="AA99" s="6"/>
      <c r="AB99" s="6"/>
      <c r="AC99" s="6"/>
      <c r="AD99" s="6"/>
      <c r="AE99" s="6"/>
      <c r="AF99" s="7"/>
    </row>
    <row r="100" spans="1:32" s="3" customFormat="1" x14ac:dyDescent="0.25">
      <c r="A100" s="12" t="str">
        <f t="shared" si="137"/>
        <v>Subtotal</v>
      </c>
      <c r="B100" s="36"/>
      <c r="C100" s="20"/>
      <c r="D100" s="1"/>
      <c r="E100" s="24">
        <f>SUM(E90:E99)</f>
        <v>0.45445807945299244</v>
      </c>
      <c r="F100" s="24">
        <f t="shared" ref="F100:M100" si="140">SUM(F90:F99)</f>
        <v>2.3623115009251632</v>
      </c>
      <c r="G100" s="24">
        <f t="shared" si="140"/>
        <v>2.7555619719058297</v>
      </c>
      <c r="H100" s="24">
        <f t="shared" si="140"/>
        <v>1.014230946766841E-2</v>
      </c>
      <c r="I100" s="24">
        <f t="shared" si="140"/>
        <v>0.10354593164570554</v>
      </c>
      <c r="J100" s="24">
        <f t="shared" si="140"/>
        <v>9.2155879164677934E-2</v>
      </c>
      <c r="K100" s="24">
        <f t="shared" si="140"/>
        <v>900.60202969845125</v>
      </c>
      <c r="L100" s="24">
        <f t="shared" si="140"/>
        <v>5.2412512632970497E-2</v>
      </c>
      <c r="M100" s="24">
        <f t="shared" si="140"/>
        <v>0.26177838733105385</v>
      </c>
      <c r="O100"/>
      <c r="P100"/>
      <c r="Q100" s="4"/>
      <c r="R100" s="4"/>
      <c r="S100" s="4"/>
      <c r="T100" s="4"/>
      <c r="U100" s="4"/>
      <c r="V100" s="4"/>
      <c r="W100" s="5"/>
      <c r="X100" s="4"/>
      <c r="Y100" s="4"/>
      <c r="Z100" s="6"/>
      <c r="AA100" s="6"/>
      <c r="AB100" s="6"/>
      <c r="AC100" s="6"/>
      <c r="AD100" s="6"/>
      <c r="AE100" s="6"/>
      <c r="AF100" s="7"/>
    </row>
    <row r="101" spans="1:32" s="3" customFormat="1" x14ac:dyDescent="0.25">
      <c r="A101" s="12"/>
      <c r="B101" s="36"/>
      <c r="C101" s="20"/>
      <c r="D101" s="1"/>
      <c r="E101" s="30"/>
      <c r="F101" s="30"/>
      <c r="G101" s="30"/>
      <c r="H101" s="30"/>
      <c r="I101" s="30"/>
      <c r="J101" s="30"/>
      <c r="K101" s="30"/>
      <c r="L101" s="30"/>
      <c r="M101" s="30"/>
      <c r="O101"/>
      <c r="P101"/>
      <c r="Q101" s="4"/>
      <c r="R101" s="4"/>
      <c r="S101" s="4"/>
      <c r="T101" s="4"/>
      <c r="U101" s="4"/>
      <c r="V101" s="4"/>
      <c r="W101" s="5"/>
      <c r="X101" s="4"/>
      <c r="Y101" s="4"/>
      <c r="Z101" s="6"/>
      <c r="AA101" s="6"/>
      <c r="AB101" s="6"/>
      <c r="AC101" s="6"/>
      <c r="AD101" s="6"/>
      <c r="AE101" s="6"/>
      <c r="AF101" s="7"/>
    </row>
    <row r="102" spans="1:32" s="3" customFormat="1" x14ac:dyDescent="0.25">
      <c r="A102" s="12" t="str">
        <f t="shared" ref="A102:A113" si="141">A39</f>
        <v>Capistrano Substation Construction - 230 kV</v>
      </c>
      <c r="B102" s="36"/>
      <c r="C102" s="20"/>
      <c r="D102" s="1"/>
      <c r="E102" s="30"/>
      <c r="F102" s="30"/>
      <c r="G102" s="30"/>
      <c r="H102" s="30"/>
      <c r="I102" s="30"/>
      <c r="J102" s="30"/>
      <c r="K102" s="30"/>
      <c r="L102" s="30"/>
      <c r="M102" s="30"/>
      <c r="O102"/>
      <c r="P102"/>
      <c r="Q102" s="4"/>
      <c r="R102" s="4"/>
      <c r="S102" s="4"/>
      <c r="T102" s="4"/>
      <c r="U102" s="4"/>
      <c r="V102" s="4"/>
      <c r="W102" s="5"/>
      <c r="X102" s="4"/>
      <c r="Y102" s="4"/>
      <c r="Z102" s="6"/>
      <c r="AA102" s="6"/>
      <c r="AB102" s="6"/>
      <c r="AC102" s="6"/>
      <c r="AD102" s="6"/>
      <c r="AE102" s="6"/>
      <c r="AF102" s="7"/>
    </row>
    <row r="103" spans="1:32" s="3" customFormat="1" x14ac:dyDescent="0.25">
      <c r="A103" s="137" t="str">
        <f t="shared" si="141"/>
        <v>Boom Truck</v>
      </c>
      <c r="B103" s="36"/>
      <c r="C103" s="20"/>
      <c r="D103" s="1"/>
      <c r="E103" s="30">
        <f t="shared" ref="E103:E112" si="142">(Q40*$P40)/2000</f>
        <v>9.6456382398837914E-2</v>
      </c>
      <c r="F103" s="30">
        <f t="shared" ref="F103:F112" si="143">(R40*$P40)/2000</f>
        <v>0.45137109759111077</v>
      </c>
      <c r="G103" s="30">
        <f t="shared" ref="G103:G112" si="144">(S40*$P40)/2000</f>
        <v>0.5749264898206401</v>
      </c>
      <c r="H103" s="30">
        <f t="shared" ref="H103:H112" si="145">(T40*$P40)/2000</f>
        <v>2.2262192531318286E-3</v>
      </c>
      <c r="I103" s="30">
        <f t="shared" ref="I103:I112" si="146">(U40*$P40)/2000</f>
        <v>1.979868479154246E-2</v>
      </c>
      <c r="J103" s="30">
        <f t="shared" ref="J103:J112" si="147">(V40*$P40)/2000</f>
        <v>1.7620829464472791E-2</v>
      </c>
      <c r="K103" s="30">
        <f t="shared" ref="K103:K112" si="148">(W40*$P40)/2000</f>
        <v>197.8559753494043</v>
      </c>
      <c r="L103" s="30">
        <f t="shared" ref="L103:L112" si="149">(X40*$P40)/2000</f>
        <v>1.1166843509118667E-2</v>
      </c>
      <c r="M103" s="30">
        <f t="shared" ref="M103:M112" si="150">(Y40*$P40)/2000</f>
        <v>5.4618016532960806E-2</v>
      </c>
      <c r="O103"/>
      <c r="P103"/>
      <c r="Q103" s="4"/>
      <c r="R103" s="4"/>
      <c r="S103" s="4"/>
      <c r="T103" s="4"/>
      <c r="U103" s="4"/>
      <c r="V103" s="4"/>
      <c r="W103" s="5"/>
      <c r="X103" s="4"/>
      <c r="Y103" s="4"/>
      <c r="Z103" s="6"/>
      <c r="AA103" s="6"/>
      <c r="AB103" s="6"/>
      <c r="AC103" s="6"/>
      <c r="AD103" s="6"/>
      <c r="AE103" s="6"/>
      <c r="AF103" s="7"/>
    </row>
    <row r="104" spans="1:32" s="3" customFormat="1" x14ac:dyDescent="0.25">
      <c r="A104" s="137" t="str">
        <f t="shared" si="141"/>
        <v>Manlift</v>
      </c>
      <c r="B104" s="36"/>
      <c r="C104" s="20"/>
      <c r="D104" s="1"/>
      <c r="E104" s="30">
        <f t="shared" si="142"/>
        <v>4.4058155728550888E-2</v>
      </c>
      <c r="F104" s="30">
        <f t="shared" si="143"/>
        <v>0.38584933923448217</v>
      </c>
      <c r="G104" s="30">
        <f t="shared" si="144"/>
        <v>0.32416270688409615</v>
      </c>
      <c r="H104" s="30">
        <f t="shared" si="145"/>
        <v>7.8601947654211566E-4</v>
      </c>
      <c r="I104" s="30">
        <f t="shared" si="146"/>
        <v>2.1289094500157077E-2</v>
      </c>
      <c r="J104" s="30">
        <f t="shared" si="147"/>
        <v>1.89472941051398E-2</v>
      </c>
      <c r="K104" s="30">
        <f t="shared" si="148"/>
        <v>67.006421159542029</v>
      </c>
      <c r="L104" s="30">
        <f t="shared" si="149"/>
        <v>5.1906169201765343E-3</v>
      </c>
      <c r="M104" s="30">
        <f t="shared" si="150"/>
        <v>3.0795457153989136E-2</v>
      </c>
      <c r="O104"/>
      <c r="P104"/>
      <c r="Q104" s="4"/>
      <c r="R104" s="4"/>
      <c r="S104" s="4"/>
      <c r="T104" s="4"/>
      <c r="U104" s="4"/>
      <c r="V104" s="4"/>
      <c r="W104" s="5"/>
      <c r="X104" s="4"/>
      <c r="Y104" s="4"/>
      <c r="Z104" s="6"/>
      <c r="AA104" s="6"/>
      <c r="AB104" s="6"/>
      <c r="AC104" s="6"/>
      <c r="AD104" s="6"/>
      <c r="AE104" s="6"/>
      <c r="AF104" s="7"/>
    </row>
    <row r="105" spans="1:32" s="3" customFormat="1" x14ac:dyDescent="0.25">
      <c r="A105" s="137" t="str">
        <f t="shared" si="141"/>
        <v>Crane</v>
      </c>
      <c r="B105" s="36"/>
      <c r="C105" s="20"/>
      <c r="D105" s="1"/>
      <c r="E105" s="30">
        <f t="shared" si="142"/>
        <v>1.8775648135981277E-2</v>
      </c>
      <c r="F105" s="30">
        <f t="shared" si="143"/>
        <v>8.9959788205883129E-2</v>
      </c>
      <c r="G105" s="30">
        <f t="shared" si="144"/>
        <v>0.1257998799617715</v>
      </c>
      <c r="H105" s="30">
        <f t="shared" si="145"/>
        <v>3.5001508343000039E-4</v>
      </c>
      <c r="I105" s="30">
        <f t="shared" si="146"/>
        <v>4.6253072699305123E-3</v>
      </c>
      <c r="J105" s="30">
        <f t="shared" si="147"/>
        <v>4.1165234702381552E-3</v>
      </c>
      <c r="K105" s="30">
        <f t="shared" si="148"/>
        <v>35.660051822207308</v>
      </c>
      <c r="L105" s="30">
        <f t="shared" si="149"/>
        <v>2.1467003271264055E-3</v>
      </c>
      <c r="M105" s="30">
        <f t="shared" si="150"/>
        <v>1.1950988596368292E-2</v>
      </c>
      <c r="O105"/>
      <c r="P105"/>
      <c r="Q105" s="4"/>
      <c r="R105" s="4"/>
      <c r="S105" s="4"/>
      <c r="T105" s="4"/>
      <c r="U105" s="4"/>
      <c r="V105" s="4"/>
      <c r="W105" s="5"/>
      <c r="X105" s="4"/>
      <c r="Y105" s="4"/>
      <c r="Z105" s="6"/>
      <c r="AA105" s="6"/>
      <c r="AB105" s="6"/>
      <c r="AC105" s="6"/>
      <c r="AD105" s="6"/>
      <c r="AE105" s="6"/>
      <c r="AF105" s="7"/>
    </row>
    <row r="106" spans="1:32" s="3" customFormat="1" x14ac:dyDescent="0.25">
      <c r="A106" s="137" t="str">
        <f t="shared" si="141"/>
        <v>Skid Steer Loaders</v>
      </c>
      <c r="B106" s="36"/>
      <c r="C106" s="20"/>
      <c r="D106" s="1"/>
      <c r="E106" s="30">
        <f t="shared" si="142"/>
        <v>3.4743959968455494E-2</v>
      </c>
      <c r="F106" s="30">
        <f t="shared" si="143"/>
        <v>0.23700868855585783</v>
      </c>
      <c r="G106" s="30">
        <f t="shared" si="144"/>
        <v>0.20694037558790007</v>
      </c>
      <c r="H106" s="30">
        <f t="shared" si="145"/>
        <v>4.3546673246966643E-4</v>
      </c>
      <c r="I106" s="30">
        <f t="shared" si="146"/>
        <v>6.249778051448017E-3</v>
      </c>
      <c r="J106" s="30">
        <f t="shared" si="147"/>
        <v>5.5623024657887356E-3</v>
      </c>
      <c r="K106" s="30">
        <f t="shared" si="148"/>
        <v>33.685297094970572</v>
      </c>
      <c r="L106" s="30">
        <f t="shared" si="149"/>
        <v>3.1348915563694387E-3</v>
      </c>
      <c r="M106" s="30">
        <f t="shared" si="150"/>
        <v>1.9659335680850508E-2</v>
      </c>
      <c r="O106"/>
      <c r="P106"/>
      <c r="Q106" s="4"/>
      <c r="R106" s="4"/>
      <c r="S106" s="4"/>
      <c r="T106" s="4"/>
      <c r="U106" s="4"/>
      <c r="V106" s="4"/>
      <c r="W106" s="5"/>
      <c r="X106" s="4"/>
      <c r="Y106" s="4"/>
      <c r="Z106" s="6"/>
      <c r="AA106" s="6"/>
      <c r="AB106" s="6"/>
      <c r="AC106" s="6"/>
      <c r="AD106" s="6"/>
      <c r="AE106" s="6"/>
      <c r="AF106" s="7"/>
    </row>
    <row r="107" spans="1:32" s="3" customFormat="1" x14ac:dyDescent="0.25">
      <c r="A107" s="137" t="str">
        <f t="shared" si="141"/>
        <v>Line Truck</v>
      </c>
      <c r="B107" s="36"/>
      <c r="C107" s="20"/>
      <c r="D107" s="1"/>
      <c r="E107" s="30">
        <f t="shared" si="142"/>
        <v>2.7836557747803824E-2</v>
      </c>
      <c r="F107" s="30">
        <f t="shared" si="143"/>
        <v>0.12206212415397988</v>
      </c>
      <c r="G107" s="30">
        <f t="shared" si="144"/>
        <v>0.16875620862410501</v>
      </c>
      <c r="H107" s="30">
        <f t="shared" si="145"/>
        <v>6.596205194464677E-4</v>
      </c>
      <c r="I107" s="30">
        <f t="shared" si="146"/>
        <v>5.7866579276527929E-3</v>
      </c>
      <c r="J107" s="30">
        <f t="shared" si="147"/>
        <v>5.1501255556109845E-3</v>
      </c>
      <c r="K107" s="30">
        <f t="shared" si="148"/>
        <v>58.623992696119799</v>
      </c>
      <c r="L107" s="30">
        <f t="shared" si="149"/>
        <v>3.3086943730721977E-3</v>
      </c>
      <c r="M107" s="30">
        <f t="shared" si="150"/>
        <v>1.6031839819289979E-2</v>
      </c>
      <c r="O107"/>
      <c r="P107"/>
      <c r="Q107" s="4"/>
      <c r="R107" s="4"/>
      <c r="S107" s="4"/>
      <c r="T107" s="4"/>
      <c r="U107" s="4"/>
      <c r="V107" s="4"/>
      <c r="W107" s="5"/>
      <c r="X107" s="4"/>
      <c r="Y107" s="4"/>
      <c r="Z107" s="6"/>
      <c r="AA107" s="6"/>
      <c r="AB107" s="6"/>
      <c r="AC107" s="6"/>
      <c r="AD107" s="6"/>
      <c r="AE107" s="6"/>
      <c r="AF107" s="7"/>
    </row>
    <row r="108" spans="1:32" s="3" customFormat="1" x14ac:dyDescent="0.25">
      <c r="A108" s="137" t="str">
        <f t="shared" si="141"/>
        <v>Cable Dolly</v>
      </c>
      <c r="B108" s="36"/>
      <c r="C108" s="20"/>
      <c r="D108" s="1"/>
      <c r="E108" s="30">
        <f t="shared" si="142"/>
        <v>0</v>
      </c>
      <c r="F108" s="30">
        <f t="shared" si="143"/>
        <v>0</v>
      </c>
      <c r="G108" s="30">
        <f t="shared" si="144"/>
        <v>0</v>
      </c>
      <c r="H108" s="30">
        <f t="shared" si="145"/>
        <v>0</v>
      </c>
      <c r="I108" s="30">
        <f t="shared" si="146"/>
        <v>0</v>
      </c>
      <c r="J108" s="30">
        <f t="shared" si="147"/>
        <v>0</v>
      </c>
      <c r="K108" s="30">
        <f t="shared" si="148"/>
        <v>0</v>
      </c>
      <c r="L108" s="30">
        <f t="shared" si="149"/>
        <v>0</v>
      </c>
      <c r="M108" s="30">
        <f t="shared" si="150"/>
        <v>0</v>
      </c>
      <c r="O108"/>
      <c r="P108"/>
      <c r="Q108" s="4"/>
      <c r="R108" s="4"/>
      <c r="S108" s="4"/>
      <c r="T108" s="4"/>
      <c r="U108" s="4"/>
      <c r="V108" s="4"/>
      <c r="W108" s="5"/>
      <c r="X108" s="4"/>
      <c r="Y108" s="4"/>
      <c r="Z108" s="6"/>
      <c r="AA108" s="6"/>
      <c r="AB108" s="6"/>
      <c r="AC108" s="6"/>
      <c r="AD108" s="6"/>
      <c r="AE108" s="6"/>
      <c r="AF108" s="7"/>
    </row>
    <row r="109" spans="1:32" s="3" customFormat="1" x14ac:dyDescent="0.25">
      <c r="A109" s="137" t="str">
        <f t="shared" si="141"/>
        <v>Stringing Rigs</v>
      </c>
      <c r="B109" s="36"/>
      <c r="C109" s="20"/>
      <c r="D109" s="1"/>
      <c r="E109" s="30">
        <f t="shared" si="142"/>
        <v>7.8420931429350194E-3</v>
      </c>
      <c r="F109" s="30">
        <f t="shared" si="143"/>
        <v>4.3813952712295878E-2</v>
      </c>
      <c r="G109" s="30">
        <f t="shared" si="144"/>
        <v>5.1293552966902571E-2</v>
      </c>
      <c r="H109" s="30">
        <f t="shared" si="145"/>
        <v>2.195981801311387E-4</v>
      </c>
      <c r="I109" s="30">
        <f t="shared" si="146"/>
        <v>1.7955064515137952E-3</v>
      </c>
      <c r="J109" s="30">
        <f t="shared" si="147"/>
        <v>1.5980007418472776E-3</v>
      </c>
      <c r="K109" s="30">
        <f t="shared" si="148"/>
        <v>22.372985455849037</v>
      </c>
      <c r="L109" s="30">
        <f t="shared" si="149"/>
        <v>8.9109617084283713E-4</v>
      </c>
      <c r="M109" s="30">
        <f t="shared" si="150"/>
        <v>4.8728875318557437E-3</v>
      </c>
      <c r="O109"/>
      <c r="P109"/>
      <c r="Q109" s="4"/>
      <c r="R109" s="4"/>
      <c r="S109" s="4"/>
      <c r="T109" s="4"/>
      <c r="U109" s="4"/>
      <c r="V109" s="4"/>
      <c r="W109" s="5"/>
      <c r="X109" s="4"/>
      <c r="Y109" s="4"/>
      <c r="Z109" s="6"/>
      <c r="AA109" s="6"/>
      <c r="AB109" s="6"/>
      <c r="AC109" s="6"/>
      <c r="AD109" s="6"/>
      <c r="AE109" s="6"/>
      <c r="AF109" s="7"/>
    </row>
    <row r="110" spans="1:32" s="3" customFormat="1" x14ac:dyDescent="0.25">
      <c r="A110" s="137" t="str">
        <f t="shared" si="141"/>
        <v>Oil Rig</v>
      </c>
      <c r="B110" s="36"/>
      <c r="C110" s="20"/>
      <c r="D110" s="1"/>
      <c r="E110" s="30">
        <f t="shared" si="142"/>
        <v>7.1449172147287337E-3</v>
      </c>
      <c r="F110" s="30">
        <f t="shared" si="143"/>
        <v>3.3434896117860047E-2</v>
      </c>
      <c r="G110" s="30">
        <f t="shared" si="144"/>
        <v>4.2587147394121484E-2</v>
      </c>
      <c r="H110" s="30">
        <f t="shared" si="145"/>
        <v>1.6490512986161692E-4</v>
      </c>
      <c r="I110" s="30">
        <f t="shared" si="146"/>
        <v>1.46656924381796E-3</v>
      </c>
      <c r="J110" s="30">
        <f t="shared" si="147"/>
        <v>1.3052466269979845E-3</v>
      </c>
      <c r="K110" s="30">
        <f t="shared" si="148"/>
        <v>14.65599817402995</v>
      </c>
      <c r="L110" s="30">
        <f t="shared" si="149"/>
        <v>8.2717359326804944E-4</v>
      </c>
      <c r="M110" s="30">
        <f t="shared" si="150"/>
        <v>4.045779002441542E-3</v>
      </c>
      <c r="O110"/>
      <c r="P110"/>
      <c r="Q110" s="4"/>
      <c r="R110" s="4"/>
      <c r="S110" s="4"/>
      <c r="T110" s="4"/>
      <c r="U110" s="4"/>
      <c r="V110" s="4"/>
      <c r="W110" s="5"/>
      <c r="X110" s="4"/>
      <c r="Y110" s="4"/>
      <c r="Z110" s="6"/>
      <c r="AA110" s="6"/>
      <c r="AB110" s="6"/>
      <c r="AC110" s="6"/>
      <c r="AD110" s="6"/>
      <c r="AE110" s="6"/>
      <c r="AF110" s="7"/>
    </row>
    <row r="111" spans="1:32" s="3" customFormat="1" x14ac:dyDescent="0.25">
      <c r="A111" s="137" t="str">
        <f t="shared" si="141"/>
        <v>Oil Rig</v>
      </c>
      <c r="B111" s="36"/>
      <c r="C111" s="20"/>
      <c r="D111" s="1"/>
      <c r="E111" s="30">
        <f t="shared" si="142"/>
        <v>1.0717375822093101E-2</v>
      </c>
      <c r="F111" s="30">
        <f t="shared" si="143"/>
        <v>5.0152344176790084E-2</v>
      </c>
      <c r="G111" s="30">
        <f t="shared" si="144"/>
        <v>6.388072109118223E-2</v>
      </c>
      <c r="H111" s="30">
        <f t="shared" si="145"/>
        <v>2.4735769479242544E-4</v>
      </c>
      <c r="I111" s="30">
        <f t="shared" si="146"/>
        <v>2.1998538657269401E-3</v>
      </c>
      <c r="J111" s="30">
        <f t="shared" si="147"/>
        <v>1.9578699404969764E-3</v>
      </c>
      <c r="K111" s="30">
        <f t="shared" si="148"/>
        <v>21.983997261044923</v>
      </c>
      <c r="L111" s="30">
        <f t="shared" si="149"/>
        <v>1.240760389902074E-3</v>
      </c>
      <c r="M111" s="30">
        <f t="shared" si="150"/>
        <v>6.0686685036623125E-3</v>
      </c>
      <c r="O111"/>
      <c r="P111"/>
      <c r="Q111" s="4"/>
      <c r="R111" s="4"/>
      <c r="S111" s="4"/>
      <c r="T111" s="4"/>
      <c r="U111" s="4"/>
      <c r="V111" s="4"/>
      <c r="W111" s="5"/>
      <c r="X111" s="4"/>
      <c r="Y111" s="4"/>
      <c r="Z111" s="6"/>
      <c r="AA111" s="6"/>
      <c r="AB111" s="6"/>
      <c r="AC111" s="6"/>
      <c r="AD111" s="6"/>
      <c r="AE111" s="6"/>
      <c r="AF111" s="7"/>
    </row>
    <row r="112" spans="1:32" s="3" customFormat="1" x14ac:dyDescent="0.25">
      <c r="A112" s="137" t="str">
        <f t="shared" si="141"/>
        <v>SF6 Trailer</v>
      </c>
      <c r="B112" s="36"/>
      <c r="C112" s="20"/>
      <c r="D112" s="1"/>
      <c r="E112" s="30">
        <f t="shared" si="142"/>
        <v>1.6076063733139651E-2</v>
      </c>
      <c r="F112" s="30">
        <f t="shared" si="143"/>
        <v>7.5228516265185119E-2</v>
      </c>
      <c r="G112" s="30">
        <f t="shared" si="144"/>
        <v>9.5821081636773345E-2</v>
      </c>
      <c r="H112" s="30">
        <f t="shared" si="145"/>
        <v>3.7103654218863811E-4</v>
      </c>
      <c r="I112" s="30">
        <f t="shared" si="146"/>
        <v>3.2997807985904099E-3</v>
      </c>
      <c r="J112" s="30">
        <f t="shared" si="147"/>
        <v>2.936804910745465E-3</v>
      </c>
      <c r="K112" s="30">
        <f t="shared" si="148"/>
        <v>32.975995891567386</v>
      </c>
      <c r="L112" s="30">
        <f t="shared" si="149"/>
        <v>1.8611405848531113E-3</v>
      </c>
      <c r="M112" s="30">
        <f t="shared" si="150"/>
        <v>9.1030027554934688E-3</v>
      </c>
      <c r="O112"/>
      <c r="P112"/>
      <c r="Q112" s="4"/>
      <c r="R112" s="4"/>
      <c r="S112" s="4"/>
      <c r="T112" s="4"/>
      <c r="U112" s="4"/>
      <c r="V112" s="4"/>
      <c r="W112" s="5"/>
      <c r="X112" s="4"/>
      <c r="Y112" s="4"/>
      <c r="Z112" s="6"/>
      <c r="AA112" s="6"/>
      <c r="AB112" s="6"/>
      <c r="AC112" s="6"/>
      <c r="AD112" s="6"/>
      <c r="AE112" s="6"/>
      <c r="AF112" s="7"/>
    </row>
    <row r="113" spans="1:32" s="3" customFormat="1" x14ac:dyDescent="0.25">
      <c r="A113" s="12" t="str">
        <f t="shared" si="141"/>
        <v>Subtotal</v>
      </c>
      <c r="B113" s="36"/>
      <c r="C113" s="20"/>
      <c r="D113" s="1"/>
      <c r="E113" s="24">
        <f>SUM(E103:E112)</f>
        <v>0.26365115389252591</v>
      </c>
      <c r="F113" s="24">
        <f t="shared" ref="F113:M113" si="151">SUM(F103:F112)</f>
        <v>1.4888807470134449</v>
      </c>
      <c r="G113" s="24">
        <f t="shared" si="151"/>
        <v>1.6541681639674923</v>
      </c>
      <c r="H113" s="24">
        <f t="shared" si="151"/>
        <v>5.4602386119938975E-3</v>
      </c>
      <c r="I113" s="24">
        <f t="shared" si="151"/>
        <v>6.6511232900379955E-2</v>
      </c>
      <c r="J113" s="24">
        <f t="shared" si="151"/>
        <v>5.9194997281338174E-2</v>
      </c>
      <c r="K113" s="24">
        <f t="shared" si="151"/>
        <v>484.82071490473533</v>
      </c>
      <c r="L113" s="24">
        <f t="shared" si="151"/>
        <v>2.9767917424729312E-2</v>
      </c>
      <c r="M113" s="24">
        <f t="shared" si="151"/>
        <v>0.15714597557691182</v>
      </c>
      <c r="O113"/>
      <c r="P113"/>
      <c r="Q113" s="4"/>
      <c r="R113" s="4"/>
      <c r="S113" s="4"/>
      <c r="T113" s="4"/>
      <c r="U113" s="4"/>
      <c r="V113" s="4"/>
      <c r="W113" s="5"/>
      <c r="X113" s="4"/>
      <c r="Y113" s="4"/>
      <c r="Z113" s="6"/>
      <c r="AA113" s="6"/>
      <c r="AB113" s="6"/>
      <c r="AC113" s="6"/>
      <c r="AD113" s="6"/>
      <c r="AE113" s="6"/>
      <c r="AF113" s="7"/>
    </row>
    <row r="114" spans="1:32" s="3" customFormat="1" x14ac:dyDescent="0.25">
      <c r="A114" s="137"/>
      <c r="B114" s="36"/>
      <c r="C114" s="20"/>
      <c r="D114" s="1"/>
      <c r="E114" s="30"/>
      <c r="F114" s="30"/>
      <c r="G114" s="30"/>
      <c r="H114" s="30"/>
      <c r="I114" s="30"/>
      <c r="J114" s="30"/>
      <c r="K114" s="30"/>
      <c r="L114" s="30"/>
      <c r="M114" s="30"/>
      <c r="O114"/>
      <c r="P114"/>
      <c r="Q114" s="4"/>
      <c r="R114" s="4"/>
      <c r="S114" s="4"/>
      <c r="T114" s="4"/>
      <c r="U114" s="4"/>
      <c r="V114" s="4"/>
      <c r="W114" s="5"/>
      <c r="X114" s="4"/>
      <c r="Y114" s="4"/>
      <c r="Z114" s="6"/>
      <c r="AA114" s="6"/>
      <c r="AB114" s="6"/>
      <c r="AC114" s="6"/>
      <c r="AD114" s="6"/>
      <c r="AE114" s="6"/>
      <c r="AF114" s="7"/>
    </row>
    <row r="115" spans="1:32" s="3" customFormat="1" x14ac:dyDescent="0.25">
      <c r="A115" s="12" t="str">
        <f>A52</f>
        <v>Capistrano Substation Relay Testing - 230 kV</v>
      </c>
      <c r="B115" s="36"/>
      <c r="C115" s="20"/>
      <c r="D115" s="1"/>
      <c r="E115" s="30"/>
      <c r="F115" s="30"/>
      <c r="G115" s="30"/>
      <c r="H115" s="30"/>
      <c r="I115" s="30"/>
      <c r="J115" s="30"/>
      <c r="K115" s="30"/>
      <c r="L115" s="30"/>
      <c r="M115" s="30"/>
      <c r="O115"/>
      <c r="P115"/>
      <c r="Q115" s="4"/>
      <c r="R115" s="4"/>
      <c r="S115" s="4"/>
      <c r="T115" s="4"/>
      <c r="U115" s="4"/>
      <c r="V115" s="4"/>
      <c r="W115" s="5"/>
      <c r="X115" s="4"/>
      <c r="Y115" s="4"/>
      <c r="Z115" s="6"/>
      <c r="AA115" s="6"/>
      <c r="AB115" s="6"/>
      <c r="AC115" s="6"/>
      <c r="AD115" s="6"/>
      <c r="AE115" s="6"/>
      <c r="AF115" s="7"/>
    </row>
    <row r="116" spans="1:32" s="3" customFormat="1" x14ac:dyDescent="0.25">
      <c r="A116" s="137" t="str">
        <f>A53</f>
        <v>Relay/Telecommunication Van</v>
      </c>
      <c r="B116" s="36"/>
      <c r="C116" s="20"/>
      <c r="D116" s="1"/>
      <c r="E116" s="30">
        <f t="shared" ref="E116:M116" si="152">(Q53*$P53)/2000</f>
        <v>7.3794355420734661E-3</v>
      </c>
      <c r="F116" s="30">
        <f t="shared" si="152"/>
        <v>3.7558648944882395E-2</v>
      </c>
      <c r="G116" s="30">
        <f t="shared" si="152"/>
        <v>4.0197084724437164E-2</v>
      </c>
      <c r="H116" s="30">
        <f t="shared" si="152"/>
        <v>2.0613141984456796E-4</v>
      </c>
      <c r="I116" s="30">
        <f t="shared" si="152"/>
        <v>1.4013093601802776E-3</v>
      </c>
      <c r="J116" s="30">
        <f t="shared" si="152"/>
        <v>1.247165330560447E-3</v>
      </c>
      <c r="K116" s="30">
        <f t="shared" si="152"/>
        <v>18.319995245709507</v>
      </c>
      <c r="L116" s="30">
        <f t="shared" si="152"/>
        <v>9.7391767079006968E-4</v>
      </c>
      <c r="M116" s="30">
        <f t="shared" si="152"/>
        <v>3.8187230488215306E-3</v>
      </c>
      <c r="O116"/>
      <c r="P116"/>
      <c r="Q116" s="4"/>
      <c r="R116" s="4"/>
      <c r="S116" s="4"/>
      <c r="T116" s="4"/>
      <c r="U116" s="4"/>
      <c r="V116" s="4"/>
      <c r="W116" s="5"/>
      <c r="X116" s="4"/>
      <c r="Y116" s="4"/>
      <c r="Z116" s="6"/>
      <c r="AA116" s="6"/>
      <c r="AB116" s="6"/>
      <c r="AC116" s="6"/>
      <c r="AD116" s="6"/>
      <c r="AE116" s="6"/>
      <c r="AF116" s="7"/>
    </row>
    <row r="117" spans="1:32" s="3" customFormat="1" x14ac:dyDescent="0.25">
      <c r="A117" s="12" t="str">
        <f>A54</f>
        <v>Subtotal</v>
      </c>
      <c r="B117" s="36"/>
      <c r="C117" s="20"/>
      <c r="D117" s="1"/>
      <c r="E117" s="24">
        <f t="shared" ref="E117:M117" si="153">SUM(E116)</f>
        <v>7.3794355420734661E-3</v>
      </c>
      <c r="F117" s="24">
        <f t="shared" si="153"/>
        <v>3.7558648944882395E-2</v>
      </c>
      <c r="G117" s="24">
        <f t="shared" si="153"/>
        <v>4.0197084724437164E-2</v>
      </c>
      <c r="H117" s="24">
        <f t="shared" si="153"/>
        <v>2.0613141984456796E-4</v>
      </c>
      <c r="I117" s="24">
        <f t="shared" si="153"/>
        <v>1.4013093601802776E-3</v>
      </c>
      <c r="J117" s="24">
        <f t="shared" si="153"/>
        <v>1.247165330560447E-3</v>
      </c>
      <c r="K117" s="24">
        <f t="shared" si="153"/>
        <v>18.319995245709507</v>
      </c>
      <c r="L117" s="24">
        <f t="shared" si="153"/>
        <v>9.7391767079006968E-4</v>
      </c>
      <c r="M117" s="24">
        <f t="shared" si="153"/>
        <v>3.8187230488215306E-3</v>
      </c>
      <c r="O117"/>
      <c r="P117"/>
      <c r="Q117" s="4"/>
      <c r="R117" s="4"/>
      <c r="S117" s="4"/>
      <c r="T117" s="4"/>
      <c r="U117" s="4"/>
      <c r="V117" s="4"/>
      <c r="W117" s="5"/>
      <c r="X117" s="4"/>
      <c r="Y117" s="4"/>
      <c r="Z117" s="6"/>
      <c r="AA117" s="6"/>
      <c r="AB117" s="6"/>
      <c r="AC117" s="6"/>
      <c r="AD117" s="6"/>
      <c r="AE117" s="6"/>
      <c r="AF117" s="7"/>
    </row>
    <row r="118" spans="1:32" s="3" customFormat="1" x14ac:dyDescent="0.25">
      <c r="A118" s="137"/>
      <c r="B118" s="36"/>
      <c r="C118" s="20"/>
      <c r="D118" s="1"/>
      <c r="E118" s="30"/>
      <c r="F118" s="30"/>
      <c r="G118" s="30"/>
      <c r="H118" s="30"/>
      <c r="I118" s="30"/>
      <c r="J118" s="30"/>
      <c r="K118" s="30"/>
      <c r="L118" s="30"/>
      <c r="M118" s="30"/>
      <c r="O118"/>
      <c r="P118"/>
      <c r="Q118" s="4"/>
      <c r="R118" s="4"/>
      <c r="S118" s="4"/>
      <c r="T118" s="4"/>
      <c r="U118" s="4"/>
      <c r="V118" s="4"/>
      <c r="W118" s="5"/>
      <c r="X118" s="4"/>
      <c r="Y118" s="4"/>
      <c r="Z118" s="6"/>
      <c r="AA118" s="6"/>
      <c r="AB118" s="6"/>
      <c r="AC118" s="6"/>
      <c r="AD118" s="6"/>
      <c r="AE118" s="6"/>
      <c r="AF118" s="7"/>
    </row>
    <row r="119" spans="1:32" s="3" customFormat="1" x14ac:dyDescent="0.25">
      <c r="A119" s="12" t="str">
        <f t="shared" ref="A119:A124" si="154">A56</f>
        <v>Capistrano Substation DeEnergize Temporary TL 13835 - 230 kV</v>
      </c>
      <c r="B119" s="36"/>
      <c r="C119" s="20"/>
      <c r="D119" s="1"/>
      <c r="E119" s="30"/>
      <c r="F119" s="30"/>
      <c r="G119" s="30"/>
      <c r="H119" s="30"/>
      <c r="I119" s="30"/>
      <c r="J119" s="30"/>
      <c r="K119" s="30"/>
      <c r="L119" s="30"/>
      <c r="M119" s="30"/>
      <c r="O119"/>
      <c r="P119"/>
      <c r="Q119" s="4"/>
      <c r="R119" s="4"/>
      <c r="S119" s="4"/>
      <c r="T119" s="4"/>
      <c r="U119" s="4"/>
      <c r="V119" s="4"/>
      <c r="W119" s="5"/>
      <c r="X119" s="4"/>
      <c r="Y119" s="4"/>
      <c r="Z119" s="6"/>
      <c r="AA119" s="6"/>
      <c r="AB119" s="6"/>
      <c r="AC119" s="6"/>
      <c r="AD119" s="6"/>
      <c r="AE119" s="6"/>
      <c r="AF119" s="7"/>
    </row>
    <row r="120" spans="1:32" s="3" customFormat="1" x14ac:dyDescent="0.25">
      <c r="A120" s="137" t="str">
        <f t="shared" si="154"/>
        <v>Relay/Telecommunication Van</v>
      </c>
      <c r="B120" s="36"/>
      <c r="C120" s="20"/>
      <c r="D120" s="1"/>
      <c r="E120" s="30">
        <f t="shared" ref="E120:M120" si="155">(Q57*$P57)/2000</f>
        <v>3.3542888827606666E-4</v>
      </c>
      <c r="F120" s="30">
        <f t="shared" si="155"/>
        <v>1.7072113156764723E-3</v>
      </c>
      <c r="G120" s="30">
        <f t="shared" si="155"/>
        <v>1.8271402147471438E-3</v>
      </c>
      <c r="H120" s="30">
        <f t="shared" si="155"/>
        <v>9.3696099929349066E-6</v>
      </c>
      <c r="I120" s="30">
        <f t="shared" si="155"/>
        <v>6.369588000819444E-5</v>
      </c>
      <c r="J120" s="30">
        <f t="shared" si="155"/>
        <v>5.6689333207293055E-5</v>
      </c>
      <c r="K120" s="30">
        <f t="shared" si="155"/>
        <v>0.83272705662315938</v>
      </c>
      <c r="L120" s="30">
        <f t="shared" si="155"/>
        <v>4.4268985035912257E-5</v>
      </c>
      <c r="M120" s="30">
        <f t="shared" si="155"/>
        <v>1.7357832040097864E-4</v>
      </c>
      <c r="O120"/>
      <c r="P120"/>
      <c r="Q120" s="4"/>
      <c r="R120" s="4"/>
      <c r="S120" s="4"/>
      <c r="T120" s="4"/>
      <c r="U120" s="4"/>
      <c r="V120" s="4"/>
      <c r="W120" s="5"/>
      <c r="X120" s="4"/>
      <c r="Y120" s="4"/>
      <c r="Z120" s="6"/>
      <c r="AA120" s="6"/>
      <c r="AB120" s="6"/>
      <c r="AC120" s="6"/>
      <c r="AD120" s="6"/>
      <c r="AE120" s="6"/>
      <c r="AF120" s="7"/>
    </row>
    <row r="121" spans="1:32" s="3" customFormat="1" x14ac:dyDescent="0.25">
      <c r="A121" s="137" t="str">
        <f t="shared" si="154"/>
        <v>Line Truck</v>
      </c>
      <c r="B121" s="36"/>
      <c r="C121" s="20"/>
      <c r="D121" s="1"/>
      <c r="E121" s="30">
        <f t="shared" ref="E121:M121" si="156">(Q58*$P58)/2000</f>
        <v>5.3668622124170666E-3</v>
      </c>
      <c r="F121" s="30">
        <f t="shared" si="156"/>
        <v>2.7315381050823557E-2</v>
      </c>
      <c r="G121" s="30">
        <f t="shared" si="156"/>
        <v>2.92342434359543E-2</v>
      </c>
      <c r="H121" s="30">
        <f t="shared" si="156"/>
        <v>1.499137598869585E-4</v>
      </c>
      <c r="I121" s="30">
        <f t="shared" si="156"/>
        <v>1.019134080131111E-3</v>
      </c>
      <c r="J121" s="30">
        <f t="shared" si="156"/>
        <v>9.0702933131668888E-4</v>
      </c>
      <c r="K121" s="30">
        <f t="shared" si="156"/>
        <v>13.32363290597055</v>
      </c>
      <c r="L121" s="30">
        <f t="shared" si="156"/>
        <v>7.0830376057459611E-4</v>
      </c>
      <c r="M121" s="30">
        <f t="shared" si="156"/>
        <v>2.7772531264156582E-3</v>
      </c>
      <c r="O121"/>
      <c r="P121"/>
      <c r="Q121" s="4"/>
      <c r="R121" s="4"/>
      <c r="S121" s="4"/>
      <c r="T121" s="4"/>
      <c r="U121" s="4"/>
      <c r="V121" s="4"/>
      <c r="W121" s="5"/>
      <c r="X121" s="4"/>
      <c r="Y121" s="4"/>
      <c r="Z121" s="6"/>
      <c r="AA121" s="6"/>
      <c r="AB121" s="6"/>
      <c r="AC121" s="6"/>
      <c r="AD121" s="6"/>
      <c r="AE121" s="6"/>
      <c r="AF121" s="7"/>
    </row>
    <row r="122" spans="1:32" s="3" customFormat="1" x14ac:dyDescent="0.25">
      <c r="A122" s="137" t="str">
        <f t="shared" si="154"/>
        <v>Cable Dolly</v>
      </c>
      <c r="B122" s="36"/>
      <c r="C122" s="20"/>
      <c r="D122" s="1"/>
      <c r="E122" s="30">
        <f t="shared" ref="E122:M122" si="157">(Q59*$P59)/2000</f>
        <v>0</v>
      </c>
      <c r="F122" s="30">
        <f t="shared" si="157"/>
        <v>0</v>
      </c>
      <c r="G122" s="30">
        <f t="shared" si="157"/>
        <v>0</v>
      </c>
      <c r="H122" s="30">
        <f t="shared" si="157"/>
        <v>0</v>
      </c>
      <c r="I122" s="30">
        <f t="shared" si="157"/>
        <v>0</v>
      </c>
      <c r="J122" s="30">
        <f t="shared" si="157"/>
        <v>0</v>
      </c>
      <c r="K122" s="30">
        <f t="shared" si="157"/>
        <v>0</v>
      </c>
      <c r="L122" s="30">
        <f t="shared" si="157"/>
        <v>0</v>
      </c>
      <c r="M122" s="30">
        <f t="shared" si="157"/>
        <v>0</v>
      </c>
      <c r="O122"/>
      <c r="P122"/>
      <c r="Q122" s="4"/>
      <c r="R122" s="4"/>
      <c r="S122" s="4"/>
      <c r="T122" s="4"/>
      <c r="U122" s="4"/>
      <c r="V122" s="4"/>
      <c r="W122" s="5"/>
      <c r="X122" s="4"/>
      <c r="Y122" s="4"/>
      <c r="Z122" s="6"/>
      <c r="AA122" s="6"/>
      <c r="AB122" s="6"/>
      <c r="AC122" s="6"/>
      <c r="AD122" s="6"/>
      <c r="AE122" s="6"/>
      <c r="AF122" s="7"/>
    </row>
    <row r="123" spans="1:32" s="3" customFormat="1" x14ac:dyDescent="0.25">
      <c r="A123" s="137" t="str">
        <f t="shared" si="154"/>
        <v>Boom Truck</v>
      </c>
      <c r="B123" s="36"/>
      <c r="C123" s="20"/>
      <c r="D123" s="1"/>
      <c r="E123" s="30">
        <f t="shared" ref="E123:M123" si="158">(Q60*$P60)/2000</f>
        <v>3.0756260686812388E-3</v>
      </c>
      <c r="F123" s="30">
        <f t="shared" si="158"/>
        <v>1.6969702964196344E-2</v>
      </c>
      <c r="G123" s="30">
        <f t="shared" si="158"/>
        <v>1.634423071517169E-2</v>
      </c>
      <c r="H123" s="30">
        <f t="shared" si="158"/>
        <v>8.2452567937827182E-5</v>
      </c>
      <c r="I123" s="30">
        <f t="shared" si="158"/>
        <v>5.7379358534195238E-4</v>
      </c>
      <c r="J123" s="30">
        <f t="shared" si="158"/>
        <v>5.1067629095433761E-4</v>
      </c>
      <c r="K123" s="30">
        <f t="shared" si="158"/>
        <v>7.3279980982838016</v>
      </c>
      <c r="L123" s="30">
        <f t="shared" si="158"/>
        <v>3.8956706831602781E-4</v>
      </c>
      <c r="M123" s="30">
        <f t="shared" si="158"/>
        <v>1.5527019179413107E-3</v>
      </c>
      <c r="O123"/>
      <c r="P123"/>
      <c r="Q123" s="4"/>
      <c r="R123" s="4"/>
      <c r="S123" s="4"/>
      <c r="T123" s="4"/>
      <c r="U123" s="4"/>
      <c r="V123" s="4"/>
      <c r="W123" s="5"/>
      <c r="X123" s="4"/>
      <c r="Y123" s="4"/>
      <c r="Z123" s="6"/>
      <c r="AA123" s="6"/>
      <c r="AB123" s="6"/>
      <c r="AC123" s="6"/>
      <c r="AD123" s="6"/>
      <c r="AE123" s="6"/>
      <c r="AF123" s="7"/>
    </row>
    <row r="124" spans="1:32" s="3" customFormat="1" x14ac:dyDescent="0.25">
      <c r="A124" s="12" t="str">
        <f t="shared" si="154"/>
        <v>Subtotal</v>
      </c>
      <c r="B124" s="36"/>
      <c r="C124" s="20"/>
      <c r="D124" s="1"/>
      <c r="E124" s="24">
        <f t="shared" ref="E124:M124" si="159">SUM(E120:E123)</f>
        <v>8.7779171693743718E-3</v>
      </c>
      <c r="F124" s="24">
        <f t="shared" si="159"/>
        <v>4.5992295330696376E-2</v>
      </c>
      <c r="G124" s="24">
        <f t="shared" si="159"/>
        <v>4.7405614365873136E-2</v>
      </c>
      <c r="H124" s="24">
        <f t="shared" si="159"/>
        <v>2.4173593781772059E-4</v>
      </c>
      <c r="I124" s="24">
        <f t="shared" si="159"/>
        <v>1.6566235454812579E-3</v>
      </c>
      <c r="J124" s="24">
        <f t="shared" si="159"/>
        <v>1.4743949554783197E-3</v>
      </c>
      <c r="K124" s="24">
        <f t="shared" si="159"/>
        <v>21.484358060877511</v>
      </c>
      <c r="L124" s="24">
        <f t="shared" si="159"/>
        <v>1.1421398139265363E-3</v>
      </c>
      <c r="M124" s="24">
        <f t="shared" si="159"/>
        <v>4.5035333647579475E-3</v>
      </c>
      <c r="O124"/>
      <c r="P124"/>
      <c r="Q124" s="4"/>
      <c r="R124" s="4"/>
      <c r="S124" s="4"/>
      <c r="T124" s="4"/>
      <c r="U124" s="4"/>
      <c r="V124" s="4"/>
      <c r="W124" s="5"/>
      <c r="X124" s="4"/>
      <c r="Y124" s="4"/>
      <c r="Z124" s="6"/>
      <c r="AA124" s="6"/>
      <c r="AB124" s="6"/>
      <c r="AC124" s="6"/>
      <c r="AD124" s="6"/>
      <c r="AE124" s="6"/>
      <c r="AF124" s="7"/>
    </row>
    <row r="125" spans="1:32" s="3" customFormat="1" x14ac:dyDescent="0.25">
      <c r="A125" s="137"/>
      <c r="B125" s="36"/>
      <c r="C125" s="20"/>
      <c r="D125" s="1"/>
      <c r="E125" s="30"/>
      <c r="F125" s="30"/>
      <c r="G125" s="30"/>
      <c r="H125" s="30"/>
      <c r="I125" s="30"/>
      <c r="J125" s="30"/>
      <c r="K125" s="30"/>
      <c r="L125" s="30"/>
      <c r="M125" s="30"/>
      <c r="O125"/>
      <c r="P125"/>
      <c r="Q125" s="4"/>
      <c r="R125" s="4"/>
      <c r="S125" s="4"/>
      <c r="T125" s="4"/>
      <c r="U125" s="4"/>
      <c r="V125" s="4"/>
      <c r="W125" s="5"/>
      <c r="X125" s="4"/>
      <c r="Y125" s="4"/>
      <c r="Z125" s="6"/>
      <c r="AA125" s="6"/>
      <c r="AB125" s="6"/>
      <c r="AC125" s="6"/>
      <c r="AD125" s="6"/>
      <c r="AE125" s="6"/>
      <c r="AF125" s="7"/>
    </row>
    <row r="126" spans="1:32" s="3" customFormat="1" x14ac:dyDescent="0.25">
      <c r="A126" s="12" t="str">
        <f>A63</f>
        <v>Capistrano Substation Energization - 230 kV</v>
      </c>
      <c r="B126" s="36"/>
      <c r="C126" s="20"/>
      <c r="D126" s="1"/>
      <c r="E126" s="30">
        <f t="shared" ref="E126:M126" si="160">(Q63*$P63)/2000</f>
        <v>0</v>
      </c>
      <c r="F126" s="30">
        <f t="shared" si="160"/>
        <v>0</v>
      </c>
      <c r="G126" s="30">
        <f t="shared" si="160"/>
        <v>0</v>
      </c>
      <c r="H126" s="30">
        <f t="shared" si="160"/>
        <v>0</v>
      </c>
      <c r="I126" s="30">
        <f t="shared" si="160"/>
        <v>0</v>
      </c>
      <c r="J126" s="30">
        <f t="shared" si="160"/>
        <v>0</v>
      </c>
      <c r="K126" s="30">
        <f t="shared" si="160"/>
        <v>0</v>
      </c>
      <c r="L126" s="30">
        <f t="shared" si="160"/>
        <v>0</v>
      </c>
      <c r="M126" s="30">
        <f t="shared" si="160"/>
        <v>0</v>
      </c>
      <c r="O126"/>
      <c r="P126"/>
      <c r="Q126" s="4"/>
      <c r="R126" s="4"/>
      <c r="S126" s="4"/>
      <c r="T126" s="4"/>
      <c r="U126" s="4"/>
      <c r="V126" s="4"/>
      <c r="W126" s="5"/>
      <c r="X126" s="4"/>
      <c r="Y126" s="4"/>
      <c r="Z126" s="6"/>
      <c r="AA126" s="6"/>
      <c r="AB126" s="6"/>
      <c r="AC126" s="6"/>
      <c r="AD126" s="6"/>
      <c r="AE126" s="6"/>
      <c r="AF126" s="7"/>
    </row>
    <row r="127" spans="1:32" s="3" customFormat="1" x14ac:dyDescent="0.25">
      <c r="A127" s="137" t="str">
        <f>A64</f>
        <v>Relay/Telecommunication Van</v>
      </c>
      <c r="B127" s="36"/>
      <c r="C127" s="20"/>
      <c r="D127" s="1"/>
      <c r="E127" s="30">
        <f t="shared" ref="E127:M127" si="161">(Q64*$P64)/2000</f>
        <v>1.245749312173331E-3</v>
      </c>
      <c r="F127" s="30">
        <f t="shared" si="161"/>
        <v>7.4136159164400074E-3</v>
      </c>
      <c r="G127" s="30">
        <f t="shared" si="161"/>
        <v>6.0304462391504131E-3</v>
      </c>
      <c r="H127" s="30">
        <f t="shared" si="161"/>
        <v>4.1226268313967711E-5</v>
      </c>
      <c r="I127" s="30">
        <f t="shared" si="161"/>
        <v>2.1457092637961256E-4</v>
      </c>
      <c r="J127" s="30">
        <f t="shared" si="161"/>
        <v>1.9096812447785518E-4</v>
      </c>
      <c r="K127" s="30">
        <f t="shared" si="161"/>
        <v>3.6639989640467521</v>
      </c>
      <c r="L127" s="30">
        <f t="shared" si="161"/>
        <v>1.8406189296011274E-4</v>
      </c>
      <c r="M127" s="30">
        <f t="shared" si="161"/>
        <v>5.7289239271928925E-4</v>
      </c>
      <c r="O127"/>
      <c r="P127"/>
      <c r="Q127" s="4"/>
      <c r="R127" s="4"/>
      <c r="S127" s="4"/>
      <c r="T127" s="4"/>
      <c r="U127" s="4"/>
      <c r="V127" s="4"/>
      <c r="W127" s="5"/>
      <c r="X127" s="4"/>
      <c r="Y127" s="4"/>
      <c r="Z127" s="6"/>
      <c r="AA127" s="6"/>
      <c r="AB127" s="6"/>
      <c r="AC127" s="6"/>
      <c r="AD127" s="6"/>
      <c r="AE127" s="6"/>
      <c r="AF127" s="7"/>
    </row>
    <row r="128" spans="1:32" s="3" customFormat="1" x14ac:dyDescent="0.25">
      <c r="A128" s="137" t="str">
        <f>A65</f>
        <v>Line Truck</v>
      </c>
      <c r="B128" s="36"/>
      <c r="C128" s="20"/>
      <c r="D128" s="1"/>
      <c r="E128" s="30">
        <f t="shared" ref="E128:M128" si="162">(Q65*$P65)/2000</f>
        <v>1.245749312173331E-3</v>
      </c>
      <c r="F128" s="30">
        <f t="shared" si="162"/>
        <v>7.4136159164400074E-3</v>
      </c>
      <c r="G128" s="30">
        <f t="shared" si="162"/>
        <v>6.0304462391504131E-3</v>
      </c>
      <c r="H128" s="30">
        <f t="shared" si="162"/>
        <v>4.1226268313967711E-5</v>
      </c>
      <c r="I128" s="30">
        <f t="shared" si="162"/>
        <v>2.1457092637961256E-4</v>
      </c>
      <c r="J128" s="30">
        <f t="shared" si="162"/>
        <v>1.9096812447785518E-4</v>
      </c>
      <c r="K128" s="30">
        <f t="shared" si="162"/>
        <v>3.6639989640467521</v>
      </c>
      <c r="L128" s="30">
        <f t="shared" si="162"/>
        <v>1.8406189296011274E-4</v>
      </c>
      <c r="M128" s="30">
        <f t="shared" si="162"/>
        <v>5.7289239271928925E-4</v>
      </c>
      <c r="O128"/>
      <c r="P128"/>
      <c r="Q128" s="4"/>
      <c r="R128" s="4"/>
      <c r="S128" s="4"/>
      <c r="T128" s="4"/>
      <c r="U128" s="4"/>
      <c r="V128" s="4"/>
      <c r="W128" s="5"/>
      <c r="X128" s="4"/>
      <c r="Y128" s="4"/>
      <c r="Z128" s="6"/>
      <c r="AA128" s="6"/>
      <c r="AB128" s="6"/>
      <c r="AC128" s="6"/>
      <c r="AD128" s="6"/>
      <c r="AE128" s="6"/>
      <c r="AF128" s="7"/>
    </row>
    <row r="129" spans="1:32" s="3" customFormat="1" x14ac:dyDescent="0.25">
      <c r="A129" s="12" t="str">
        <f>A66</f>
        <v>Subtotal</v>
      </c>
      <c r="B129" s="36"/>
      <c r="C129" s="20"/>
      <c r="D129" s="1"/>
      <c r="E129" s="24">
        <f t="shared" ref="E129:M129" si="163">SUM(E126:E128)</f>
        <v>2.491498624346662E-3</v>
      </c>
      <c r="F129" s="24">
        <f t="shared" si="163"/>
        <v>1.4827231832880015E-2</v>
      </c>
      <c r="G129" s="24">
        <f t="shared" si="163"/>
        <v>1.2060892478300826E-2</v>
      </c>
      <c r="H129" s="24">
        <f t="shared" si="163"/>
        <v>8.2452536627935423E-5</v>
      </c>
      <c r="I129" s="24">
        <f t="shared" si="163"/>
        <v>4.2914185275922512E-4</v>
      </c>
      <c r="J129" s="24">
        <f t="shared" si="163"/>
        <v>3.8193624895571036E-4</v>
      </c>
      <c r="K129" s="24">
        <f t="shared" si="163"/>
        <v>7.3279979280935041</v>
      </c>
      <c r="L129" s="24">
        <f t="shared" si="163"/>
        <v>3.6812378592022548E-4</v>
      </c>
      <c r="M129" s="24">
        <f t="shared" si="163"/>
        <v>1.1457847854385785E-3</v>
      </c>
      <c r="O129"/>
      <c r="P129"/>
      <c r="Q129" s="4"/>
      <c r="R129" s="4"/>
      <c r="S129" s="4"/>
      <c r="T129" s="4"/>
      <c r="U129" s="4"/>
      <c r="V129" s="4"/>
      <c r="W129" s="5"/>
      <c r="X129" s="4"/>
      <c r="Y129" s="4"/>
      <c r="Z129" s="6"/>
      <c r="AA129" s="6"/>
      <c r="AB129" s="6"/>
      <c r="AC129" s="6"/>
      <c r="AD129" s="6"/>
      <c r="AE129" s="6"/>
      <c r="AF129" s="7"/>
    </row>
  </sheetData>
  <mergeCells count="3">
    <mergeCell ref="E3:L3"/>
    <mergeCell ref="Q3:X3"/>
    <mergeCell ref="E68:L68"/>
  </mergeCells>
  <pageMargins left="0.75" right="0.75" top="1" bottom="1" header="0.5" footer="0.5"/>
  <pageSetup scale="28" orientation="landscape" r:id="rId1"/>
  <headerFooter alignWithMargins="0">
    <oddHeader xml:space="preserve">&amp;CTable A-10
Construction Heavy Equipment Emissions
South Orange County Reliability Project
Capistrano Substation - Upper Yard
</oddHeader>
    <oddFooter>&amp;CA-10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G432"/>
  <sheetViews>
    <sheetView view="pageBreakPreview" zoomScale="75" zoomScaleSheetLayoutView="75" workbookViewId="0">
      <pane xSplit="3552" topLeftCell="AE1" activePane="topRight"/>
      <selection activeCell="Q1" sqref="Q1"/>
      <selection pane="topRight" activeCell="AM1" sqref="AM1:BC16"/>
    </sheetView>
  </sheetViews>
  <sheetFormatPr defaultColWidth="9.109375" defaultRowHeight="13.8" x14ac:dyDescent="0.3"/>
  <cols>
    <col min="1" max="1" width="11.6640625" style="381" customWidth="1"/>
    <col min="2" max="23" width="5.6640625" style="381" customWidth="1"/>
    <col min="24" max="24" width="10.33203125" style="381" customWidth="1"/>
    <col min="25" max="37" width="8.6640625" style="381" customWidth="1"/>
    <col min="38" max="55" width="8.6640625" style="474" customWidth="1"/>
    <col min="56" max="56" width="5" style="381" customWidth="1"/>
    <col min="57" max="57" width="6.44140625" style="381" customWidth="1"/>
    <col min="58" max="59" width="6.88671875" style="381" customWidth="1"/>
    <col min="60" max="16384" width="9.109375" style="381"/>
  </cols>
  <sheetData>
    <row r="1" spans="1:59" s="378" customFormat="1" ht="42" customHeight="1" x14ac:dyDescent="0.3">
      <c r="A1" s="700" t="s">
        <v>435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X1" s="379"/>
      <c r="Y1" s="702" t="s">
        <v>436</v>
      </c>
      <c r="Z1" s="703"/>
      <c r="AA1" s="703"/>
      <c r="AB1" s="703"/>
      <c r="AC1" s="703"/>
      <c r="AD1" s="704"/>
      <c r="AE1" s="380"/>
      <c r="AF1" s="702" t="s">
        <v>437</v>
      </c>
      <c r="AG1" s="703"/>
      <c r="AH1" s="703"/>
      <c r="AI1" s="703"/>
      <c r="AJ1" s="703"/>
      <c r="AK1" s="704"/>
      <c r="AL1" s="470"/>
      <c r="AM1" s="627" t="s">
        <v>495</v>
      </c>
      <c r="AN1" s="628"/>
      <c r="AO1" s="628"/>
      <c r="AP1" s="628"/>
      <c r="AQ1" s="628"/>
      <c r="AR1" s="628"/>
      <c r="AS1" s="628"/>
      <c r="AT1" s="629"/>
      <c r="AU1" s="470"/>
      <c r="AV1" s="630" t="s">
        <v>496</v>
      </c>
      <c r="AW1" s="631"/>
      <c r="AX1" s="631"/>
      <c r="AY1" s="631"/>
      <c r="AZ1" s="631"/>
      <c r="BA1" s="631"/>
      <c r="BB1" s="631"/>
      <c r="BC1" s="632"/>
      <c r="BE1" s="627" t="s">
        <v>438</v>
      </c>
      <c r="BF1" s="705"/>
      <c r="BG1" s="706"/>
    </row>
    <row r="2" spans="1:59" s="382" customFormat="1" ht="26.25" customHeight="1" thickBot="1" x14ac:dyDescent="0.35">
      <c r="A2" s="381"/>
      <c r="X2" s="383"/>
      <c r="Y2" s="624" t="s">
        <v>84</v>
      </c>
      <c r="Z2" s="625"/>
      <c r="AA2" s="625" t="s">
        <v>66</v>
      </c>
      <c r="AB2" s="625"/>
      <c r="AC2" s="625" t="s">
        <v>360</v>
      </c>
      <c r="AD2" s="626"/>
      <c r="AE2" s="384"/>
      <c r="AF2" s="624" t="s">
        <v>84</v>
      </c>
      <c r="AG2" s="625"/>
      <c r="AH2" s="625" t="s">
        <v>66</v>
      </c>
      <c r="AI2" s="625"/>
      <c r="AJ2" s="625" t="s">
        <v>360</v>
      </c>
      <c r="AK2" s="626"/>
      <c r="AL2" s="471"/>
      <c r="AM2" s="624" t="s">
        <v>497</v>
      </c>
      <c r="AN2" s="625"/>
      <c r="AO2" s="624" t="s">
        <v>84</v>
      </c>
      <c r="AP2" s="625"/>
      <c r="AQ2" s="625" t="s">
        <v>66</v>
      </c>
      <c r="AR2" s="625"/>
      <c r="AS2" s="625" t="s">
        <v>360</v>
      </c>
      <c r="AT2" s="626"/>
      <c r="AU2" s="471"/>
      <c r="AV2" s="624" t="s">
        <v>497</v>
      </c>
      <c r="AW2" s="625"/>
      <c r="AX2" s="624" t="s">
        <v>84</v>
      </c>
      <c r="AY2" s="625"/>
      <c r="AZ2" s="625" t="s">
        <v>66</v>
      </c>
      <c r="BA2" s="625"/>
      <c r="BB2" s="625" t="s">
        <v>360</v>
      </c>
      <c r="BC2" s="626"/>
      <c r="BD2" s="385"/>
      <c r="BE2" s="707" t="s">
        <v>84</v>
      </c>
      <c r="BF2" s="709" t="s">
        <v>66</v>
      </c>
      <c r="BG2" s="711" t="s">
        <v>360</v>
      </c>
    </row>
    <row r="3" spans="1:59" s="390" customFormat="1" ht="35.25" customHeight="1" thickTop="1" thickBot="1" x14ac:dyDescent="0.3">
      <c r="A3" s="386" t="s">
        <v>439</v>
      </c>
      <c r="B3" s="387">
        <v>1995</v>
      </c>
      <c r="C3" s="388">
        <v>1996</v>
      </c>
      <c r="D3" s="388">
        <v>1997</v>
      </c>
      <c r="E3" s="388">
        <v>1998</v>
      </c>
      <c r="F3" s="388">
        <v>1999</v>
      </c>
      <c r="G3" s="388">
        <v>2000</v>
      </c>
      <c r="H3" s="388">
        <v>2001</v>
      </c>
      <c r="I3" s="388">
        <v>2002</v>
      </c>
      <c r="J3" s="388">
        <v>2003</v>
      </c>
      <c r="K3" s="388">
        <v>2004</v>
      </c>
      <c r="L3" s="388">
        <v>2005</v>
      </c>
      <c r="M3" s="388">
        <v>2006</v>
      </c>
      <c r="N3" s="388">
        <v>2007</v>
      </c>
      <c r="O3" s="388">
        <v>2008</v>
      </c>
      <c r="P3" s="388">
        <v>2009</v>
      </c>
      <c r="Q3" s="388">
        <v>2010</v>
      </c>
      <c r="R3" s="388">
        <v>2011</v>
      </c>
      <c r="S3" s="388">
        <v>2012</v>
      </c>
      <c r="T3" s="388">
        <v>2013</v>
      </c>
      <c r="U3" s="388">
        <v>2014</v>
      </c>
      <c r="V3" s="389" t="s">
        <v>440</v>
      </c>
      <c r="X3" s="391" t="s">
        <v>439</v>
      </c>
      <c r="Y3" s="392" t="s">
        <v>441</v>
      </c>
      <c r="Z3" s="393" t="s">
        <v>442</v>
      </c>
      <c r="AA3" s="393" t="s">
        <v>441</v>
      </c>
      <c r="AB3" s="393" t="s">
        <v>442</v>
      </c>
      <c r="AC3" s="393" t="s">
        <v>441</v>
      </c>
      <c r="AD3" s="394" t="s">
        <v>442</v>
      </c>
      <c r="AE3" s="395"/>
      <c r="AF3" s="396" t="s">
        <v>441</v>
      </c>
      <c r="AG3" s="393" t="s">
        <v>442</v>
      </c>
      <c r="AH3" s="393" t="s">
        <v>441</v>
      </c>
      <c r="AI3" s="393" t="s">
        <v>442</v>
      </c>
      <c r="AJ3" s="393" t="s">
        <v>441</v>
      </c>
      <c r="AK3" s="394" t="s">
        <v>442</v>
      </c>
      <c r="AL3" s="471"/>
      <c r="AM3" s="396" t="s">
        <v>441</v>
      </c>
      <c r="AN3" s="393" t="s">
        <v>442</v>
      </c>
      <c r="AO3" s="396" t="s">
        <v>441</v>
      </c>
      <c r="AP3" s="393" t="s">
        <v>442</v>
      </c>
      <c r="AQ3" s="393" t="s">
        <v>441</v>
      </c>
      <c r="AR3" s="393" t="s">
        <v>442</v>
      </c>
      <c r="AS3" s="393" t="s">
        <v>441</v>
      </c>
      <c r="AT3" s="394" t="s">
        <v>442</v>
      </c>
      <c r="AU3" s="471"/>
      <c r="AV3" s="396" t="s">
        <v>441</v>
      </c>
      <c r="AW3" s="393" t="s">
        <v>442</v>
      </c>
      <c r="AX3" s="396" t="s">
        <v>441</v>
      </c>
      <c r="AY3" s="393" t="s">
        <v>442</v>
      </c>
      <c r="AZ3" s="393" t="s">
        <v>441</v>
      </c>
      <c r="BA3" s="393" t="s">
        <v>442</v>
      </c>
      <c r="BB3" s="393" t="s">
        <v>441</v>
      </c>
      <c r="BC3" s="394" t="s">
        <v>442</v>
      </c>
      <c r="BD3" s="397"/>
      <c r="BE3" s="708"/>
      <c r="BF3" s="710"/>
      <c r="BG3" s="712"/>
    </row>
    <row r="4" spans="1:59" s="399" customFormat="1" ht="30" customHeight="1" x14ac:dyDescent="0.25">
      <c r="A4" s="398" t="s">
        <v>443</v>
      </c>
      <c r="B4" s="684" t="s">
        <v>444</v>
      </c>
      <c r="C4" s="685"/>
      <c r="D4" s="685"/>
      <c r="E4" s="685"/>
      <c r="F4" s="686"/>
      <c r="G4" s="690" t="s">
        <v>445</v>
      </c>
      <c r="H4" s="691"/>
      <c r="I4" s="691"/>
      <c r="J4" s="691"/>
      <c r="K4" s="692"/>
      <c r="L4" s="693" t="s">
        <v>446</v>
      </c>
      <c r="M4" s="691"/>
      <c r="N4" s="692"/>
      <c r="O4" s="694" t="s">
        <v>447</v>
      </c>
      <c r="P4" s="695"/>
      <c r="Q4" s="695"/>
      <c r="R4" s="695"/>
      <c r="S4" s="695"/>
      <c r="T4" s="695"/>
      <c r="U4" s="695"/>
      <c r="V4" s="696"/>
      <c r="X4" s="400" t="s">
        <v>443</v>
      </c>
      <c r="Y4" s="401">
        <v>5.6</v>
      </c>
      <c r="Z4" s="402">
        <f>Y4/453.6</f>
        <v>1.2345679012345678E-2</v>
      </c>
      <c r="AA4" s="402">
        <v>6</v>
      </c>
      <c r="AB4" s="402">
        <f>AA4/453.6</f>
        <v>1.3227513227513227E-2</v>
      </c>
      <c r="AC4" s="402">
        <v>0.6</v>
      </c>
      <c r="AD4" s="403">
        <f>AC4/453.6</f>
        <v>1.3227513227513227E-3</v>
      </c>
      <c r="AE4" s="384"/>
      <c r="AF4" s="404">
        <v>5.6</v>
      </c>
      <c r="AG4" s="402">
        <f t="shared" ref="AG4:AG16" si="0">AF4/453.6</f>
        <v>1.2345679012345678E-2</v>
      </c>
      <c r="AH4" s="402">
        <v>6</v>
      </c>
      <c r="AI4" s="402">
        <f>AH4/453.6</f>
        <v>1.3227513227513227E-2</v>
      </c>
      <c r="AJ4" s="402">
        <v>0.6</v>
      </c>
      <c r="AK4" s="403">
        <f>AJ4/453.6</f>
        <v>1.3227513227513227E-3</v>
      </c>
      <c r="AL4" s="472"/>
      <c r="AM4" s="493"/>
      <c r="AN4" s="494">
        <f t="shared" ref="AN4:AN16" si="1">AM4/453.6</f>
        <v>0</v>
      </c>
      <c r="AO4" s="493">
        <v>5.6</v>
      </c>
      <c r="AP4" s="494">
        <f t="shared" ref="AP4:AP16" si="2">AO4/453.6</f>
        <v>1.2345679012345678E-2</v>
      </c>
      <c r="AQ4" s="494">
        <v>6</v>
      </c>
      <c r="AR4" s="494">
        <f>AQ4/453.6</f>
        <v>1.3227513227513227E-2</v>
      </c>
      <c r="AS4" s="494">
        <v>0.3</v>
      </c>
      <c r="AT4" s="495">
        <f>AS4/453.6</f>
        <v>6.6137566137566134E-4</v>
      </c>
      <c r="AU4" s="472"/>
      <c r="AV4" s="484"/>
      <c r="AW4" s="485">
        <f t="shared" ref="AW4:AW16" si="3">AV4/453.6</f>
        <v>0</v>
      </c>
      <c r="AX4" s="484">
        <v>5.6</v>
      </c>
      <c r="AY4" s="485">
        <f t="shared" ref="AY4:AY16" si="4">AX4/453.6</f>
        <v>1.2345679012345678E-2</v>
      </c>
      <c r="AZ4" s="485">
        <v>6</v>
      </c>
      <c r="BA4" s="485">
        <f>AZ4/453.6</f>
        <v>1.3227513227513227E-2</v>
      </c>
      <c r="BB4" s="485">
        <v>0.3</v>
      </c>
      <c r="BC4" s="486">
        <f>BB4/453.6</f>
        <v>6.6137566137566134E-4</v>
      </c>
      <c r="BD4" s="405"/>
      <c r="BE4" s="406">
        <f t="shared" ref="BE4:BE16" si="5">(Z4-AG4)/Z4</f>
        <v>0</v>
      </c>
      <c r="BF4" s="407">
        <f>(AB4-AI4)/AB4</f>
        <v>0</v>
      </c>
      <c r="BG4" s="408">
        <f>(AD4-AK4)/AD4</f>
        <v>0</v>
      </c>
    </row>
    <row r="5" spans="1:59" s="399" customFormat="1" ht="30" customHeight="1" x14ac:dyDescent="0.25">
      <c r="A5" s="409" t="s">
        <v>448</v>
      </c>
      <c r="B5" s="687"/>
      <c r="C5" s="688"/>
      <c r="D5" s="688"/>
      <c r="E5" s="688"/>
      <c r="F5" s="689"/>
      <c r="G5" s="697" t="s">
        <v>449</v>
      </c>
      <c r="H5" s="641"/>
      <c r="I5" s="641"/>
      <c r="J5" s="641"/>
      <c r="K5" s="665"/>
      <c r="L5" s="663" t="s">
        <v>450</v>
      </c>
      <c r="M5" s="664"/>
      <c r="N5" s="665"/>
      <c r="O5" s="698" t="s">
        <v>451</v>
      </c>
      <c r="P5" s="672"/>
      <c r="Q5" s="672"/>
      <c r="R5" s="672"/>
      <c r="S5" s="672"/>
      <c r="T5" s="672"/>
      <c r="U5" s="672"/>
      <c r="V5" s="699"/>
      <c r="X5" s="400" t="s">
        <v>448</v>
      </c>
      <c r="Y5" s="410">
        <v>5.6</v>
      </c>
      <c r="Z5" s="411">
        <f t="shared" ref="Z5:Z16" si="6">Y5/453.6</f>
        <v>1.2345679012345678E-2</v>
      </c>
      <c r="AA5" s="411">
        <v>4.9000000000000004</v>
      </c>
      <c r="AB5" s="411">
        <f t="shared" ref="AB5:AB16" si="7">AA5/453.6</f>
        <v>1.0802469135802469E-2</v>
      </c>
      <c r="AC5" s="411">
        <v>0.6</v>
      </c>
      <c r="AD5" s="412">
        <f t="shared" ref="AD5:AD16" si="8">AC5/453.6</f>
        <v>1.3227513227513227E-3</v>
      </c>
      <c r="AE5" s="405"/>
      <c r="AF5" s="413">
        <v>5.6</v>
      </c>
      <c r="AG5" s="411">
        <f t="shared" si="0"/>
        <v>1.2345679012345678E-2</v>
      </c>
      <c r="AH5" s="411">
        <v>4.9000000000000004</v>
      </c>
      <c r="AI5" s="411">
        <f t="shared" ref="AI5:AI12" si="9">AH5/453.6</f>
        <v>1.0802469135802469E-2</v>
      </c>
      <c r="AJ5" s="411">
        <v>0.6</v>
      </c>
      <c r="AK5" s="412">
        <f t="shared" ref="AK5:AK12" si="10">AJ5/453.6</f>
        <v>1.3227513227513227E-3</v>
      </c>
      <c r="AL5" s="472"/>
      <c r="AM5" s="478"/>
      <c r="AN5" s="479">
        <f t="shared" si="1"/>
        <v>0</v>
      </c>
      <c r="AO5" s="478">
        <v>5.6</v>
      </c>
      <c r="AP5" s="479">
        <f t="shared" si="2"/>
        <v>1.2345679012345678E-2</v>
      </c>
      <c r="AQ5" s="479">
        <v>4.9000000000000004</v>
      </c>
      <c r="AR5" s="479">
        <f t="shared" ref="AR5:AR12" si="11">AQ5/453.6</f>
        <v>1.0802469135802469E-2</v>
      </c>
      <c r="AS5" s="479">
        <v>0.3</v>
      </c>
      <c r="AT5" s="480">
        <f t="shared" ref="AT5:AT12" si="12">AS5/453.6</f>
        <v>6.6137566137566134E-4</v>
      </c>
      <c r="AU5" s="472"/>
      <c r="AV5" s="487"/>
      <c r="AW5" s="488">
        <f t="shared" si="3"/>
        <v>0</v>
      </c>
      <c r="AX5" s="487">
        <v>5.6</v>
      </c>
      <c r="AY5" s="488">
        <f t="shared" si="4"/>
        <v>1.2345679012345678E-2</v>
      </c>
      <c r="AZ5" s="488">
        <v>4.9000000000000004</v>
      </c>
      <c r="BA5" s="488">
        <f t="shared" ref="BA5:BA12" si="13">AZ5/453.6</f>
        <v>1.0802469135802469E-2</v>
      </c>
      <c r="BB5" s="488">
        <v>0.3</v>
      </c>
      <c r="BC5" s="489">
        <f t="shared" ref="BC5:BC12" si="14">BB5/453.6</f>
        <v>6.6137566137566134E-4</v>
      </c>
      <c r="BD5" s="405"/>
      <c r="BE5" s="414">
        <f t="shared" si="5"/>
        <v>0</v>
      </c>
      <c r="BF5" s="415">
        <f t="shared" ref="BF5:BF16" si="15">(AB5-AI5)/AB5</f>
        <v>0</v>
      </c>
      <c r="BG5" s="416">
        <f t="shared" ref="BG5:BG16" si="16">(AD5-AK5)/AD5</f>
        <v>0</v>
      </c>
    </row>
    <row r="6" spans="1:59" s="399" customFormat="1" ht="30" customHeight="1" x14ac:dyDescent="0.25">
      <c r="A6" s="417" t="s">
        <v>452</v>
      </c>
      <c r="B6" s="418" t="s">
        <v>453</v>
      </c>
      <c r="C6" s="419"/>
      <c r="D6" s="419"/>
      <c r="E6" s="419"/>
      <c r="F6" s="420"/>
      <c r="G6" s="671" t="s">
        <v>454</v>
      </c>
      <c r="H6" s="672"/>
      <c r="I6" s="672"/>
      <c r="J6" s="673"/>
      <c r="K6" s="663" t="s">
        <v>455</v>
      </c>
      <c r="L6" s="672"/>
      <c r="M6" s="672"/>
      <c r="N6" s="673"/>
      <c r="O6" s="674" t="s">
        <v>456</v>
      </c>
      <c r="P6" s="664"/>
      <c r="Q6" s="664"/>
      <c r="R6" s="664"/>
      <c r="S6" s="664"/>
      <c r="T6" s="675" t="s">
        <v>457</v>
      </c>
      <c r="U6" s="664"/>
      <c r="V6" s="676"/>
      <c r="X6" s="400" t="s">
        <v>452</v>
      </c>
      <c r="Y6" s="410">
        <v>5.6</v>
      </c>
      <c r="Z6" s="411">
        <f t="shared" si="6"/>
        <v>1.2345679012345678E-2</v>
      </c>
      <c r="AA6" s="411">
        <v>4.0999999999999996</v>
      </c>
      <c r="AB6" s="411">
        <f t="shared" si="7"/>
        <v>9.0388007054673716E-3</v>
      </c>
      <c r="AC6" s="411">
        <v>0.45</v>
      </c>
      <c r="AD6" s="412">
        <f t="shared" si="8"/>
        <v>9.9206349206349201E-4</v>
      </c>
      <c r="AE6" s="405"/>
      <c r="AF6" s="413">
        <v>5.6</v>
      </c>
      <c r="AG6" s="411">
        <f t="shared" si="0"/>
        <v>1.2345679012345678E-2</v>
      </c>
      <c r="AH6" s="411">
        <v>4.0999999999999996</v>
      </c>
      <c r="AI6" s="411">
        <f t="shared" si="9"/>
        <v>9.0388007054673716E-3</v>
      </c>
      <c r="AJ6" s="411">
        <v>0.45</v>
      </c>
      <c r="AK6" s="412">
        <f t="shared" si="10"/>
        <v>9.9206349206349201E-4</v>
      </c>
      <c r="AL6" s="472"/>
      <c r="AM6" s="478"/>
      <c r="AN6" s="479">
        <f t="shared" si="1"/>
        <v>0</v>
      </c>
      <c r="AO6" s="478">
        <v>5.6</v>
      </c>
      <c r="AP6" s="479">
        <f t="shared" si="2"/>
        <v>1.2345679012345678E-2</v>
      </c>
      <c r="AQ6" s="479">
        <v>4.0999999999999996</v>
      </c>
      <c r="AR6" s="479">
        <f t="shared" si="11"/>
        <v>9.0388007054673716E-3</v>
      </c>
      <c r="AS6" s="479">
        <v>0.22</v>
      </c>
      <c r="AT6" s="480">
        <f t="shared" si="12"/>
        <v>4.8500881834215163E-4</v>
      </c>
      <c r="AU6" s="472"/>
      <c r="AV6" s="487"/>
      <c r="AW6" s="488">
        <f t="shared" si="3"/>
        <v>0</v>
      </c>
      <c r="AX6" s="487">
        <v>3.5</v>
      </c>
      <c r="AY6" s="488">
        <f t="shared" si="4"/>
        <v>7.716049382716049E-3</v>
      </c>
      <c r="AZ6" s="488">
        <v>4.0999999999999996</v>
      </c>
      <c r="BA6" s="488">
        <f t="shared" si="13"/>
        <v>9.0388007054673716E-3</v>
      </c>
      <c r="BB6" s="488">
        <v>0.02</v>
      </c>
      <c r="BC6" s="489">
        <f t="shared" si="14"/>
        <v>4.4091710758377421E-5</v>
      </c>
      <c r="BD6" s="405"/>
      <c r="BE6" s="414">
        <f t="shared" si="5"/>
        <v>0</v>
      </c>
      <c r="BF6" s="415">
        <f t="shared" si="15"/>
        <v>0</v>
      </c>
      <c r="BG6" s="416">
        <f t="shared" si="16"/>
        <v>0</v>
      </c>
    </row>
    <row r="7" spans="1:59" s="399" customFormat="1" ht="30" customHeight="1" x14ac:dyDescent="0.25">
      <c r="A7" s="409" t="s">
        <v>458</v>
      </c>
      <c r="B7" s="418"/>
      <c r="C7" s="419"/>
      <c r="D7" s="419"/>
      <c r="E7" s="421"/>
      <c r="F7" s="422"/>
      <c r="G7" s="422"/>
      <c r="H7" s="422"/>
      <c r="I7" s="422"/>
      <c r="J7" s="422"/>
      <c r="K7" s="660" t="s">
        <v>459</v>
      </c>
      <c r="L7" s="677"/>
      <c r="M7" s="677"/>
      <c r="N7" s="678"/>
      <c r="O7" s="674" t="s">
        <v>460</v>
      </c>
      <c r="P7" s="672"/>
      <c r="Q7" s="672"/>
      <c r="R7" s="672"/>
      <c r="S7" s="672"/>
      <c r="T7" s="675" t="s">
        <v>461</v>
      </c>
      <c r="U7" s="664"/>
      <c r="V7" s="676"/>
      <c r="X7" s="400" t="s">
        <v>458</v>
      </c>
      <c r="Y7" s="410">
        <v>5.6</v>
      </c>
      <c r="Z7" s="411">
        <f t="shared" si="6"/>
        <v>1.2345679012345678E-2</v>
      </c>
      <c r="AA7" s="411">
        <v>3.7</v>
      </c>
      <c r="AB7" s="411">
        <f t="shared" si="7"/>
        <v>8.1569664902998232E-3</v>
      </c>
      <c r="AC7" s="411">
        <v>0.3</v>
      </c>
      <c r="AD7" s="412">
        <f t="shared" si="8"/>
        <v>6.6137566137566134E-4</v>
      </c>
      <c r="AE7" s="405"/>
      <c r="AF7" s="413">
        <v>5.6</v>
      </c>
      <c r="AG7" s="411">
        <f t="shared" si="0"/>
        <v>1.2345679012345678E-2</v>
      </c>
      <c r="AH7" s="411">
        <v>3.7</v>
      </c>
      <c r="AI7" s="411">
        <f t="shared" si="9"/>
        <v>8.1569664902998232E-3</v>
      </c>
      <c r="AJ7" s="411">
        <v>0.3</v>
      </c>
      <c r="AK7" s="412">
        <f t="shared" si="10"/>
        <v>6.6137566137566134E-4</v>
      </c>
      <c r="AL7" s="472"/>
      <c r="AM7" s="478"/>
      <c r="AN7" s="479">
        <f t="shared" si="1"/>
        <v>0</v>
      </c>
      <c r="AO7" s="478">
        <v>3.5</v>
      </c>
      <c r="AP7" s="479">
        <f t="shared" si="2"/>
        <v>7.716049382716049E-3</v>
      </c>
      <c r="AQ7" s="479">
        <v>3.7</v>
      </c>
      <c r="AR7" s="479">
        <f t="shared" si="11"/>
        <v>8.1569664902998232E-3</v>
      </c>
      <c r="AS7" s="479">
        <v>0.22</v>
      </c>
      <c r="AT7" s="480">
        <f t="shared" si="12"/>
        <v>4.8500881834215163E-4</v>
      </c>
      <c r="AU7" s="472"/>
      <c r="AV7" s="487"/>
      <c r="AW7" s="488">
        <f t="shared" si="3"/>
        <v>0</v>
      </c>
      <c r="AX7" s="487">
        <v>3.5</v>
      </c>
      <c r="AY7" s="488">
        <f t="shared" si="4"/>
        <v>7.716049382716049E-3</v>
      </c>
      <c r="AZ7" s="488">
        <v>3.7</v>
      </c>
      <c r="BA7" s="488">
        <f t="shared" si="13"/>
        <v>8.1569664902998232E-3</v>
      </c>
      <c r="BB7" s="488">
        <v>0.02</v>
      </c>
      <c r="BC7" s="489">
        <f t="shared" si="14"/>
        <v>4.4091710758377421E-5</v>
      </c>
      <c r="BD7" s="405"/>
      <c r="BE7" s="414">
        <f t="shared" si="5"/>
        <v>0</v>
      </c>
      <c r="BF7" s="415">
        <f t="shared" si="15"/>
        <v>0</v>
      </c>
      <c r="BG7" s="416">
        <f t="shared" si="16"/>
        <v>0</v>
      </c>
    </row>
    <row r="8" spans="1:59" s="399" customFormat="1" ht="30" customHeight="1" x14ac:dyDescent="0.25">
      <c r="A8" s="417" t="s">
        <v>462</v>
      </c>
      <c r="B8" s="418"/>
      <c r="C8" s="419"/>
      <c r="D8" s="419"/>
      <c r="E8" s="423"/>
      <c r="F8" s="422"/>
      <c r="G8" s="682" t="s">
        <v>463</v>
      </c>
      <c r="H8" s="643"/>
      <c r="I8" s="643"/>
      <c r="J8" s="656"/>
      <c r="K8" s="679"/>
      <c r="L8" s="680"/>
      <c r="M8" s="680"/>
      <c r="N8" s="681"/>
      <c r="O8" s="683" t="s">
        <v>464</v>
      </c>
      <c r="P8" s="672"/>
      <c r="Q8" s="672"/>
      <c r="R8" s="673"/>
      <c r="S8" s="640" t="s">
        <v>465</v>
      </c>
      <c r="T8" s="641"/>
      <c r="U8" s="641"/>
      <c r="V8" s="636" t="s">
        <v>466</v>
      </c>
      <c r="X8" s="400" t="s">
        <v>462</v>
      </c>
      <c r="Y8" s="410">
        <v>5.6</v>
      </c>
      <c r="Z8" s="411">
        <f t="shared" si="6"/>
        <v>1.2345679012345678E-2</v>
      </c>
      <c r="AA8" s="411">
        <v>3.7</v>
      </c>
      <c r="AB8" s="411">
        <f t="shared" si="7"/>
        <v>8.1569664902998232E-3</v>
      </c>
      <c r="AC8" s="411">
        <v>0.3</v>
      </c>
      <c r="AD8" s="412">
        <f t="shared" si="8"/>
        <v>6.6137566137566134E-4</v>
      </c>
      <c r="AE8" s="405"/>
      <c r="AF8" s="424">
        <v>3.5</v>
      </c>
      <c r="AG8" s="425">
        <f t="shared" si="0"/>
        <v>7.716049382716049E-3</v>
      </c>
      <c r="AH8" s="425">
        <v>3.7</v>
      </c>
      <c r="AI8" s="425">
        <f t="shared" si="9"/>
        <v>8.1569664902998232E-3</v>
      </c>
      <c r="AJ8" s="425">
        <v>0.3</v>
      </c>
      <c r="AK8" s="426">
        <f t="shared" si="10"/>
        <v>6.6137566137566134E-4</v>
      </c>
      <c r="AL8" s="472"/>
      <c r="AM8" s="478">
        <v>0.14000000000000001</v>
      </c>
      <c r="AN8" s="479">
        <f t="shared" si="1"/>
        <v>3.0864197530864197E-4</v>
      </c>
      <c r="AO8" s="478">
        <v>2.5</v>
      </c>
      <c r="AP8" s="479">
        <f t="shared" si="2"/>
        <v>5.5114638447971778E-3</v>
      </c>
      <c r="AQ8" s="479">
        <v>3.7</v>
      </c>
      <c r="AR8" s="479">
        <f t="shared" si="11"/>
        <v>8.1569664902998232E-3</v>
      </c>
      <c r="AS8" s="479">
        <v>1.4999999999999999E-2</v>
      </c>
      <c r="AT8" s="480">
        <f t="shared" si="12"/>
        <v>3.3068783068783064E-5</v>
      </c>
      <c r="AU8" s="472"/>
      <c r="AV8" s="487">
        <v>0.14000000000000001</v>
      </c>
      <c r="AW8" s="488">
        <f t="shared" si="3"/>
        <v>3.0864197530864197E-4</v>
      </c>
      <c r="AX8" s="487">
        <v>0.3</v>
      </c>
      <c r="AY8" s="488">
        <f t="shared" si="4"/>
        <v>6.6137566137566134E-4</v>
      </c>
      <c r="AZ8" s="488">
        <v>3.7</v>
      </c>
      <c r="BA8" s="488">
        <f t="shared" si="13"/>
        <v>8.1569664902998232E-3</v>
      </c>
      <c r="BB8" s="488">
        <v>1.4999999999999999E-2</v>
      </c>
      <c r="BC8" s="489">
        <f t="shared" si="14"/>
        <v>3.3068783068783064E-5</v>
      </c>
      <c r="BD8" s="405"/>
      <c r="BE8" s="414">
        <f t="shared" si="5"/>
        <v>0.375</v>
      </c>
      <c r="BF8" s="415">
        <f t="shared" si="15"/>
        <v>0</v>
      </c>
      <c r="BG8" s="416">
        <f t="shared" si="16"/>
        <v>0</v>
      </c>
    </row>
    <row r="9" spans="1:59" s="399" customFormat="1" ht="30" customHeight="1" x14ac:dyDescent="0.25">
      <c r="A9" s="409" t="s">
        <v>467</v>
      </c>
      <c r="B9" s="418"/>
      <c r="C9" s="419"/>
      <c r="D9" s="427"/>
      <c r="E9" s="428"/>
      <c r="F9" s="428"/>
      <c r="G9" s="428"/>
      <c r="H9" s="428"/>
      <c r="I9" s="429"/>
      <c r="J9" s="663" t="s">
        <v>468</v>
      </c>
      <c r="K9" s="672"/>
      <c r="L9" s="672"/>
      <c r="M9" s="673"/>
      <c r="N9" s="683" t="s">
        <v>469</v>
      </c>
      <c r="O9" s="672"/>
      <c r="P9" s="672"/>
      <c r="Q9" s="672"/>
      <c r="R9" s="673"/>
      <c r="S9" s="644"/>
      <c r="T9" s="645"/>
      <c r="U9" s="645"/>
      <c r="V9" s="646"/>
      <c r="X9" s="400" t="s">
        <v>467</v>
      </c>
      <c r="Y9" s="410">
        <v>4.9000000000000004</v>
      </c>
      <c r="Z9" s="411">
        <f t="shared" si="6"/>
        <v>1.0802469135802469E-2</v>
      </c>
      <c r="AA9" s="411">
        <v>3.7</v>
      </c>
      <c r="AB9" s="411">
        <f t="shared" si="7"/>
        <v>8.1569664902998232E-3</v>
      </c>
      <c r="AC9" s="411">
        <v>0.22</v>
      </c>
      <c r="AD9" s="412">
        <f t="shared" si="8"/>
        <v>4.8500881834215163E-4</v>
      </c>
      <c r="AE9" s="405"/>
      <c r="AF9" s="424">
        <v>3</v>
      </c>
      <c r="AG9" s="425">
        <f t="shared" si="0"/>
        <v>6.6137566137566134E-3</v>
      </c>
      <c r="AH9" s="425">
        <v>3.7</v>
      </c>
      <c r="AI9" s="425">
        <f t="shared" si="9"/>
        <v>8.1569664902998232E-3</v>
      </c>
      <c r="AJ9" s="425">
        <v>0.22</v>
      </c>
      <c r="AK9" s="426">
        <f t="shared" si="10"/>
        <v>4.8500881834215163E-4</v>
      </c>
      <c r="AL9" s="472"/>
      <c r="AM9" s="478">
        <v>0.14000000000000001</v>
      </c>
      <c r="AN9" s="479">
        <f t="shared" si="1"/>
        <v>3.0864197530864197E-4</v>
      </c>
      <c r="AO9" s="478">
        <v>2.5</v>
      </c>
      <c r="AP9" s="479">
        <f t="shared" si="2"/>
        <v>5.5114638447971778E-3</v>
      </c>
      <c r="AQ9" s="479">
        <v>3.7</v>
      </c>
      <c r="AR9" s="479">
        <f t="shared" si="11"/>
        <v>8.1569664902998232E-3</v>
      </c>
      <c r="AS9" s="479">
        <v>1.4999999999999999E-2</v>
      </c>
      <c r="AT9" s="480">
        <f t="shared" si="12"/>
        <v>3.3068783068783064E-5</v>
      </c>
      <c r="AU9" s="472"/>
      <c r="AV9" s="487">
        <v>0.14000000000000001</v>
      </c>
      <c r="AW9" s="488">
        <f t="shared" si="3"/>
        <v>3.0864197530864197E-4</v>
      </c>
      <c r="AX9" s="487">
        <v>0.3</v>
      </c>
      <c r="AY9" s="488">
        <f t="shared" si="4"/>
        <v>6.6137566137566134E-4</v>
      </c>
      <c r="AZ9" s="488">
        <v>3.7</v>
      </c>
      <c r="BA9" s="488">
        <f t="shared" si="13"/>
        <v>8.1569664902998232E-3</v>
      </c>
      <c r="BB9" s="488">
        <v>1.4999999999999999E-2</v>
      </c>
      <c r="BC9" s="489">
        <f t="shared" si="14"/>
        <v>3.3068783068783064E-5</v>
      </c>
      <c r="BD9" s="405"/>
      <c r="BE9" s="414">
        <f t="shared" si="5"/>
        <v>0.38775510204081631</v>
      </c>
      <c r="BF9" s="415">
        <f t="shared" si="15"/>
        <v>0</v>
      </c>
      <c r="BG9" s="416">
        <f t="shared" si="16"/>
        <v>0</v>
      </c>
    </row>
    <row r="10" spans="1:59" s="399" customFormat="1" ht="30" customHeight="1" x14ac:dyDescent="0.25">
      <c r="A10" s="417" t="s">
        <v>470</v>
      </c>
      <c r="B10" s="430"/>
      <c r="C10" s="421"/>
      <c r="D10" s="422"/>
      <c r="E10" s="422"/>
      <c r="F10" s="422"/>
      <c r="G10" s="422"/>
      <c r="H10" s="422"/>
      <c r="I10" s="422"/>
      <c r="J10" s="663" t="s">
        <v>471</v>
      </c>
      <c r="K10" s="664"/>
      <c r="L10" s="665"/>
      <c r="M10" s="666" t="s">
        <v>472</v>
      </c>
      <c r="N10" s="641"/>
      <c r="O10" s="641"/>
      <c r="P10" s="641"/>
      <c r="Q10" s="661"/>
      <c r="R10" s="640" t="s">
        <v>473</v>
      </c>
      <c r="S10" s="641"/>
      <c r="T10" s="641"/>
      <c r="U10" s="431"/>
      <c r="V10" s="668" t="s">
        <v>474</v>
      </c>
      <c r="X10" s="400" t="s">
        <v>470</v>
      </c>
      <c r="Y10" s="410">
        <v>4.9000000000000004</v>
      </c>
      <c r="Z10" s="411">
        <f t="shared" si="6"/>
        <v>1.0802469135802469E-2</v>
      </c>
      <c r="AA10" s="411">
        <v>2.6</v>
      </c>
      <c r="AB10" s="411">
        <f t="shared" si="7"/>
        <v>5.7319223985890649E-3</v>
      </c>
      <c r="AC10" s="411">
        <v>0.15</v>
      </c>
      <c r="AD10" s="412">
        <f t="shared" si="8"/>
        <v>3.3068783068783067E-4</v>
      </c>
      <c r="AE10" s="405"/>
      <c r="AF10" s="424">
        <v>3</v>
      </c>
      <c r="AG10" s="425">
        <f t="shared" si="0"/>
        <v>6.6137566137566134E-3</v>
      </c>
      <c r="AH10" s="425">
        <v>2.6</v>
      </c>
      <c r="AI10" s="425">
        <f t="shared" si="9"/>
        <v>5.7319223985890649E-3</v>
      </c>
      <c r="AJ10" s="425">
        <v>0.15</v>
      </c>
      <c r="AK10" s="426">
        <f t="shared" si="10"/>
        <v>3.3068783068783067E-4</v>
      </c>
      <c r="AL10" s="472"/>
      <c r="AM10" s="478">
        <v>0.14000000000000001</v>
      </c>
      <c r="AN10" s="479">
        <f t="shared" si="1"/>
        <v>3.0864197530864197E-4</v>
      </c>
      <c r="AO10" s="478">
        <v>1.5</v>
      </c>
      <c r="AP10" s="479">
        <f t="shared" si="2"/>
        <v>3.3068783068783067E-3</v>
      </c>
      <c r="AQ10" s="479">
        <v>2.6</v>
      </c>
      <c r="AR10" s="479">
        <f t="shared" si="11"/>
        <v>5.7319223985890649E-3</v>
      </c>
      <c r="AS10" s="479">
        <v>1.4999999999999999E-2</v>
      </c>
      <c r="AT10" s="480">
        <f t="shared" si="12"/>
        <v>3.3068783068783064E-5</v>
      </c>
      <c r="AU10" s="472"/>
      <c r="AV10" s="487">
        <v>0.14000000000000001</v>
      </c>
      <c r="AW10" s="488">
        <f t="shared" si="3"/>
        <v>3.0864197530864197E-4</v>
      </c>
      <c r="AX10" s="487">
        <v>0.3</v>
      </c>
      <c r="AY10" s="488">
        <f t="shared" si="4"/>
        <v>6.6137566137566134E-4</v>
      </c>
      <c r="AZ10" s="488">
        <v>2.2000000000000002</v>
      </c>
      <c r="BA10" s="488">
        <f t="shared" si="13"/>
        <v>4.8500881834215165E-3</v>
      </c>
      <c r="BB10" s="488">
        <v>1.4999999999999999E-2</v>
      </c>
      <c r="BC10" s="489">
        <f t="shared" si="14"/>
        <v>3.3068783068783064E-5</v>
      </c>
      <c r="BD10" s="405"/>
      <c r="BE10" s="414">
        <f t="shared" si="5"/>
        <v>0.38775510204081631</v>
      </c>
      <c r="BF10" s="415">
        <f t="shared" si="15"/>
        <v>0</v>
      </c>
      <c r="BG10" s="416">
        <f t="shared" si="16"/>
        <v>0</v>
      </c>
    </row>
    <row r="11" spans="1:59" s="399" customFormat="1" ht="30" customHeight="1" x14ac:dyDescent="0.3">
      <c r="A11" s="432" t="s">
        <v>475</v>
      </c>
      <c r="B11" s="419" t="s">
        <v>453</v>
      </c>
      <c r="C11" s="423"/>
      <c r="D11" s="422"/>
      <c r="E11" s="433" t="s">
        <v>476</v>
      </c>
      <c r="F11" s="422"/>
      <c r="G11" s="434"/>
      <c r="H11" s="435"/>
      <c r="I11" s="436"/>
      <c r="J11" s="437" t="s">
        <v>477</v>
      </c>
      <c r="K11" s="436"/>
      <c r="L11" s="436"/>
      <c r="M11" s="642"/>
      <c r="N11" s="643"/>
      <c r="O11" s="643"/>
      <c r="P11" s="643"/>
      <c r="Q11" s="656"/>
      <c r="R11" s="642"/>
      <c r="S11" s="643"/>
      <c r="T11" s="643"/>
      <c r="U11" s="438"/>
      <c r="V11" s="669"/>
      <c r="X11" s="400" t="s">
        <v>475</v>
      </c>
      <c r="Y11" s="410">
        <v>4.8</v>
      </c>
      <c r="Z11" s="411">
        <f t="shared" si="6"/>
        <v>1.0582010582010581E-2</v>
      </c>
      <c r="AA11" s="411">
        <v>2.6</v>
      </c>
      <c r="AB11" s="411">
        <f t="shared" si="7"/>
        <v>5.7319223985890649E-3</v>
      </c>
      <c r="AC11" s="411">
        <v>0.15</v>
      </c>
      <c r="AD11" s="412">
        <f t="shared" si="8"/>
        <v>3.3068783068783067E-4</v>
      </c>
      <c r="AE11" s="405"/>
      <c r="AF11" s="424">
        <v>3</v>
      </c>
      <c r="AG11" s="425">
        <f t="shared" si="0"/>
        <v>6.6137566137566134E-3</v>
      </c>
      <c r="AH11" s="425">
        <v>2.6</v>
      </c>
      <c r="AI11" s="425">
        <f t="shared" si="9"/>
        <v>5.7319223985890649E-3</v>
      </c>
      <c r="AJ11" s="425">
        <v>0.15</v>
      </c>
      <c r="AK11" s="426">
        <f t="shared" si="10"/>
        <v>3.3068783068783067E-4</v>
      </c>
      <c r="AL11" s="472"/>
      <c r="AM11" s="478">
        <v>0.14000000000000001</v>
      </c>
      <c r="AN11" s="479">
        <f t="shared" si="1"/>
        <v>3.0864197530864197E-4</v>
      </c>
      <c r="AO11" s="478">
        <v>1.5</v>
      </c>
      <c r="AP11" s="479">
        <f t="shared" si="2"/>
        <v>3.3068783068783067E-3</v>
      </c>
      <c r="AQ11" s="479">
        <v>2.6</v>
      </c>
      <c r="AR11" s="479">
        <f t="shared" si="11"/>
        <v>5.7319223985890649E-3</v>
      </c>
      <c r="AS11" s="479">
        <v>1.4999999999999999E-2</v>
      </c>
      <c r="AT11" s="480">
        <f t="shared" si="12"/>
        <v>3.3068783068783064E-5</v>
      </c>
      <c r="AU11" s="472"/>
      <c r="AV11" s="487">
        <v>0.14000000000000001</v>
      </c>
      <c r="AW11" s="488">
        <f t="shared" si="3"/>
        <v>3.0864197530864197E-4</v>
      </c>
      <c r="AX11" s="487">
        <v>0.3</v>
      </c>
      <c r="AY11" s="488">
        <f t="shared" si="4"/>
        <v>6.6137566137566134E-4</v>
      </c>
      <c r="AZ11" s="488">
        <v>2.2000000000000002</v>
      </c>
      <c r="BA11" s="488">
        <f t="shared" si="13"/>
        <v>4.8500881834215165E-3</v>
      </c>
      <c r="BB11" s="488">
        <v>1.4999999999999999E-2</v>
      </c>
      <c r="BC11" s="489">
        <f t="shared" si="14"/>
        <v>3.3068783068783064E-5</v>
      </c>
      <c r="BD11" s="405"/>
      <c r="BE11" s="414">
        <f t="shared" si="5"/>
        <v>0.375</v>
      </c>
      <c r="BF11" s="415">
        <f t="shared" si="15"/>
        <v>0</v>
      </c>
      <c r="BG11" s="416">
        <f t="shared" si="16"/>
        <v>0</v>
      </c>
    </row>
    <row r="12" spans="1:59" s="399" customFormat="1" ht="30" customHeight="1" x14ac:dyDescent="0.25">
      <c r="A12" s="439" t="s">
        <v>478</v>
      </c>
      <c r="B12" s="430"/>
      <c r="C12" s="420"/>
      <c r="D12" s="428"/>
      <c r="E12" s="428"/>
      <c r="F12" s="428"/>
      <c r="G12" s="422"/>
      <c r="H12" s="434"/>
      <c r="I12" s="440"/>
      <c r="J12" s="441"/>
      <c r="K12" s="441"/>
      <c r="L12" s="442"/>
      <c r="M12" s="644"/>
      <c r="N12" s="645"/>
      <c r="O12" s="645"/>
      <c r="P12" s="645"/>
      <c r="Q12" s="667"/>
      <c r="R12" s="644"/>
      <c r="S12" s="645"/>
      <c r="T12" s="645"/>
      <c r="U12" s="431"/>
      <c r="V12" s="670"/>
      <c r="X12" s="400" t="s">
        <v>478</v>
      </c>
      <c r="Y12" s="410">
        <v>4.8</v>
      </c>
      <c r="Z12" s="411">
        <f t="shared" si="6"/>
        <v>1.0582010582010581E-2</v>
      </c>
      <c r="AA12" s="411">
        <v>2.6</v>
      </c>
      <c r="AB12" s="411">
        <f t="shared" si="7"/>
        <v>5.7319223985890649E-3</v>
      </c>
      <c r="AC12" s="411">
        <v>0.15</v>
      </c>
      <c r="AD12" s="412">
        <f t="shared" si="8"/>
        <v>3.3068783068783067E-4</v>
      </c>
      <c r="AE12" s="405"/>
      <c r="AF12" s="424">
        <v>3</v>
      </c>
      <c r="AG12" s="425">
        <f t="shared" si="0"/>
        <v>6.6137566137566134E-3</v>
      </c>
      <c r="AH12" s="425">
        <v>2.6</v>
      </c>
      <c r="AI12" s="425">
        <f t="shared" si="9"/>
        <v>5.7319223985890649E-3</v>
      </c>
      <c r="AJ12" s="425">
        <v>0.15</v>
      </c>
      <c r="AK12" s="426">
        <f t="shared" si="10"/>
        <v>3.3068783068783067E-4</v>
      </c>
      <c r="AL12" s="472"/>
      <c r="AM12" s="478">
        <v>0.14000000000000001</v>
      </c>
      <c r="AN12" s="479">
        <f t="shared" si="1"/>
        <v>3.0864197530864197E-4</v>
      </c>
      <c r="AO12" s="478">
        <v>1.5</v>
      </c>
      <c r="AP12" s="479">
        <f t="shared" si="2"/>
        <v>3.3068783068783067E-3</v>
      </c>
      <c r="AQ12" s="479">
        <v>2.6</v>
      </c>
      <c r="AR12" s="479">
        <f t="shared" si="11"/>
        <v>5.7319223985890649E-3</v>
      </c>
      <c r="AS12" s="479">
        <v>1.4999999999999999E-2</v>
      </c>
      <c r="AT12" s="480">
        <f t="shared" si="12"/>
        <v>3.3068783068783064E-5</v>
      </c>
      <c r="AU12" s="472"/>
      <c r="AV12" s="487">
        <v>0.14000000000000001</v>
      </c>
      <c r="AW12" s="488">
        <f t="shared" si="3"/>
        <v>3.0864197530864197E-4</v>
      </c>
      <c r="AX12" s="487">
        <v>0.3</v>
      </c>
      <c r="AY12" s="488">
        <f t="shared" si="4"/>
        <v>6.6137566137566134E-4</v>
      </c>
      <c r="AZ12" s="488">
        <v>2.2000000000000002</v>
      </c>
      <c r="BA12" s="488">
        <f t="shared" si="13"/>
        <v>4.8500881834215165E-3</v>
      </c>
      <c r="BB12" s="488">
        <v>1.4999999999999999E-2</v>
      </c>
      <c r="BC12" s="489">
        <f t="shared" si="14"/>
        <v>3.3068783068783064E-5</v>
      </c>
      <c r="BD12" s="405"/>
      <c r="BE12" s="414">
        <f t="shared" si="5"/>
        <v>0.375</v>
      </c>
      <c r="BF12" s="415">
        <f t="shared" si="15"/>
        <v>0</v>
      </c>
      <c r="BG12" s="416">
        <f t="shared" si="16"/>
        <v>0</v>
      </c>
    </row>
    <row r="13" spans="1:59" s="399" customFormat="1" ht="30" customHeight="1" x14ac:dyDescent="0.25">
      <c r="A13" s="647" t="s">
        <v>479</v>
      </c>
      <c r="B13" s="649" t="s">
        <v>453</v>
      </c>
      <c r="C13" s="650"/>
      <c r="D13" s="650"/>
      <c r="E13" s="650"/>
      <c r="F13" s="651"/>
      <c r="G13" s="655" t="s">
        <v>476</v>
      </c>
      <c r="H13" s="643"/>
      <c r="I13" s="643"/>
      <c r="J13" s="643"/>
      <c r="K13" s="643"/>
      <c r="L13" s="656"/>
      <c r="M13" s="660" t="s">
        <v>477</v>
      </c>
      <c r="N13" s="641"/>
      <c r="O13" s="641"/>
      <c r="P13" s="641"/>
      <c r="Q13" s="661"/>
      <c r="R13" s="640" t="s">
        <v>480</v>
      </c>
      <c r="S13" s="641"/>
      <c r="T13" s="641"/>
      <c r="U13" s="641"/>
      <c r="V13" s="636" t="s">
        <v>481</v>
      </c>
      <c r="X13" s="634" t="s">
        <v>479</v>
      </c>
      <c r="Y13" s="410">
        <v>4.8</v>
      </c>
      <c r="Z13" s="411">
        <f t="shared" si="6"/>
        <v>1.0582010582010581E-2</v>
      </c>
      <c r="AA13" s="411">
        <v>2.6</v>
      </c>
      <c r="AB13" s="411">
        <f t="shared" si="7"/>
        <v>5.7319223985890649E-3</v>
      </c>
      <c r="AC13" s="411">
        <v>0.15</v>
      </c>
      <c r="AD13" s="412">
        <f t="shared" si="8"/>
        <v>3.3068783068783067E-4</v>
      </c>
      <c r="AE13" s="405"/>
      <c r="AF13" s="413">
        <v>4.8</v>
      </c>
      <c r="AG13" s="411">
        <f t="shared" si="0"/>
        <v>1.0582010582010581E-2</v>
      </c>
      <c r="AH13" s="411">
        <v>2.6</v>
      </c>
      <c r="AI13" s="411">
        <f>AH13/453.6</f>
        <v>5.7319223985890649E-3</v>
      </c>
      <c r="AJ13" s="411">
        <v>0.15</v>
      </c>
      <c r="AK13" s="412">
        <f>AJ13/453.6</f>
        <v>3.3068783068783067E-4</v>
      </c>
      <c r="AL13" s="472"/>
      <c r="AM13" s="478">
        <v>0.3</v>
      </c>
      <c r="AN13" s="479">
        <f t="shared" si="1"/>
        <v>6.6137566137566134E-4</v>
      </c>
      <c r="AO13" s="478">
        <v>2.6</v>
      </c>
      <c r="AP13" s="479">
        <f t="shared" si="2"/>
        <v>5.7319223985890649E-3</v>
      </c>
      <c r="AQ13" s="479">
        <v>2.6</v>
      </c>
      <c r="AR13" s="479">
        <f>AQ13/453.6</f>
        <v>5.7319223985890649E-3</v>
      </c>
      <c r="AS13" s="479">
        <v>7.0000000000000007E-2</v>
      </c>
      <c r="AT13" s="480">
        <f>AS13/453.6</f>
        <v>1.5432098765432098E-4</v>
      </c>
      <c r="AU13" s="472"/>
      <c r="AV13" s="487">
        <v>0.14000000000000001</v>
      </c>
      <c r="AW13" s="488">
        <f t="shared" si="3"/>
        <v>3.0864197530864197E-4</v>
      </c>
      <c r="AX13" s="487">
        <v>2.6</v>
      </c>
      <c r="AY13" s="488">
        <f t="shared" si="4"/>
        <v>5.7319223985890649E-3</v>
      </c>
      <c r="AZ13" s="488">
        <v>2.6</v>
      </c>
      <c r="BA13" s="488">
        <f>AZ13/453.6</f>
        <v>5.7319223985890649E-3</v>
      </c>
      <c r="BB13" s="488">
        <v>0.03</v>
      </c>
      <c r="BC13" s="489">
        <f>BB13/453.6</f>
        <v>6.6137566137566128E-5</v>
      </c>
      <c r="BD13" s="405"/>
      <c r="BE13" s="414">
        <f t="shared" si="5"/>
        <v>0</v>
      </c>
      <c r="BF13" s="415">
        <f t="shared" si="15"/>
        <v>0</v>
      </c>
      <c r="BG13" s="416">
        <f t="shared" si="16"/>
        <v>0</v>
      </c>
    </row>
    <row r="14" spans="1:59" s="399" customFormat="1" ht="30" customHeight="1" x14ac:dyDescent="0.25">
      <c r="A14" s="648"/>
      <c r="B14" s="649"/>
      <c r="C14" s="650"/>
      <c r="D14" s="650"/>
      <c r="E14" s="650"/>
      <c r="F14" s="651"/>
      <c r="G14" s="642"/>
      <c r="H14" s="643"/>
      <c r="I14" s="643"/>
      <c r="J14" s="643"/>
      <c r="K14" s="643"/>
      <c r="L14" s="656"/>
      <c r="M14" s="642"/>
      <c r="N14" s="643"/>
      <c r="O14" s="643"/>
      <c r="P14" s="643"/>
      <c r="Q14" s="656"/>
      <c r="R14" s="642"/>
      <c r="S14" s="643"/>
      <c r="T14" s="643"/>
      <c r="U14" s="643"/>
      <c r="V14" s="646"/>
      <c r="X14" s="635"/>
      <c r="Y14" s="410">
        <v>4.8</v>
      </c>
      <c r="Z14" s="411">
        <f t="shared" si="6"/>
        <v>1.0582010582010581E-2</v>
      </c>
      <c r="AA14" s="411">
        <v>2.6</v>
      </c>
      <c r="AB14" s="411">
        <f t="shared" si="7"/>
        <v>5.7319223985890649E-3</v>
      </c>
      <c r="AC14" s="411">
        <v>0.15</v>
      </c>
      <c r="AD14" s="412">
        <f t="shared" si="8"/>
        <v>3.3068783068783067E-4</v>
      </c>
      <c r="AE14" s="405"/>
      <c r="AF14" s="413">
        <v>4.8</v>
      </c>
      <c r="AG14" s="411">
        <f t="shared" si="0"/>
        <v>1.0582010582010581E-2</v>
      </c>
      <c r="AH14" s="411">
        <v>2.6</v>
      </c>
      <c r="AI14" s="411">
        <f>AH14/453.6</f>
        <v>5.7319223985890649E-3</v>
      </c>
      <c r="AJ14" s="411">
        <v>0.15</v>
      </c>
      <c r="AK14" s="412">
        <f>AJ14/453.6</f>
        <v>3.3068783068783067E-4</v>
      </c>
      <c r="AL14" s="472"/>
      <c r="AM14" s="478">
        <v>0.3</v>
      </c>
      <c r="AN14" s="479">
        <f t="shared" si="1"/>
        <v>6.6137566137566134E-4</v>
      </c>
      <c r="AO14" s="478">
        <v>2.6</v>
      </c>
      <c r="AP14" s="479">
        <f t="shared" si="2"/>
        <v>5.7319223985890649E-3</v>
      </c>
      <c r="AQ14" s="479">
        <v>2.6</v>
      </c>
      <c r="AR14" s="479">
        <f>AQ14/453.6</f>
        <v>5.7319223985890649E-3</v>
      </c>
      <c r="AS14" s="479">
        <v>7.0000000000000007E-2</v>
      </c>
      <c r="AT14" s="480">
        <f>AS14/453.6</f>
        <v>1.5432098765432098E-4</v>
      </c>
      <c r="AU14" s="472"/>
      <c r="AV14" s="487">
        <v>0.14000000000000001</v>
      </c>
      <c r="AW14" s="488">
        <f t="shared" si="3"/>
        <v>3.0864197530864197E-4</v>
      </c>
      <c r="AX14" s="487">
        <v>2.6</v>
      </c>
      <c r="AY14" s="488">
        <f t="shared" si="4"/>
        <v>5.7319223985890649E-3</v>
      </c>
      <c r="AZ14" s="488">
        <v>2.6</v>
      </c>
      <c r="BA14" s="488">
        <f>AZ14/453.6</f>
        <v>5.7319223985890649E-3</v>
      </c>
      <c r="BB14" s="488">
        <v>0.03</v>
      </c>
      <c r="BC14" s="489">
        <f>BB14/453.6</f>
        <v>6.6137566137566128E-5</v>
      </c>
      <c r="BD14" s="405"/>
      <c r="BE14" s="414">
        <f t="shared" si="5"/>
        <v>0</v>
      </c>
      <c r="BF14" s="415">
        <f t="shared" si="15"/>
        <v>0</v>
      </c>
      <c r="BG14" s="416">
        <f t="shared" si="16"/>
        <v>0</v>
      </c>
    </row>
    <row r="15" spans="1:59" s="399" customFormat="1" ht="30" customHeight="1" x14ac:dyDescent="0.25">
      <c r="A15" s="432" t="s">
        <v>482</v>
      </c>
      <c r="B15" s="649"/>
      <c r="C15" s="650"/>
      <c r="D15" s="650"/>
      <c r="E15" s="650"/>
      <c r="F15" s="651"/>
      <c r="G15" s="642"/>
      <c r="H15" s="643"/>
      <c r="I15" s="643"/>
      <c r="J15" s="643"/>
      <c r="K15" s="643"/>
      <c r="L15" s="656"/>
      <c r="M15" s="642"/>
      <c r="N15" s="643"/>
      <c r="O15" s="643"/>
      <c r="P15" s="643"/>
      <c r="Q15" s="656"/>
      <c r="R15" s="644"/>
      <c r="S15" s="645"/>
      <c r="T15" s="645"/>
      <c r="U15" s="645"/>
      <c r="V15" s="636" t="s">
        <v>483</v>
      </c>
      <c r="X15" s="400" t="s">
        <v>482</v>
      </c>
      <c r="Y15" s="410">
        <v>4.8</v>
      </c>
      <c r="Z15" s="411">
        <f t="shared" si="6"/>
        <v>1.0582010582010581E-2</v>
      </c>
      <c r="AA15" s="411">
        <v>2.6</v>
      </c>
      <c r="AB15" s="411">
        <f t="shared" si="7"/>
        <v>5.7319223985890649E-3</v>
      </c>
      <c r="AC15" s="411">
        <v>0.15</v>
      </c>
      <c r="AD15" s="412">
        <f t="shared" si="8"/>
        <v>3.3068783068783067E-4</v>
      </c>
      <c r="AE15" s="405"/>
      <c r="AF15" s="413">
        <v>4.8</v>
      </c>
      <c r="AG15" s="411">
        <f t="shared" si="0"/>
        <v>1.0582010582010581E-2</v>
      </c>
      <c r="AH15" s="411">
        <v>2.6</v>
      </c>
      <c r="AI15" s="411">
        <f>AH15/453.6</f>
        <v>5.7319223985890649E-3</v>
      </c>
      <c r="AJ15" s="411">
        <v>0.15</v>
      </c>
      <c r="AK15" s="412">
        <f>AJ15/453.6</f>
        <v>3.3068783068783067E-4</v>
      </c>
      <c r="AL15" s="472"/>
      <c r="AM15" s="478">
        <v>0.3</v>
      </c>
      <c r="AN15" s="479">
        <f t="shared" si="1"/>
        <v>6.6137566137566134E-4</v>
      </c>
      <c r="AO15" s="478">
        <v>0.5</v>
      </c>
      <c r="AP15" s="479">
        <f t="shared" si="2"/>
        <v>1.1022927689594356E-3</v>
      </c>
      <c r="AQ15" s="479">
        <v>2.6</v>
      </c>
      <c r="AR15" s="479">
        <f>AQ15/453.6</f>
        <v>5.7319223985890649E-3</v>
      </c>
      <c r="AS15" s="479">
        <v>7.0000000000000007E-2</v>
      </c>
      <c r="AT15" s="480">
        <f>AS15/453.6</f>
        <v>1.5432098765432098E-4</v>
      </c>
      <c r="AU15" s="472"/>
      <c r="AV15" s="487">
        <v>0.14000000000000001</v>
      </c>
      <c r="AW15" s="488">
        <f t="shared" si="3"/>
        <v>3.0864197530864197E-4</v>
      </c>
      <c r="AX15" s="487">
        <v>0.5</v>
      </c>
      <c r="AY15" s="488">
        <f t="shared" si="4"/>
        <v>1.1022927689594356E-3</v>
      </c>
      <c r="AZ15" s="488">
        <v>2.6</v>
      </c>
      <c r="BA15" s="488">
        <f>AZ15/453.6</f>
        <v>5.7319223985890649E-3</v>
      </c>
      <c r="BB15" s="488">
        <v>0.02</v>
      </c>
      <c r="BC15" s="489">
        <f>BB15/453.6</f>
        <v>4.4091710758377421E-5</v>
      </c>
      <c r="BD15" s="405"/>
      <c r="BE15" s="414">
        <f t="shared" si="5"/>
        <v>0</v>
      </c>
      <c r="BF15" s="415">
        <f t="shared" si="15"/>
        <v>0</v>
      </c>
      <c r="BG15" s="416">
        <f t="shared" si="16"/>
        <v>0</v>
      </c>
    </row>
    <row r="16" spans="1:59" s="399" customFormat="1" ht="30" customHeight="1" thickBot="1" x14ac:dyDescent="0.3">
      <c r="A16" s="443" t="s">
        <v>484</v>
      </c>
      <c r="B16" s="652"/>
      <c r="C16" s="653"/>
      <c r="D16" s="653"/>
      <c r="E16" s="653"/>
      <c r="F16" s="654"/>
      <c r="G16" s="657"/>
      <c r="H16" s="658"/>
      <c r="I16" s="658"/>
      <c r="J16" s="658"/>
      <c r="K16" s="658"/>
      <c r="L16" s="659"/>
      <c r="M16" s="657"/>
      <c r="N16" s="658"/>
      <c r="O16" s="658"/>
      <c r="P16" s="658"/>
      <c r="Q16" s="659"/>
      <c r="R16" s="638" t="s">
        <v>485</v>
      </c>
      <c r="S16" s="639"/>
      <c r="T16" s="639"/>
      <c r="U16" s="639"/>
      <c r="V16" s="637"/>
      <c r="X16" s="444" t="s">
        <v>484</v>
      </c>
      <c r="Y16" s="445">
        <v>4.8</v>
      </c>
      <c r="Z16" s="446">
        <f t="shared" si="6"/>
        <v>1.0582010582010581E-2</v>
      </c>
      <c r="AA16" s="446">
        <v>2.6</v>
      </c>
      <c r="AB16" s="446">
        <f t="shared" si="7"/>
        <v>5.7319223985890649E-3</v>
      </c>
      <c r="AC16" s="446">
        <v>0.15</v>
      </c>
      <c r="AD16" s="447">
        <f t="shared" si="8"/>
        <v>3.3068783068783067E-4</v>
      </c>
      <c r="AE16" s="405"/>
      <c r="AF16" s="448">
        <v>4.8</v>
      </c>
      <c r="AG16" s="446">
        <f t="shared" si="0"/>
        <v>1.0582010582010581E-2</v>
      </c>
      <c r="AH16" s="446">
        <v>2.6</v>
      </c>
      <c r="AI16" s="446">
        <f>AH16/453.6</f>
        <v>5.7319223985890649E-3</v>
      </c>
      <c r="AJ16" s="446">
        <v>0.15</v>
      </c>
      <c r="AK16" s="447">
        <f>AJ16/453.6</f>
        <v>3.3068783068783067E-4</v>
      </c>
      <c r="AL16" s="472"/>
      <c r="AM16" s="481">
        <v>0.3</v>
      </c>
      <c r="AN16" s="482">
        <f t="shared" si="1"/>
        <v>6.6137566137566134E-4</v>
      </c>
      <c r="AO16" s="481">
        <v>0.5</v>
      </c>
      <c r="AP16" s="482">
        <f t="shared" si="2"/>
        <v>1.1022927689594356E-3</v>
      </c>
      <c r="AQ16" s="482">
        <v>2.6</v>
      </c>
      <c r="AR16" s="482">
        <f>AQ16/453.6</f>
        <v>5.7319223985890649E-3</v>
      </c>
      <c r="AS16" s="482">
        <v>7.0000000000000007E-2</v>
      </c>
      <c r="AT16" s="483">
        <f>AS16/453.6</f>
        <v>1.5432098765432098E-4</v>
      </c>
      <c r="AU16" s="472"/>
      <c r="AV16" s="490">
        <v>0.14000000000000001</v>
      </c>
      <c r="AW16" s="491">
        <f t="shared" si="3"/>
        <v>3.0864197530864197E-4</v>
      </c>
      <c r="AX16" s="490">
        <v>0.5</v>
      </c>
      <c r="AY16" s="491">
        <f t="shared" si="4"/>
        <v>1.1022927689594356E-3</v>
      </c>
      <c r="AZ16" s="491">
        <v>2.6</v>
      </c>
      <c r="BA16" s="491">
        <f>AZ16/453.6</f>
        <v>5.7319223985890649E-3</v>
      </c>
      <c r="BB16" s="491">
        <v>0.02</v>
      </c>
      <c r="BC16" s="492">
        <f>BB16/453.6</f>
        <v>4.4091710758377421E-5</v>
      </c>
      <c r="BD16" s="405"/>
      <c r="BE16" s="449">
        <f t="shared" si="5"/>
        <v>0</v>
      </c>
      <c r="BF16" s="450">
        <f t="shared" si="15"/>
        <v>0</v>
      </c>
      <c r="BG16" s="451">
        <f t="shared" si="16"/>
        <v>0</v>
      </c>
    </row>
    <row r="17" spans="1:55" s="452" customFormat="1" ht="14.4" thickTop="1" x14ac:dyDescent="0.3"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3"/>
      <c r="BB17" s="473"/>
      <c r="BC17" s="473"/>
    </row>
    <row r="18" spans="1:55" s="452" customFormat="1" x14ac:dyDescent="0.3">
      <c r="A18" s="452" t="s">
        <v>486</v>
      </c>
      <c r="AL18" s="473"/>
      <c r="AM18" s="473"/>
      <c r="AN18" s="473"/>
      <c r="AO18" s="473"/>
      <c r="AP18" s="473"/>
      <c r="AQ18" s="473"/>
      <c r="AR18" s="473"/>
      <c r="AS18" s="473"/>
      <c r="AT18" s="473"/>
      <c r="AU18" s="473"/>
      <c r="AV18" s="473"/>
      <c r="AW18" s="473"/>
      <c r="AX18" s="473"/>
      <c r="AY18" s="473"/>
      <c r="AZ18" s="473"/>
      <c r="BA18" s="473"/>
      <c r="BB18" s="473"/>
      <c r="BC18" s="473"/>
    </row>
    <row r="19" spans="1:55" x14ac:dyDescent="0.3">
      <c r="A19" s="452" t="s">
        <v>487</v>
      </c>
      <c r="AF19" s="453"/>
    </row>
    <row r="20" spans="1:55" s="452" customFormat="1" x14ac:dyDescent="0.3">
      <c r="A20" s="452" t="s">
        <v>488</v>
      </c>
      <c r="AL20" s="473"/>
      <c r="AM20" s="473"/>
      <c r="AN20" s="473"/>
      <c r="AO20" s="473"/>
      <c r="AP20" s="473"/>
      <c r="AQ20" s="473"/>
      <c r="AR20" s="473"/>
      <c r="AS20" s="473"/>
      <c r="AT20" s="473"/>
      <c r="AU20" s="473"/>
      <c r="AV20" s="473"/>
      <c r="AW20" s="473"/>
      <c r="AX20" s="473"/>
      <c r="AY20" s="473"/>
      <c r="AZ20" s="473"/>
      <c r="BA20" s="473"/>
      <c r="BB20" s="473"/>
      <c r="BC20" s="473"/>
    </row>
    <row r="21" spans="1:55" s="452" customFormat="1" x14ac:dyDescent="0.3">
      <c r="A21" s="452" t="s">
        <v>489</v>
      </c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3"/>
      <c r="AZ21" s="473"/>
      <c r="BA21" s="473"/>
      <c r="BB21" s="473"/>
      <c r="BC21" s="473"/>
    </row>
    <row r="22" spans="1:55" s="454" customFormat="1" x14ac:dyDescent="0.3">
      <c r="A22" s="452" t="s">
        <v>490</v>
      </c>
      <c r="AL22" s="475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</row>
    <row r="24" spans="1:55" s="454" customFormat="1" x14ac:dyDescent="0.3">
      <c r="A24" s="452"/>
      <c r="F24" s="455"/>
      <c r="G24" s="662" t="s">
        <v>491</v>
      </c>
      <c r="J24" s="456"/>
      <c r="K24" s="662" t="s">
        <v>492</v>
      </c>
      <c r="N24" s="457"/>
      <c r="O24" s="633" t="s">
        <v>493</v>
      </c>
      <c r="R24" s="458"/>
      <c r="S24" s="459"/>
      <c r="T24" s="460" t="s">
        <v>494</v>
      </c>
      <c r="U24" s="453"/>
      <c r="V24" s="453"/>
      <c r="Y24" s="456"/>
      <c r="Z24" s="662" t="s">
        <v>492</v>
      </c>
      <c r="AC24" s="457"/>
      <c r="AD24" s="633" t="s">
        <v>493</v>
      </c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</row>
    <row r="25" spans="1:55" s="454" customFormat="1" x14ac:dyDescent="0.3">
      <c r="A25" s="452"/>
      <c r="F25" s="461"/>
      <c r="G25" s="662"/>
      <c r="J25" s="462"/>
      <c r="K25" s="662"/>
      <c r="N25" s="463"/>
      <c r="O25" s="633"/>
      <c r="R25" s="464"/>
      <c r="S25" s="465"/>
      <c r="T25" s="466"/>
      <c r="U25" s="453"/>
      <c r="V25" s="453"/>
      <c r="Y25" s="462"/>
      <c r="Z25" s="662"/>
      <c r="AC25" s="463"/>
      <c r="AD25" s="633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</row>
    <row r="26" spans="1:55" s="454" customFormat="1" x14ac:dyDescent="0.3">
      <c r="A26" s="452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</row>
    <row r="27" spans="1:55" s="468" customFormat="1" x14ac:dyDescent="0.3">
      <c r="A27" s="467"/>
      <c r="AL27" s="476"/>
      <c r="AM27" s="476"/>
      <c r="AN27" s="476"/>
      <c r="AO27" s="476"/>
      <c r="AP27" s="476"/>
      <c r="AQ27" s="476"/>
      <c r="AR27" s="476"/>
      <c r="AS27" s="476"/>
      <c r="AT27" s="476"/>
      <c r="AU27" s="476"/>
      <c r="AV27" s="476"/>
      <c r="AW27" s="476"/>
      <c r="AX27" s="476"/>
      <c r="AY27" s="476"/>
      <c r="AZ27" s="476"/>
      <c r="BA27" s="476"/>
      <c r="BB27" s="476"/>
      <c r="BC27" s="476"/>
    </row>
    <row r="28" spans="1:55" s="468" customFormat="1" x14ac:dyDescent="0.3">
      <c r="A28" s="467"/>
      <c r="AL28" s="476"/>
      <c r="AM28" s="476"/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/>
      <c r="AY28" s="476"/>
      <c r="AZ28" s="476"/>
      <c r="BA28" s="476"/>
      <c r="BB28" s="476"/>
      <c r="BC28" s="476"/>
    </row>
    <row r="29" spans="1:55" s="468" customFormat="1" x14ac:dyDescent="0.3">
      <c r="A29" s="467"/>
      <c r="AL29" s="476"/>
      <c r="AM29" s="476"/>
      <c r="AN29" s="476"/>
      <c r="AO29" s="476"/>
      <c r="AP29" s="476"/>
      <c r="AQ29" s="476"/>
      <c r="AR29" s="476"/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</row>
    <row r="30" spans="1:55" s="468" customFormat="1" x14ac:dyDescent="0.3">
      <c r="A30" s="467"/>
      <c r="AL30" s="476"/>
      <c r="AM30" s="476"/>
      <c r="AN30" s="476"/>
      <c r="AO30" s="476"/>
      <c r="AP30" s="476"/>
      <c r="AQ30" s="476"/>
      <c r="AR30" s="476"/>
      <c r="AS30" s="476"/>
      <c r="AT30" s="476"/>
      <c r="AU30" s="476"/>
      <c r="AV30" s="476"/>
      <c r="AW30" s="476"/>
      <c r="AX30" s="476"/>
      <c r="AY30" s="476"/>
      <c r="AZ30" s="476"/>
      <c r="BA30" s="476"/>
      <c r="BB30" s="476"/>
      <c r="BC30" s="476"/>
    </row>
    <row r="31" spans="1:55" s="468" customFormat="1" x14ac:dyDescent="0.3">
      <c r="A31" s="467"/>
      <c r="AL31" s="476"/>
      <c r="AM31" s="476"/>
      <c r="AN31" s="476"/>
      <c r="AO31" s="476"/>
      <c r="AP31" s="476"/>
      <c r="AQ31" s="476"/>
      <c r="AR31" s="476"/>
      <c r="AS31" s="476"/>
      <c r="AT31" s="476"/>
      <c r="AU31" s="476"/>
      <c r="AV31" s="476"/>
      <c r="AW31" s="476"/>
      <c r="AX31" s="476"/>
      <c r="AY31" s="476"/>
      <c r="AZ31" s="476"/>
      <c r="BA31" s="476"/>
      <c r="BB31" s="476"/>
      <c r="BC31" s="476"/>
    </row>
    <row r="32" spans="1:55" s="468" customFormat="1" x14ac:dyDescent="0.3">
      <c r="A32" s="467"/>
      <c r="AL32" s="476"/>
      <c r="AM32" s="476"/>
      <c r="AN32" s="476"/>
      <c r="AO32" s="476"/>
      <c r="AP32" s="476"/>
      <c r="AQ32" s="476"/>
      <c r="AR32" s="476"/>
      <c r="AS32" s="476"/>
      <c r="AT32" s="476"/>
      <c r="AU32" s="476"/>
      <c r="AV32" s="476"/>
      <c r="AW32" s="476"/>
      <c r="AX32" s="476"/>
      <c r="AY32" s="476"/>
      <c r="AZ32" s="476"/>
      <c r="BA32" s="476"/>
      <c r="BB32" s="476"/>
      <c r="BC32" s="476"/>
    </row>
    <row r="33" spans="1:55" s="468" customFormat="1" x14ac:dyDescent="0.3">
      <c r="A33" s="467"/>
      <c r="AL33" s="476"/>
      <c r="AM33" s="476"/>
      <c r="AN33" s="476"/>
      <c r="AO33" s="476"/>
      <c r="AP33" s="476"/>
      <c r="AQ33" s="476"/>
      <c r="AR33" s="476"/>
      <c r="AS33" s="476"/>
      <c r="AT33" s="476"/>
      <c r="AU33" s="476"/>
      <c r="AV33" s="476"/>
      <c r="AW33" s="476"/>
      <c r="AX33" s="476"/>
      <c r="AY33" s="476"/>
      <c r="AZ33" s="476"/>
      <c r="BA33" s="476"/>
      <c r="BB33" s="476"/>
      <c r="BC33" s="476"/>
    </row>
    <row r="34" spans="1:55" s="468" customFormat="1" x14ac:dyDescent="0.3">
      <c r="A34" s="467"/>
      <c r="AL34" s="476"/>
      <c r="AM34" s="476"/>
      <c r="AN34" s="476"/>
      <c r="AO34" s="476"/>
      <c r="AP34" s="476"/>
      <c r="AQ34" s="476"/>
      <c r="AR34" s="476"/>
      <c r="AS34" s="476"/>
      <c r="AT34" s="476"/>
      <c r="AU34" s="476"/>
      <c r="AV34" s="476"/>
      <c r="AW34" s="476"/>
      <c r="AX34" s="476"/>
      <c r="AY34" s="476"/>
      <c r="AZ34" s="476"/>
      <c r="BA34" s="476"/>
      <c r="BB34" s="476"/>
      <c r="BC34" s="476"/>
    </row>
    <row r="35" spans="1:55" s="468" customFormat="1" x14ac:dyDescent="0.3">
      <c r="A35" s="467"/>
      <c r="AL35" s="476"/>
      <c r="AM35" s="476"/>
      <c r="AN35" s="476"/>
      <c r="AO35" s="476"/>
      <c r="AP35" s="476"/>
      <c r="AQ35" s="476"/>
      <c r="AR35" s="476"/>
      <c r="AS35" s="476"/>
      <c r="AT35" s="476"/>
      <c r="AU35" s="476"/>
      <c r="AV35" s="476"/>
      <c r="AW35" s="476"/>
      <c r="AX35" s="476"/>
      <c r="AY35" s="476"/>
      <c r="AZ35" s="476"/>
      <c r="BA35" s="476"/>
      <c r="BB35" s="476"/>
      <c r="BC35" s="476"/>
    </row>
    <row r="36" spans="1:55" s="468" customFormat="1" x14ac:dyDescent="0.3">
      <c r="A36" s="467"/>
      <c r="AL36" s="476"/>
      <c r="AM36" s="476"/>
      <c r="AN36" s="476"/>
      <c r="AO36" s="476"/>
      <c r="AP36" s="476"/>
      <c r="AQ36" s="476"/>
      <c r="AR36" s="476"/>
      <c r="AS36" s="476"/>
      <c r="AT36" s="476"/>
      <c r="AU36" s="476"/>
      <c r="AV36" s="476"/>
      <c r="AW36" s="476"/>
      <c r="AX36" s="476"/>
      <c r="AY36" s="476"/>
      <c r="AZ36" s="476"/>
      <c r="BA36" s="476"/>
      <c r="BB36" s="476"/>
      <c r="BC36" s="476"/>
    </row>
    <row r="37" spans="1:55" s="468" customFormat="1" x14ac:dyDescent="0.3">
      <c r="A37" s="467"/>
      <c r="AL37" s="476"/>
      <c r="AM37" s="476"/>
      <c r="AN37" s="476"/>
      <c r="AO37" s="476"/>
      <c r="AP37" s="476"/>
      <c r="AQ37" s="476"/>
      <c r="AR37" s="476"/>
      <c r="AS37" s="476"/>
      <c r="AT37" s="476"/>
      <c r="AU37" s="476"/>
      <c r="AV37" s="476"/>
      <c r="AW37" s="476"/>
      <c r="AX37" s="476"/>
      <c r="AY37" s="476"/>
      <c r="AZ37" s="476"/>
      <c r="BA37" s="476"/>
      <c r="BB37" s="476"/>
      <c r="BC37" s="476"/>
    </row>
    <row r="38" spans="1:55" s="468" customFormat="1" x14ac:dyDescent="0.3">
      <c r="A38" s="467"/>
      <c r="AL38" s="476"/>
      <c r="AM38" s="476"/>
      <c r="AN38" s="476"/>
      <c r="AO38" s="476"/>
      <c r="AP38" s="476"/>
      <c r="AQ38" s="476"/>
      <c r="AR38" s="476"/>
      <c r="AS38" s="476"/>
      <c r="AT38" s="476"/>
      <c r="AU38" s="476"/>
      <c r="AV38" s="476"/>
      <c r="AW38" s="476"/>
      <c r="AX38" s="476"/>
      <c r="AY38" s="476"/>
      <c r="AZ38" s="476"/>
      <c r="BA38" s="476"/>
      <c r="BB38" s="476"/>
      <c r="BC38" s="476"/>
    </row>
    <row r="39" spans="1:55" s="468" customFormat="1" x14ac:dyDescent="0.3">
      <c r="A39" s="467"/>
      <c r="AL39" s="476"/>
      <c r="AM39" s="476"/>
      <c r="AN39" s="476"/>
      <c r="AO39" s="476"/>
      <c r="AP39" s="476"/>
      <c r="AQ39" s="476"/>
      <c r="AR39" s="476"/>
      <c r="AS39" s="476"/>
      <c r="AT39" s="476"/>
      <c r="AU39" s="476"/>
      <c r="AV39" s="476"/>
      <c r="AW39" s="476"/>
      <c r="AX39" s="476"/>
      <c r="AY39" s="476"/>
      <c r="AZ39" s="476"/>
      <c r="BA39" s="476"/>
      <c r="BB39" s="476"/>
      <c r="BC39" s="476"/>
    </row>
    <row r="40" spans="1:55" s="468" customFormat="1" x14ac:dyDescent="0.3">
      <c r="A40" s="467"/>
      <c r="AL40" s="476"/>
      <c r="AM40" s="476"/>
      <c r="AN40" s="476"/>
      <c r="AO40" s="476"/>
      <c r="AP40" s="476"/>
      <c r="AQ40" s="476"/>
      <c r="AR40" s="476"/>
      <c r="AS40" s="476"/>
      <c r="AT40" s="476"/>
      <c r="AU40" s="476"/>
      <c r="AV40" s="476"/>
      <c r="AW40" s="476"/>
      <c r="AX40" s="476"/>
      <c r="AY40" s="476"/>
      <c r="AZ40" s="476"/>
      <c r="BA40" s="476"/>
      <c r="BB40" s="476"/>
      <c r="BC40" s="476"/>
    </row>
    <row r="41" spans="1:55" s="468" customFormat="1" x14ac:dyDescent="0.3">
      <c r="A41" s="467"/>
      <c r="AL41" s="476"/>
      <c r="AM41" s="476"/>
      <c r="AN41" s="476"/>
      <c r="AO41" s="476"/>
      <c r="AP41" s="476"/>
      <c r="AQ41" s="476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6"/>
    </row>
    <row r="42" spans="1:55" s="468" customFormat="1" x14ac:dyDescent="0.3">
      <c r="A42" s="467"/>
      <c r="AL42" s="476"/>
      <c r="AM42" s="476"/>
      <c r="AN42" s="476"/>
      <c r="AO42" s="476"/>
      <c r="AP42" s="476"/>
      <c r="AQ42" s="476"/>
      <c r="AR42" s="476"/>
      <c r="AS42" s="476"/>
      <c r="AT42" s="476"/>
      <c r="AU42" s="476"/>
      <c r="AV42" s="476"/>
      <c r="AW42" s="476"/>
      <c r="AX42" s="476"/>
      <c r="AY42" s="476"/>
      <c r="AZ42" s="476"/>
      <c r="BA42" s="476"/>
      <c r="BB42" s="476"/>
      <c r="BC42" s="476"/>
    </row>
    <row r="43" spans="1:55" s="468" customFormat="1" x14ac:dyDescent="0.3">
      <c r="A43" s="467"/>
      <c r="AL43" s="476"/>
      <c r="AM43" s="476"/>
      <c r="AN43" s="476"/>
      <c r="AO43" s="476"/>
      <c r="AP43" s="476"/>
      <c r="AQ43" s="476"/>
      <c r="AR43" s="476"/>
      <c r="AS43" s="476"/>
      <c r="AT43" s="476"/>
      <c r="AU43" s="476"/>
      <c r="AV43" s="476"/>
      <c r="AW43" s="476"/>
      <c r="AX43" s="476"/>
      <c r="AY43" s="476"/>
      <c r="AZ43" s="476"/>
      <c r="BA43" s="476"/>
      <c r="BB43" s="476"/>
      <c r="BC43" s="476"/>
    </row>
    <row r="44" spans="1:55" s="468" customFormat="1" x14ac:dyDescent="0.3">
      <c r="A44" s="467"/>
      <c r="AL44" s="476"/>
      <c r="AM44" s="476"/>
      <c r="AN44" s="476"/>
      <c r="AO44" s="476"/>
      <c r="AP44" s="476"/>
      <c r="AQ44" s="476"/>
      <c r="AR44" s="476"/>
      <c r="AS44" s="476"/>
      <c r="AT44" s="476"/>
      <c r="AU44" s="476"/>
      <c r="AV44" s="476"/>
      <c r="AW44" s="476"/>
      <c r="AX44" s="476"/>
      <c r="AY44" s="476"/>
      <c r="AZ44" s="476"/>
      <c r="BA44" s="476"/>
      <c r="BB44" s="476"/>
      <c r="BC44" s="476"/>
    </row>
    <row r="45" spans="1:55" s="468" customFormat="1" x14ac:dyDescent="0.3">
      <c r="A45" s="467"/>
      <c r="AL45" s="476"/>
      <c r="AM45" s="476"/>
      <c r="AN45" s="476"/>
      <c r="AO45" s="476"/>
      <c r="AP45" s="476"/>
      <c r="AQ45" s="476"/>
      <c r="AR45" s="476"/>
      <c r="AS45" s="476"/>
      <c r="AT45" s="476"/>
      <c r="AU45" s="476"/>
      <c r="AV45" s="476"/>
      <c r="AW45" s="476"/>
      <c r="AX45" s="476"/>
      <c r="AY45" s="476"/>
      <c r="AZ45" s="476"/>
      <c r="BA45" s="476"/>
      <c r="BB45" s="476"/>
      <c r="BC45" s="476"/>
    </row>
    <row r="46" spans="1:55" s="468" customFormat="1" x14ac:dyDescent="0.3">
      <c r="A46" s="467"/>
      <c r="AL46" s="476"/>
      <c r="AM46" s="476"/>
      <c r="AN46" s="476"/>
      <c r="AO46" s="476"/>
      <c r="AP46" s="476"/>
      <c r="AQ46" s="476"/>
      <c r="AR46" s="476"/>
      <c r="AS46" s="476"/>
      <c r="AT46" s="476"/>
      <c r="AU46" s="476"/>
      <c r="AV46" s="476"/>
      <c r="AW46" s="476"/>
      <c r="AX46" s="476"/>
      <c r="AY46" s="476"/>
      <c r="AZ46" s="476"/>
      <c r="BA46" s="476"/>
      <c r="BB46" s="476"/>
      <c r="BC46" s="476"/>
    </row>
    <row r="47" spans="1:55" s="468" customFormat="1" x14ac:dyDescent="0.3">
      <c r="A47" s="467"/>
      <c r="AL47" s="476"/>
      <c r="AM47" s="476"/>
      <c r="AN47" s="476"/>
      <c r="AO47" s="476"/>
      <c r="AP47" s="476"/>
      <c r="AQ47" s="476"/>
      <c r="AR47" s="476"/>
      <c r="AS47" s="476"/>
      <c r="AT47" s="476"/>
      <c r="AU47" s="476"/>
      <c r="AV47" s="476"/>
      <c r="AW47" s="476"/>
      <c r="AX47" s="476"/>
      <c r="AY47" s="476"/>
      <c r="AZ47" s="476"/>
      <c r="BA47" s="476"/>
      <c r="BB47" s="476"/>
      <c r="BC47" s="476"/>
    </row>
    <row r="48" spans="1:55" s="468" customFormat="1" x14ac:dyDescent="0.3">
      <c r="A48" s="467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6"/>
      <c r="BB48" s="476"/>
      <c r="BC48" s="476"/>
    </row>
    <row r="49" spans="1:55" s="468" customFormat="1" x14ac:dyDescent="0.3">
      <c r="A49" s="467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6"/>
      <c r="BB49" s="476"/>
      <c r="BC49" s="476"/>
    </row>
    <row r="50" spans="1:55" s="468" customFormat="1" x14ac:dyDescent="0.3">
      <c r="A50" s="467"/>
      <c r="AL50" s="476"/>
      <c r="AM50" s="476"/>
      <c r="AN50" s="476"/>
      <c r="AO50" s="476"/>
      <c r="AP50" s="476"/>
      <c r="AQ50" s="476"/>
      <c r="AR50" s="476"/>
      <c r="AS50" s="476"/>
      <c r="AT50" s="476"/>
      <c r="AU50" s="476"/>
      <c r="AV50" s="476"/>
      <c r="AW50" s="476"/>
      <c r="AX50" s="476"/>
      <c r="AY50" s="476"/>
      <c r="AZ50" s="476"/>
      <c r="BA50" s="476"/>
      <c r="BB50" s="476"/>
      <c r="BC50" s="476"/>
    </row>
    <row r="51" spans="1:55" s="468" customFormat="1" x14ac:dyDescent="0.3">
      <c r="A51" s="467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</row>
    <row r="52" spans="1:55" s="468" customFormat="1" x14ac:dyDescent="0.3">
      <c r="A52" s="467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</row>
    <row r="53" spans="1:55" s="468" customFormat="1" x14ac:dyDescent="0.3">
      <c r="A53" s="467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</row>
    <row r="54" spans="1:55" s="468" customFormat="1" x14ac:dyDescent="0.3">
      <c r="A54" s="467"/>
      <c r="AL54" s="476"/>
      <c r="AM54" s="476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  <c r="AZ54" s="476"/>
      <c r="BA54" s="476"/>
      <c r="BB54" s="476"/>
      <c r="BC54" s="476"/>
    </row>
    <row r="55" spans="1:55" s="468" customFormat="1" x14ac:dyDescent="0.3">
      <c r="A55" s="467"/>
      <c r="AL55" s="476"/>
      <c r="AM55" s="476"/>
      <c r="AN55" s="476"/>
      <c r="AO55" s="476"/>
      <c r="AP55" s="476"/>
      <c r="AQ55" s="476"/>
      <c r="AR55" s="476"/>
      <c r="AS55" s="476"/>
      <c r="AT55" s="476"/>
      <c r="AU55" s="476"/>
      <c r="AV55" s="476"/>
      <c r="AW55" s="476"/>
      <c r="AX55" s="476"/>
      <c r="AY55" s="476"/>
      <c r="AZ55" s="476"/>
      <c r="BA55" s="476"/>
      <c r="BB55" s="476"/>
      <c r="BC55" s="476"/>
    </row>
    <row r="56" spans="1:55" s="468" customFormat="1" x14ac:dyDescent="0.3">
      <c r="A56" s="467"/>
      <c r="AL56" s="476"/>
      <c r="AM56" s="476"/>
      <c r="AN56" s="476"/>
      <c r="AO56" s="476"/>
      <c r="AP56" s="476"/>
      <c r="AQ56" s="476"/>
      <c r="AR56" s="476"/>
      <c r="AS56" s="476"/>
      <c r="AT56" s="476"/>
      <c r="AU56" s="476"/>
      <c r="AV56" s="476"/>
      <c r="AW56" s="476"/>
      <c r="AX56" s="476"/>
      <c r="AY56" s="476"/>
      <c r="AZ56" s="476"/>
      <c r="BA56" s="476"/>
      <c r="BB56" s="476"/>
      <c r="BC56" s="476"/>
    </row>
    <row r="57" spans="1:55" s="468" customFormat="1" x14ac:dyDescent="0.3">
      <c r="A57" s="467"/>
      <c r="AL57" s="476"/>
      <c r="AM57" s="476"/>
      <c r="AN57" s="476"/>
      <c r="AO57" s="476"/>
      <c r="AP57" s="476"/>
      <c r="AQ57" s="476"/>
      <c r="AR57" s="476"/>
      <c r="AS57" s="476"/>
      <c r="AT57" s="476"/>
      <c r="AU57" s="476"/>
      <c r="AV57" s="476"/>
      <c r="AW57" s="476"/>
      <c r="AX57" s="476"/>
      <c r="AY57" s="476"/>
      <c r="AZ57" s="476"/>
      <c r="BA57" s="476"/>
      <c r="BB57" s="476"/>
      <c r="BC57" s="476"/>
    </row>
    <row r="58" spans="1:55" s="468" customFormat="1" x14ac:dyDescent="0.3">
      <c r="A58" s="467"/>
      <c r="AL58" s="476"/>
      <c r="AM58" s="476"/>
      <c r="AN58" s="476"/>
      <c r="AO58" s="476"/>
      <c r="AP58" s="476"/>
      <c r="AQ58" s="476"/>
      <c r="AR58" s="476"/>
      <c r="AS58" s="476"/>
      <c r="AT58" s="476"/>
      <c r="AU58" s="476"/>
      <c r="AV58" s="476"/>
      <c r="AW58" s="476"/>
      <c r="AX58" s="476"/>
      <c r="AY58" s="476"/>
      <c r="AZ58" s="476"/>
      <c r="BA58" s="476"/>
      <c r="BB58" s="476"/>
      <c r="BC58" s="476"/>
    </row>
    <row r="59" spans="1:55" s="468" customFormat="1" x14ac:dyDescent="0.3">
      <c r="A59" s="467"/>
      <c r="AL59" s="476"/>
      <c r="AM59" s="476"/>
      <c r="AN59" s="476"/>
      <c r="AO59" s="476"/>
      <c r="AP59" s="476"/>
      <c r="AQ59" s="476"/>
      <c r="AR59" s="476"/>
      <c r="AS59" s="476"/>
      <c r="AT59" s="476"/>
      <c r="AU59" s="476"/>
      <c r="AV59" s="476"/>
      <c r="AW59" s="476"/>
      <c r="AX59" s="476"/>
      <c r="AY59" s="476"/>
      <c r="AZ59" s="476"/>
      <c r="BA59" s="476"/>
      <c r="BB59" s="476"/>
      <c r="BC59" s="476"/>
    </row>
    <row r="60" spans="1:55" s="468" customFormat="1" x14ac:dyDescent="0.3">
      <c r="A60" s="467"/>
      <c r="AL60" s="476"/>
      <c r="AM60" s="476"/>
      <c r="AN60" s="476"/>
      <c r="AO60" s="476"/>
      <c r="AP60" s="476"/>
      <c r="AQ60" s="476"/>
      <c r="AR60" s="476"/>
      <c r="AS60" s="476"/>
      <c r="AT60" s="476"/>
      <c r="AU60" s="476"/>
      <c r="AV60" s="476"/>
      <c r="AW60" s="476"/>
      <c r="AX60" s="476"/>
      <c r="AY60" s="476"/>
      <c r="AZ60" s="476"/>
      <c r="BA60" s="476"/>
      <c r="BB60" s="476"/>
      <c r="BC60" s="476"/>
    </row>
    <row r="61" spans="1:55" s="468" customFormat="1" x14ac:dyDescent="0.3">
      <c r="A61" s="467"/>
      <c r="AL61" s="476"/>
      <c r="AM61" s="476"/>
      <c r="AN61" s="476"/>
      <c r="AO61" s="476"/>
      <c r="AP61" s="476"/>
      <c r="AQ61" s="476"/>
      <c r="AR61" s="476"/>
      <c r="AS61" s="476"/>
      <c r="AT61" s="476"/>
      <c r="AU61" s="476"/>
      <c r="AV61" s="476"/>
      <c r="AW61" s="476"/>
      <c r="AX61" s="476"/>
      <c r="AY61" s="476"/>
      <c r="AZ61" s="476"/>
      <c r="BA61" s="476"/>
      <c r="BB61" s="476"/>
      <c r="BC61" s="476"/>
    </row>
    <row r="62" spans="1:55" s="468" customFormat="1" x14ac:dyDescent="0.3">
      <c r="A62" s="467"/>
      <c r="AL62" s="476"/>
      <c r="AM62" s="476"/>
      <c r="AN62" s="476"/>
      <c r="AO62" s="476"/>
      <c r="AP62" s="476"/>
      <c r="AQ62" s="476"/>
      <c r="AR62" s="476"/>
      <c r="AS62" s="476"/>
      <c r="AT62" s="476"/>
      <c r="AU62" s="476"/>
      <c r="AV62" s="476"/>
      <c r="AW62" s="476"/>
      <c r="AX62" s="476"/>
      <c r="AY62" s="476"/>
      <c r="AZ62" s="476"/>
      <c r="BA62" s="476"/>
      <c r="BB62" s="476"/>
      <c r="BC62" s="476"/>
    </row>
    <row r="63" spans="1:55" s="468" customFormat="1" x14ac:dyDescent="0.3">
      <c r="A63" s="467"/>
      <c r="AL63" s="476"/>
      <c r="AM63" s="476"/>
      <c r="AN63" s="476"/>
      <c r="AO63" s="476"/>
      <c r="AP63" s="476"/>
      <c r="AQ63" s="476"/>
      <c r="AR63" s="476"/>
      <c r="AS63" s="476"/>
      <c r="AT63" s="476"/>
      <c r="AU63" s="476"/>
      <c r="AV63" s="476"/>
      <c r="AW63" s="476"/>
      <c r="AX63" s="476"/>
      <c r="AY63" s="476"/>
      <c r="AZ63" s="476"/>
      <c r="BA63" s="476"/>
      <c r="BB63" s="476"/>
      <c r="BC63" s="476"/>
    </row>
    <row r="64" spans="1:55" s="468" customFormat="1" x14ac:dyDescent="0.3">
      <c r="A64" s="467"/>
      <c r="AL64" s="476"/>
      <c r="AM64" s="476"/>
      <c r="AN64" s="476"/>
      <c r="AO64" s="476"/>
      <c r="AP64" s="476"/>
      <c r="AQ64" s="476"/>
      <c r="AR64" s="476"/>
      <c r="AS64" s="476"/>
      <c r="AT64" s="476"/>
      <c r="AU64" s="476"/>
      <c r="AV64" s="476"/>
      <c r="AW64" s="476"/>
      <c r="AX64" s="476"/>
      <c r="AY64" s="476"/>
      <c r="AZ64" s="476"/>
      <c r="BA64" s="476"/>
      <c r="BB64" s="476"/>
      <c r="BC64" s="476"/>
    </row>
    <row r="65" spans="1:55" s="468" customFormat="1" x14ac:dyDescent="0.3">
      <c r="A65" s="467"/>
      <c r="AL65" s="476"/>
      <c r="AM65" s="476"/>
      <c r="AN65" s="476"/>
      <c r="AO65" s="476"/>
      <c r="AP65" s="476"/>
      <c r="AQ65" s="476"/>
      <c r="AR65" s="476"/>
      <c r="AS65" s="476"/>
      <c r="AT65" s="476"/>
      <c r="AU65" s="476"/>
      <c r="AV65" s="476"/>
      <c r="AW65" s="476"/>
      <c r="AX65" s="476"/>
      <c r="AY65" s="476"/>
      <c r="AZ65" s="476"/>
      <c r="BA65" s="476"/>
      <c r="BB65" s="476"/>
      <c r="BC65" s="476"/>
    </row>
    <row r="66" spans="1:55" s="468" customFormat="1" x14ac:dyDescent="0.3">
      <c r="A66" s="467"/>
      <c r="AL66" s="476"/>
      <c r="AM66" s="476"/>
      <c r="AN66" s="476"/>
      <c r="AO66" s="476"/>
      <c r="AP66" s="476"/>
      <c r="AQ66" s="476"/>
      <c r="AR66" s="476"/>
      <c r="AS66" s="476"/>
      <c r="AT66" s="476"/>
      <c r="AU66" s="476"/>
      <c r="AV66" s="476"/>
      <c r="AW66" s="476"/>
      <c r="AX66" s="476"/>
      <c r="AY66" s="476"/>
      <c r="AZ66" s="476"/>
      <c r="BA66" s="476"/>
      <c r="BB66" s="476"/>
      <c r="BC66" s="476"/>
    </row>
    <row r="67" spans="1:55" s="468" customFormat="1" x14ac:dyDescent="0.3">
      <c r="A67" s="467"/>
      <c r="AL67" s="476"/>
      <c r="AM67" s="476"/>
      <c r="AN67" s="476"/>
      <c r="AO67" s="476"/>
      <c r="AP67" s="476"/>
      <c r="AQ67" s="476"/>
      <c r="AR67" s="476"/>
      <c r="AS67" s="476"/>
      <c r="AT67" s="476"/>
      <c r="AU67" s="476"/>
      <c r="AV67" s="476"/>
      <c r="AW67" s="476"/>
      <c r="AX67" s="476"/>
      <c r="AY67" s="476"/>
      <c r="AZ67" s="476"/>
      <c r="BA67" s="476"/>
      <c r="BB67" s="476"/>
      <c r="BC67" s="476"/>
    </row>
    <row r="68" spans="1:55" s="468" customFormat="1" x14ac:dyDescent="0.3">
      <c r="A68" s="467"/>
      <c r="AL68" s="476"/>
      <c r="AM68" s="476"/>
      <c r="AN68" s="476"/>
      <c r="AO68" s="476"/>
      <c r="AP68" s="476"/>
      <c r="AQ68" s="476"/>
      <c r="AR68" s="476"/>
      <c r="AS68" s="476"/>
      <c r="AT68" s="476"/>
      <c r="AU68" s="476"/>
      <c r="AV68" s="476"/>
      <c r="AW68" s="476"/>
      <c r="AX68" s="476"/>
      <c r="AY68" s="476"/>
      <c r="AZ68" s="476"/>
      <c r="BA68" s="476"/>
      <c r="BB68" s="476"/>
      <c r="BC68" s="476"/>
    </row>
    <row r="69" spans="1:55" s="468" customFormat="1" x14ac:dyDescent="0.3">
      <c r="A69" s="467"/>
      <c r="AL69" s="476"/>
      <c r="AM69" s="476"/>
      <c r="AN69" s="476"/>
      <c r="AO69" s="476"/>
      <c r="AP69" s="476"/>
      <c r="AQ69" s="476"/>
      <c r="AR69" s="476"/>
      <c r="AS69" s="476"/>
      <c r="AT69" s="476"/>
      <c r="AU69" s="476"/>
      <c r="AV69" s="476"/>
      <c r="AW69" s="476"/>
      <c r="AX69" s="476"/>
      <c r="AY69" s="476"/>
      <c r="AZ69" s="476"/>
      <c r="BA69" s="476"/>
      <c r="BB69" s="476"/>
      <c r="BC69" s="476"/>
    </row>
    <row r="70" spans="1:55" s="468" customFormat="1" x14ac:dyDescent="0.3">
      <c r="A70" s="467"/>
      <c r="AL70" s="476"/>
      <c r="AM70" s="476"/>
      <c r="AN70" s="476"/>
      <c r="AO70" s="476"/>
      <c r="AP70" s="476"/>
      <c r="AQ70" s="476"/>
      <c r="AR70" s="476"/>
      <c r="AS70" s="476"/>
      <c r="AT70" s="476"/>
      <c r="AU70" s="476"/>
      <c r="AV70" s="476"/>
      <c r="AW70" s="476"/>
      <c r="AX70" s="476"/>
      <c r="AY70" s="476"/>
      <c r="AZ70" s="476"/>
      <c r="BA70" s="476"/>
      <c r="BB70" s="476"/>
      <c r="BC70" s="476"/>
    </row>
    <row r="71" spans="1:55" s="468" customFormat="1" x14ac:dyDescent="0.3">
      <c r="A71" s="467"/>
      <c r="AL71" s="476"/>
      <c r="AM71" s="476"/>
      <c r="AN71" s="476"/>
      <c r="AO71" s="476"/>
      <c r="AP71" s="476"/>
      <c r="AQ71" s="476"/>
      <c r="AR71" s="476"/>
      <c r="AS71" s="476"/>
      <c r="AT71" s="476"/>
      <c r="AU71" s="476"/>
      <c r="AV71" s="476"/>
      <c r="AW71" s="476"/>
      <c r="AX71" s="476"/>
      <c r="AY71" s="476"/>
      <c r="AZ71" s="476"/>
      <c r="BA71" s="476"/>
      <c r="BB71" s="476"/>
      <c r="BC71" s="476"/>
    </row>
    <row r="72" spans="1:55" s="468" customFormat="1" x14ac:dyDescent="0.3">
      <c r="A72" s="467"/>
      <c r="AL72" s="476"/>
      <c r="AM72" s="476"/>
      <c r="AN72" s="476"/>
      <c r="AO72" s="476"/>
      <c r="AP72" s="476"/>
      <c r="AQ72" s="476"/>
      <c r="AR72" s="476"/>
      <c r="AS72" s="476"/>
      <c r="AT72" s="476"/>
      <c r="AU72" s="476"/>
      <c r="AV72" s="476"/>
      <c r="AW72" s="476"/>
      <c r="AX72" s="476"/>
      <c r="AY72" s="476"/>
      <c r="AZ72" s="476"/>
      <c r="BA72" s="476"/>
      <c r="BB72" s="476"/>
      <c r="BC72" s="476"/>
    </row>
    <row r="73" spans="1:55" s="468" customFormat="1" x14ac:dyDescent="0.3">
      <c r="A73" s="467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</row>
    <row r="74" spans="1:55" s="468" customFormat="1" x14ac:dyDescent="0.3">
      <c r="A74" s="467"/>
      <c r="AL74" s="476"/>
      <c r="AM74" s="476"/>
      <c r="AN74" s="476"/>
      <c r="AO74" s="476"/>
      <c r="AP74" s="476"/>
      <c r="AQ74" s="476"/>
      <c r="AR74" s="476"/>
      <c r="AS74" s="476"/>
      <c r="AT74" s="476"/>
      <c r="AU74" s="476"/>
      <c r="AV74" s="476"/>
      <c r="AW74" s="476"/>
      <c r="AX74" s="476"/>
      <c r="AY74" s="476"/>
      <c r="AZ74" s="476"/>
      <c r="BA74" s="476"/>
      <c r="BB74" s="476"/>
      <c r="BC74" s="476"/>
    </row>
    <row r="75" spans="1:55" s="468" customFormat="1" x14ac:dyDescent="0.3">
      <c r="A75" s="467"/>
      <c r="AL75" s="476"/>
      <c r="AM75" s="476"/>
      <c r="AN75" s="476"/>
      <c r="AO75" s="476"/>
      <c r="AP75" s="476"/>
      <c r="AQ75" s="476"/>
      <c r="AR75" s="476"/>
      <c r="AS75" s="476"/>
      <c r="AT75" s="476"/>
      <c r="AU75" s="476"/>
      <c r="AV75" s="476"/>
      <c r="AW75" s="476"/>
      <c r="AX75" s="476"/>
      <c r="AY75" s="476"/>
      <c r="AZ75" s="476"/>
      <c r="BA75" s="476"/>
      <c r="BB75" s="476"/>
      <c r="BC75" s="476"/>
    </row>
    <row r="76" spans="1:55" s="468" customFormat="1" x14ac:dyDescent="0.3">
      <c r="A76" s="467"/>
      <c r="AL76" s="476"/>
      <c r="AM76" s="476"/>
      <c r="AN76" s="476"/>
      <c r="AO76" s="476"/>
      <c r="AP76" s="476"/>
      <c r="AQ76" s="476"/>
      <c r="AR76" s="476"/>
      <c r="AS76" s="476"/>
      <c r="AT76" s="476"/>
      <c r="AU76" s="476"/>
      <c r="AV76" s="476"/>
      <c r="AW76" s="476"/>
      <c r="AX76" s="476"/>
      <c r="AY76" s="476"/>
      <c r="AZ76" s="476"/>
      <c r="BA76" s="476"/>
      <c r="BB76" s="476"/>
      <c r="BC76" s="476"/>
    </row>
    <row r="77" spans="1:55" s="468" customFormat="1" x14ac:dyDescent="0.3">
      <c r="A77" s="467"/>
      <c r="AL77" s="476"/>
      <c r="AM77" s="476"/>
      <c r="AN77" s="476"/>
      <c r="AO77" s="476"/>
      <c r="AP77" s="476"/>
      <c r="AQ77" s="476"/>
      <c r="AR77" s="476"/>
      <c r="AS77" s="476"/>
      <c r="AT77" s="476"/>
      <c r="AU77" s="476"/>
      <c r="AV77" s="476"/>
      <c r="AW77" s="476"/>
      <c r="AX77" s="476"/>
      <c r="AY77" s="476"/>
      <c r="AZ77" s="476"/>
      <c r="BA77" s="476"/>
      <c r="BB77" s="476"/>
      <c r="BC77" s="476"/>
    </row>
    <row r="78" spans="1:55" s="468" customFormat="1" x14ac:dyDescent="0.3">
      <c r="A78" s="467"/>
      <c r="AL78" s="476"/>
      <c r="AM78" s="476"/>
      <c r="AN78" s="476"/>
      <c r="AO78" s="476"/>
      <c r="AP78" s="476"/>
      <c r="AQ78" s="476"/>
      <c r="AR78" s="476"/>
      <c r="AS78" s="476"/>
      <c r="AT78" s="476"/>
      <c r="AU78" s="476"/>
      <c r="AV78" s="476"/>
      <c r="AW78" s="476"/>
      <c r="AX78" s="476"/>
      <c r="AY78" s="476"/>
      <c r="AZ78" s="476"/>
      <c r="BA78" s="476"/>
      <c r="BB78" s="476"/>
      <c r="BC78" s="476"/>
    </row>
    <row r="79" spans="1:55" s="468" customFormat="1" x14ac:dyDescent="0.3">
      <c r="A79" s="467"/>
      <c r="AL79" s="476"/>
      <c r="AM79" s="476"/>
      <c r="AN79" s="476"/>
      <c r="AO79" s="476"/>
      <c r="AP79" s="476"/>
      <c r="AQ79" s="476"/>
      <c r="AR79" s="476"/>
      <c r="AS79" s="476"/>
      <c r="AT79" s="476"/>
      <c r="AU79" s="476"/>
      <c r="AV79" s="476"/>
      <c r="AW79" s="476"/>
      <c r="AX79" s="476"/>
      <c r="AY79" s="476"/>
      <c r="AZ79" s="476"/>
      <c r="BA79" s="476"/>
      <c r="BB79" s="476"/>
      <c r="BC79" s="476"/>
    </row>
    <row r="80" spans="1:55" s="468" customFormat="1" x14ac:dyDescent="0.3">
      <c r="A80" s="467"/>
      <c r="AL80" s="476"/>
      <c r="AM80" s="476"/>
      <c r="AN80" s="476"/>
      <c r="AO80" s="476"/>
      <c r="AP80" s="476"/>
      <c r="AQ80" s="476"/>
      <c r="AR80" s="476"/>
      <c r="AS80" s="476"/>
      <c r="AT80" s="476"/>
      <c r="AU80" s="476"/>
      <c r="AV80" s="476"/>
      <c r="AW80" s="476"/>
      <c r="AX80" s="476"/>
      <c r="AY80" s="476"/>
      <c r="AZ80" s="476"/>
      <c r="BA80" s="476"/>
      <c r="BB80" s="476"/>
      <c r="BC80" s="476"/>
    </row>
    <row r="81" spans="1:55" s="468" customFormat="1" x14ac:dyDescent="0.3">
      <c r="A81" s="467"/>
      <c r="AL81" s="476"/>
      <c r="AM81" s="476"/>
      <c r="AN81" s="476"/>
      <c r="AO81" s="476"/>
      <c r="AP81" s="476"/>
      <c r="AQ81" s="476"/>
      <c r="AR81" s="476"/>
      <c r="AS81" s="476"/>
      <c r="AT81" s="476"/>
      <c r="AU81" s="476"/>
      <c r="AV81" s="476"/>
      <c r="AW81" s="476"/>
      <c r="AX81" s="476"/>
      <c r="AY81" s="476"/>
      <c r="AZ81" s="476"/>
      <c r="BA81" s="476"/>
      <c r="BB81" s="476"/>
      <c r="BC81" s="476"/>
    </row>
    <row r="82" spans="1:55" s="468" customFormat="1" x14ac:dyDescent="0.3">
      <c r="A82" s="467"/>
      <c r="AL82" s="476"/>
      <c r="AM82" s="476"/>
      <c r="AN82" s="476"/>
      <c r="AO82" s="476"/>
      <c r="AP82" s="476"/>
      <c r="AQ82" s="476"/>
      <c r="AR82" s="476"/>
      <c r="AS82" s="476"/>
      <c r="AT82" s="476"/>
      <c r="AU82" s="476"/>
      <c r="AV82" s="476"/>
      <c r="AW82" s="476"/>
      <c r="AX82" s="476"/>
      <c r="AY82" s="476"/>
      <c r="AZ82" s="476"/>
      <c r="BA82" s="476"/>
      <c r="BB82" s="476"/>
      <c r="BC82" s="476"/>
    </row>
    <row r="83" spans="1:55" s="468" customFormat="1" x14ac:dyDescent="0.3">
      <c r="A83" s="467"/>
      <c r="AL83" s="476"/>
      <c r="AM83" s="476"/>
      <c r="AN83" s="476"/>
      <c r="AO83" s="476"/>
      <c r="AP83" s="476"/>
      <c r="AQ83" s="476"/>
      <c r="AR83" s="476"/>
      <c r="AS83" s="476"/>
      <c r="AT83" s="476"/>
      <c r="AU83" s="476"/>
      <c r="AV83" s="476"/>
      <c r="AW83" s="476"/>
      <c r="AX83" s="476"/>
      <c r="AY83" s="476"/>
      <c r="AZ83" s="476"/>
      <c r="BA83" s="476"/>
      <c r="BB83" s="476"/>
      <c r="BC83" s="476"/>
    </row>
    <row r="84" spans="1:55" s="468" customFormat="1" x14ac:dyDescent="0.3">
      <c r="A84" s="467"/>
      <c r="AL84" s="476"/>
      <c r="AM84" s="476"/>
      <c r="AN84" s="476"/>
      <c r="AO84" s="476"/>
      <c r="AP84" s="476"/>
      <c r="AQ84" s="476"/>
      <c r="AR84" s="476"/>
      <c r="AS84" s="476"/>
      <c r="AT84" s="476"/>
      <c r="AU84" s="476"/>
      <c r="AV84" s="476"/>
      <c r="AW84" s="476"/>
      <c r="AX84" s="476"/>
      <c r="AY84" s="476"/>
      <c r="AZ84" s="476"/>
      <c r="BA84" s="476"/>
      <c r="BB84" s="476"/>
      <c r="BC84" s="476"/>
    </row>
    <row r="85" spans="1:55" s="468" customFormat="1" x14ac:dyDescent="0.3">
      <c r="A85" s="467"/>
      <c r="AL85" s="476"/>
      <c r="AM85" s="476"/>
      <c r="AN85" s="476"/>
      <c r="AO85" s="476"/>
      <c r="AP85" s="476"/>
      <c r="AQ85" s="476"/>
      <c r="AR85" s="476"/>
      <c r="AS85" s="476"/>
      <c r="AT85" s="476"/>
      <c r="AU85" s="476"/>
      <c r="AV85" s="476"/>
      <c r="AW85" s="476"/>
      <c r="AX85" s="476"/>
      <c r="AY85" s="476"/>
      <c r="AZ85" s="476"/>
      <c r="BA85" s="476"/>
      <c r="BB85" s="476"/>
      <c r="BC85" s="476"/>
    </row>
    <row r="86" spans="1:55" s="468" customFormat="1" x14ac:dyDescent="0.3">
      <c r="A86" s="467"/>
      <c r="AL86" s="476"/>
      <c r="AM86" s="476"/>
      <c r="AN86" s="476"/>
      <c r="AO86" s="476"/>
      <c r="AP86" s="476"/>
      <c r="AQ86" s="476"/>
      <c r="AR86" s="476"/>
      <c r="AS86" s="476"/>
      <c r="AT86" s="476"/>
      <c r="AU86" s="476"/>
      <c r="AV86" s="476"/>
      <c r="AW86" s="476"/>
      <c r="AX86" s="476"/>
      <c r="AY86" s="476"/>
      <c r="AZ86" s="476"/>
      <c r="BA86" s="476"/>
      <c r="BB86" s="476"/>
      <c r="BC86" s="476"/>
    </row>
    <row r="87" spans="1:55" s="468" customFormat="1" x14ac:dyDescent="0.3">
      <c r="A87" s="467"/>
      <c r="AL87" s="476"/>
      <c r="AM87" s="476"/>
      <c r="AN87" s="476"/>
      <c r="AO87" s="476"/>
      <c r="AP87" s="476"/>
      <c r="AQ87" s="476"/>
      <c r="AR87" s="476"/>
      <c r="AS87" s="476"/>
      <c r="AT87" s="476"/>
      <c r="AU87" s="476"/>
      <c r="AV87" s="476"/>
      <c r="AW87" s="476"/>
      <c r="AX87" s="476"/>
      <c r="AY87" s="476"/>
      <c r="AZ87" s="476"/>
      <c r="BA87" s="476"/>
      <c r="BB87" s="476"/>
      <c r="BC87" s="476"/>
    </row>
    <row r="88" spans="1:55" s="468" customFormat="1" x14ac:dyDescent="0.3">
      <c r="A88" s="467"/>
      <c r="AL88" s="476"/>
      <c r="AM88" s="476"/>
      <c r="AN88" s="476"/>
      <c r="AO88" s="476"/>
      <c r="AP88" s="476"/>
      <c r="AQ88" s="476"/>
      <c r="AR88" s="476"/>
      <c r="AS88" s="476"/>
      <c r="AT88" s="476"/>
      <c r="AU88" s="476"/>
      <c r="AV88" s="476"/>
      <c r="AW88" s="476"/>
      <c r="AX88" s="476"/>
      <c r="AY88" s="476"/>
      <c r="AZ88" s="476"/>
      <c r="BA88" s="476"/>
      <c r="BB88" s="476"/>
      <c r="BC88" s="476"/>
    </row>
    <row r="89" spans="1:55" s="468" customFormat="1" x14ac:dyDescent="0.3">
      <c r="A89" s="467"/>
      <c r="AL89" s="476"/>
      <c r="AM89" s="476"/>
      <c r="AN89" s="476"/>
      <c r="AO89" s="476"/>
      <c r="AP89" s="476"/>
      <c r="AQ89" s="476"/>
      <c r="AR89" s="476"/>
      <c r="AS89" s="476"/>
      <c r="AT89" s="476"/>
      <c r="AU89" s="476"/>
      <c r="AV89" s="476"/>
      <c r="AW89" s="476"/>
      <c r="AX89" s="476"/>
      <c r="AY89" s="476"/>
      <c r="AZ89" s="476"/>
      <c r="BA89" s="476"/>
      <c r="BB89" s="476"/>
      <c r="BC89" s="476"/>
    </row>
    <row r="90" spans="1:55" s="468" customFormat="1" x14ac:dyDescent="0.3">
      <c r="A90" s="467"/>
      <c r="AL90" s="476"/>
      <c r="AM90" s="476"/>
      <c r="AN90" s="476"/>
      <c r="AO90" s="476"/>
      <c r="AP90" s="476"/>
      <c r="AQ90" s="476"/>
      <c r="AR90" s="476"/>
      <c r="AS90" s="476"/>
      <c r="AT90" s="476"/>
      <c r="AU90" s="476"/>
      <c r="AV90" s="476"/>
      <c r="AW90" s="476"/>
      <c r="AX90" s="476"/>
      <c r="AY90" s="476"/>
      <c r="AZ90" s="476"/>
      <c r="BA90" s="476"/>
      <c r="BB90" s="476"/>
      <c r="BC90" s="476"/>
    </row>
    <row r="91" spans="1:55" s="468" customFormat="1" x14ac:dyDescent="0.3">
      <c r="A91" s="467"/>
      <c r="AL91" s="476"/>
      <c r="AM91" s="476"/>
      <c r="AN91" s="476"/>
      <c r="AO91" s="476"/>
      <c r="AP91" s="476"/>
      <c r="AQ91" s="476"/>
      <c r="AR91" s="476"/>
      <c r="AS91" s="476"/>
      <c r="AT91" s="476"/>
      <c r="AU91" s="476"/>
      <c r="AV91" s="476"/>
      <c r="AW91" s="476"/>
      <c r="AX91" s="476"/>
      <c r="AY91" s="476"/>
      <c r="AZ91" s="476"/>
      <c r="BA91" s="476"/>
      <c r="BB91" s="476"/>
      <c r="BC91" s="476"/>
    </row>
    <row r="92" spans="1:55" s="468" customFormat="1" x14ac:dyDescent="0.3">
      <c r="A92" s="467"/>
      <c r="AL92" s="476"/>
      <c r="AM92" s="476"/>
      <c r="AN92" s="476"/>
      <c r="AO92" s="476"/>
      <c r="AP92" s="476"/>
      <c r="AQ92" s="476"/>
      <c r="AR92" s="476"/>
      <c r="AS92" s="476"/>
      <c r="AT92" s="476"/>
      <c r="AU92" s="476"/>
      <c r="AV92" s="476"/>
      <c r="AW92" s="476"/>
      <c r="AX92" s="476"/>
      <c r="AY92" s="476"/>
      <c r="AZ92" s="476"/>
      <c r="BA92" s="476"/>
      <c r="BB92" s="476"/>
      <c r="BC92" s="476"/>
    </row>
    <row r="93" spans="1:55" s="468" customFormat="1" x14ac:dyDescent="0.3">
      <c r="A93" s="467"/>
      <c r="AL93" s="476"/>
      <c r="AM93" s="476"/>
      <c r="AN93" s="476"/>
      <c r="AO93" s="476"/>
      <c r="AP93" s="476"/>
      <c r="AQ93" s="476"/>
      <c r="AR93" s="476"/>
      <c r="AS93" s="476"/>
      <c r="AT93" s="476"/>
      <c r="AU93" s="476"/>
      <c r="AV93" s="476"/>
      <c r="AW93" s="476"/>
      <c r="AX93" s="476"/>
      <c r="AY93" s="476"/>
      <c r="AZ93" s="476"/>
      <c r="BA93" s="476"/>
      <c r="BB93" s="476"/>
      <c r="BC93" s="476"/>
    </row>
    <row r="94" spans="1:55" s="468" customFormat="1" x14ac:dyDescent="0.3">
      <c r="A94" s="467"/>
      <c r="AL94" s="476"/>
      <c r="AM94" s="476"/>
      <c r="AN94" s="476"/>
      <c r="AO94" s="476"/>
      <c r="AP94" s="476"/>
      <c r="AQ94" s="476"/>
      <c r="AR94" s="476"/>
      <c r="AS94" s="476"/>
      <c r="AT94" s="476"/>
      <c r="AU94" s="476"/>
      <c r="AV94" s="476"/>
      <c r="AW94" s="476"/>
      <c r="AX94" s="476"/>
      <c r="AY94" s="476"/>
      <c r="AZ94" s="476"/>
      <c r="BA94" s="476"/>
      <c r="BB94" s="476"/>
      <c r="BC94" s="476"/>
    </row>
    <row r="95" spans="1:55" s="468" customFormat="1" x14ac:dyDescent="0.3">
      <c r="A95" s="467"/>
      <c r="AL95" s="476"/>
      <c r="AM95" s="476"/>
      <c r="AN95" s="476"/>
      <c r="AO95" s="476"/>
      <c r="AP95" s="476"/>
      <c r="AQ95" s="476"/>
      <c r="AR95" s="476"/>
      <c r="AS95" s="476"/>
      <c r="AT95" s="476"/>
      <c r="AU95" s="476"/>
      <c r="AV95" s="476"/>
      <c r="AW95" s="476"/>
      <c r="AX95" s="476"/>
      <c r="AY95" s="476"/>
      <c r="AZ95" s="476"/>
      <c r="BA95" s="476"/>
      <c r="BB95" s="476"/>
      <c r="BC95" s="476"/>
    </row>
    <row r="96" spans="1:55" s="468" customFormat="1" x14ac:dyDescent="0.3">
      <c r="A96" s="467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</row>
    <row r="97" spans="1:55" s="468" customFormat="1" x14ac:dyDescent="0.3">
      <c r="A97" s="467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  <c r="AZ97" s="476"/>
      <c r="BA97" s="476"/>
      <c r="BB97" s="476"/>
      <c r="BC97" s="476"/>
    </row>
    <row r="98" spans="1:55" s="468" customFormat="1" x14ac:dyDescent="0.3">
      <c r="A98" s="467"/>
      <c r="AL98" s="476"/>
      <c r="AM98" s="476"/>
      <c r="AN98" s="476"/>
      <c r="AO98" s="476"/>
      <c r="AP98" s="476"/>
      <c r="AQ98" s="476"/>
      <c r="AR98" s="476"/>
      <c r="AS98" s="476"/>
      <c r="AT98" s="476"/>
      <c r="AU98" s="476"/>
      <c r="AV98" s="476"/>
      <c r="AW98" s="476"/>
      <c r="AX98" s="476"/>
      <c r="AY98" s="476"/>
      <c r="AZ98" s="476"/>
      <c r="BA98" s="476"/>
      <c r="BB98" s="476"/>
      <c r="BC98" s="476"/>
    </row>
    <row r="99" spans="1:55" s="468" customFormat="1" x14ac:dyDescent="0.3">
      <c r="A99" s="467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  <c r="AZ99" s="476"/>
      <c r="BA99" s="476"/>
      <c r="BB99" s="476"/>
      <c r="BC99" s="476"/>
    </row>
    <row r="100" spans="1:55" s="468" customFormat="1" x14ac:dyDescent="0.3">
      <c r="A100" s="467"/>
      <c r="AL100" s="476"/>
      <c r="AM100" s="476"/>
      <c r="AN100" s="476"/>
      <c r="AO100" s="476"/>
      <c r="AP100" s="476"/>
      <c r="AQ100" s="476"/>
      <c r="AR100" s="476"/>
      <c r="AS100" s="476"/>
      <c r="AT100" s="476"/>
      <c r="AU100" s="476"/>
      <c r="AV100" s="476"/>
      <c r="AW100" s="476"/>
      <c r="AX100" s="476"/>
      <c r="AY100" s="476"/>
      <c r="AZ100" s="476"/>
      <c r="BA100" s="476"/>
      <c r="BB100" s="476"/>
      <c r="BC100" s="476"/>
    </row>
    <row r="101" spans="1:55" s="468" customFormat="1" x14ac:dyDescent="0.3">
      <c r="A101" s="467"/>
      <c r="AL101" s="476"/>
      <c r="AM101" s="476"/>
      <c r="AN101" s="476"/>
      <c r="AO101" s="476"/>
      <c r="AP101" s="476"/>
      <c r="AQ101" s="476"/>
      <c r="AR101" s="476"/>
      <c r="AS101" s="476"/>
      <c r="AT101" s="476"/>
      <c r="AU101" s="476"/>
      <c r="AV101" s="476"/>
      <c r="AW101" s="476"/>
      <c r="AX101" s="476"/>
      <c r="AY101" s="476"/>
      <c r="AZ101" s="476"/>
      <c r="BA101" s="476"/>
      <c r="BB101" s="476"/>
      <c r="BC101" s="476"/>
    </row>
    <row r="102" spans="1:55" s="468" customFormat="1" x14ac:dyDescent="0.3">
      <c r="A102" s="467"/>
      <c r="AL102" s="476"/>
      <c r="AM102" s="476"/>
      <c r="AN102" s="476"/>
      <c r="AO102" s="476"/>
      <c r="AP102" s="476"/>
      <c r="AQ102" s="476"/>
      <c r="AR102" s="476"/>
      <c r="AS102" s="476"/>
      <c r="AT102" s="476"/>
      <c r="AU102" s="476"/>
      <c r="AV102" s="476"/>
      <c r="AW102" s="476"/>
      <c r="AX102" s="476"/>
      <c r="AY102" s="476"/>
      <c r="AZ102" s="476"/>
      <c r="BA102" s="476"/>
      <c r="BB102" s="476"/>
      <c r="BC102" s="476"/>
    </row>
    <row r="103" spans="1:55" s="468" customFormat="1" x14ac:dyDescent="0.3">
      <c r="A103" s="467"/>
      <c r="AL103" s="476"/>
      <c r="AM103" s="476"/>
      <c r="AN103" s="476"/>
      <c r="AO103" s="476"/>
      <c r="AP103" s="476"/>
      <c r="AQ103" s="476"/>
      <c r="AR103" s="476"/>
      <c r="AS103" s="476"/>
      <c r="AT103" s="476"/>
      <c r="AU103" s="476"/>
      <c r="AV103" s="476"/>
      <c r="AW103" s="476"/>
      <c r="AX103" s="476"/>
      <c r="AY103" s="476"/>
      <c r="AZ103" s="476"/>
      <c r="BA103" s="476"/>
      <c r="BB103" s="476"/>
      <c r="BC103" s="476"/>
    </row>
    <row r="104" spans="1:55" s="468" customFormat="1" x14ac:dyDescent="0.3">
      <c r="A104" s="467"/>
      <c r="AL104" s="476"/>
      <c r="AM104" s="476"/>
      <c r="AN104" s="476"/>
      <c r="AO104" s="476"/>
      <c r="AP104" s="476"/>
      <c r="AQ104" s="476"/>
      <c r="AR104" s="476"/>
      <c r="AS104" s="476"/>
      <c r="AT104" s="476"/>
      <c r="AU104" s="476"/>
      <c r="AV104" s="476"/>
      <c r="AW104" s="476"/>
      <c r="AX104" s="476"/>
      <c r="AY104" s="476"/>
      <c r="AZ104" s="476"/>
      <c r="BA104" s="476"/>
      <c r="BB104" s="476"/>
      <c r="BC104" s="476"/>
    </row>
    <row r="105" spans="1:55" s="468" customFormat="1" x14ac:dyDescent="0.3">
      <c r="A105" s="467"/>
      <c r="AL105" s="476"/>
      <c r="AM105" s="476"/>
      <c r="AN105" s="476"/>
      <c r="AO105" s="476"/>
      <c r="AP105" s="476"/>
      <c r="AQ105" s="476"/>
      <c r="AR105" s="476"/>
      <c r="AS105" s="476"/>
      <c r="AT105" s="476"/>
      <c r="AU105" s="476"/>
      <c r="AV105" s="476"/>
      <c r="AW105" s="476"/>
      <c r="AX105" s="476"/>
      <c r="AY105" s="476"/>
      <c r="AZ105" s="476"/>
      <c r="BA105" s="476"/>
      <c r="BB105" s="476"/>
      <c r="BC105" s="476"/>
    </row>
    <row r="106" spans="1:55" s="468" customFormat="1" x14ac:dyDescent="0.3">
      <c r="A106" s="467"/>
      <c r="AL106" s="476"/>
      <c r="AM106" s="476"/>
      <c r="AN106" s="476"/>
      <c r="AO106" s="476"/>
      <c r="AP106" s="476"/>
      <c r="AQ106" s="476"/>
      <c r="AR106" s="476"/>
      <c r="AS106" s="476"/>
      <c r="AT106" s="476"/>
      <c r="AU106" s="476"/>
      <c r="AV106" s="476"/>
      <c r="AW106" s="476"/>
      <c r="AX106" s="476"/>
      <c r="AY106" s="476"/>
      <c r="AZ106" s="476"/>
      <c r="BA106" s="476"/>
      <c r="BB106" s="476"/>
      <c r="BC106" s="476"/>
    </row>
    <row r="107" spans="1:55" s="468" customFormat="1" x14ac:dyDescent="0.3">
      <c r="A107" s="467"/>
      <c r="AL107" s="476"/>
      <c r="AM107" s="476"/>
      <c r="AN107" s="476"/>
      <c r="AO107" s="476"/>
      <c r="AP107" s="476"/>
      <c r="AQ107" s="476"/>
      <c r="AR107" s="476"/>
      <c r="AS107" s="476"/>
      <c r="AT107" s="476"/>
      <c r="AU107" s="476"/>
      <c r="AV107" s="476"/>
      <c r="AW107" s="476"/>
      <c r="AX107" s="476"/>
      <c r="AY107" s="476"/>
      <c r="AZ107" s="476"/>
      <c r="BA107" s="476"/>
      <c r="BB107" s="476"/>
      <c r="BC107" s="476"/>
    </row>
    <row r="108" spans="1:55" s="468" customFormat="1" x14ac:dyDescent="0.3">
      <c r="A108" s="467"/>
      <c r="AL108" s="476"/>
      <c r="AM108" s="476"/>
      <c r="AN108" s="476"/>
      <c r="AO108" s="476"/>
      <c r="AP108" s="476"/>
      <c r="AQ108" s="476"/>
      <c r="AR108" s="476"/>
      <c r="AS108" s="476"/>
      <c r="AT108" s="476"/>
      <c r="AU108" s="476"/>
      <c r="AV108" s="476"/>
      <c r="AW108" s="476"/>
      <c r="AX108" s="476"/>
      <c r="AY108" s="476"/>
      <c r="AZ108" s="476"/>
      <c r="BA108" s="476"/>
      <c r="BB108" s="476"/>
      <c r="BC108" s="476"/>
    </row>
    <row r="109" spans="1:55" s="468" customFormat="1" x14ac:dyDescent="0.3">
      <c r="A109" s="467"/>
      <c r="AL109" s="476"/>
      <c r="AM109" s="476"/>
      <c r="AN109" s="476"/>
      <c r="AO109" s="476"/>
      <c r="AP109" s="476"/>
      <c r="AQ109" s="476"/>
      <c r="AR109" s="476"/>
      <c r="AS109" s="476"/>
      <c r="AT109" s="476"/>
      <c r="AU109" s="476"/>
      <c r="AV109" s="476"/>
      <c r="AW109" s="476"/>
      <c r="AX109" s="476"/>
      <c r="AY109" s="476"/>
      <c r="AZ109" s="476"/>
      <c r="BA109" s="476"/>
      <c r="BB109" s="476"/>
      <c r="BC109" s="476"/>
    </row>
    <row r="110" spans="1:55" s="468" customFormat="1" x14ac:dyDescent="0.3">
      <c r="A110" s="467"/>
      <c r="AL110" s="476"/>
      <c r="AM110" s="476"/>
      <c r="AN110" s="476"/>
      <c r="AO110" s="476"/>
      <c r="AP110" s="476"/>
      <c r="AQ110" s="476"/>
      <c r="AR110" s="476"/>
      <c r="AS110" s="476"/>
      <c r="AT110" s="476"/>
      <c r="AU110" s="476"/>
      <c r="AV110" s="476"/>
      <c r="AW110" s="476"/>
      <c r="AX110" s="476"/>
      <c r="AY110" s="476"/>
      <c r="AZ110" s="476"/>
      <c r="BA110" s="476"/>
      <c r="BB110" s="476"/>
      <c r="BC110" s="476"/>
    </row>
    <row r="111" spans="1:55" s="468" customFormat="1" x14ac:dyDescent="0.3">
      <c r="A111" s="467"/>
      <c r="AL111" s="476"/>
      <c r="AM111" s="476"/>
      <c r="AN111" s="476"/>
      <c r="AO111" s="476"/>
      <c r="AP111" s="476"/>
      <c r="AQ111" s="476"/>
      <c r="AR111" s="476"/>
      <c r="AS111" s="476"/>
      <c r="AT111" s="476"/>
      <c r="AU111" s="476"/>
      <c r="AV111" s="476"/>
      <c r="AW111" s="476"/>
      <c r="AX111" s="476"/>
      <c r="AY111" s="476"/>
      <c r="AZ111" s="476"/>
      <c r="BA111" s="476"/>
      <c r="BB111" s="476"/>
      <c r="BC111" s="476"/>
    </row>
    <row r="112" spans="1:55" s="468" customFormat="1" x14ac:dyDescent="0.3">
      <c r="A112" s="467"/>
      <c r="AL112" s="476"/>
      <c r="AM112" s="476"/>
      <c r="AN112" s="476"/>
      <c r="AO112" s="476"/>
      <c r="AP112" s="476"/>
      <c r="AQ112" s="476"/>
      <c r="AR112" s="476"/>
      <c r="AS112" s="476"/>
      <c r="AT112" s="476"/>
      <c r="AU112" s="476"/>
      <c r="AV112" s="476"/>
      <c r="AW112" s="476"/>
      <c r="AX112" s="476"/>
      <c r="AY112" s="476"/>
      <c r="AZ112" s="476"/>
      <c r="BA112" s="476"/>
      <c r="BB112" s="476"/>
      <c r="BC112" s="476"/>
    </row>
    <row r="113" spans="1:55" s="468" customFormat="1" x14ac:dyDescent="0.3">
      <c r="A113" s="467"/>
      <c r="AL113" s="476"/>
      <c r="AM113" s="476"/>
      <c r="AN113" s="476"/>
      <c r="AO113" s="476"/>
      <c r="AP113" s="476"/>
      <c r="AQ113" s="476"/>
      <c r="AR113" s="476"/>
      <c r="AS113" s="476"/>
      <c r="AT113" s="476"/>
      <c r="AU113" s="476"/>
      <c r="AV113" s="476"/>
      <c r="AW113" s="476"/>
      <c r="AX113" s="476"/>
      <c r="AY113" s="476"/>
      <c r="AZ113" s="476"/>
      <c r="BA113" s="476"/>
      <c r="BB113" s="476"/>
      <c r="BC113" s="476"/>
    </row>
    <row r="114" spans="1:55" s="468" customFormat="1" x14ac:dyDescent="0.3">
      <c r="A114" s="467"/>
      <c r="AL114" s="476"/>
      <c r="AM114" s="476"/>
      <c r="AN114" s="476"/>
      <c r="AO114" s="476"/>
      <c r="AP114" s="476"/>
      <c r="AQ114" s="476"/>
      <c r="AR114" s="476"/>
      <c r="AS114" s="476"/>
      <c r="AT114" s="476"/>
      <c r="AU114" s="476"/>
      <c r="AV114" s="476"/>
      <c r="AW114" s="476"/>
      <c r="AX114" s="476"/>
      <c r="AY114" s="476"/>
      <c r="AZ114" s="476"/>
      <c r="BA114" s="476"/>
      <c r="BB114" s="476"/>
      <c r="BC114" s="476"/>
    </row>
    <row r="115" spans="1:55" s="468" customFormat="1" x14ac:dyDescent="0.3">
      <c r="A115" s="467"/>
      <c r="AL115" s="476"/>
      <c r="AM115" s="476"/>
      <c r="AN115" s="476"/>
      <c r="AO115" s="476"/>
      <c r="AP115" s="476"/>
      <c r="AQ115" s="476"/>
      <c r="AR115" s="476"/>
      <c r="AS115" s="476"/>
      <c r="AT115" s="476"/>
      <c r="AU115" s="476"/>
      <c r="AV115" s="476"/>
      <c r="AW115" s="476"/>
      <c r="AX115" s="476"/>
      <c r="AY115" s="476"/>
      <c r="AZ115" s="476"/>
      <c r="BA115" s="476"/>
      <c r="BB115" s="476"/>
      <c r="BC115" s="476"/>
    </row>
    <row r="116" spans="1:55" s="468" customFormat="1" x14ac:dyDescent="0.3">
      <c r="A116" s="467"/>
      <c r="AL116" s="476"/>
      <c r="AM116" s="476"/>
      <c r="AN116" s="476"/>
      <c r="AO116" s="476"/>
      <c r="AP116" s="476"/>
      <c r="AQ116" s="476"/>
      <c r="AR116" s="476"/>
      <c r="AS116" s="476"/>
      <c r="AT116" s="476"/>
      <c r="AU116" s="476"/>
      <c r="AV116" s="476"/>
      <c r="AW116" s="476"/>
      <c r="AX116" s="476"/>
      <c r="AY116" s="476"/>
      <c r="AZ116" s="476"/>
      <c r="BA116" s="476"/>
      <c r="BB116" s="476"/>
      <c r="BC116" s="476"/>
    </row>
    <row r="117" spans="1:55" s="468" customFormat="1" x14ac:dyDescent="0.3">
      <c r="A117" s="467"/>
      <c r="AL117" s="476"/>
      <c r="AM117" s="476"/>
      <c r="AN117" s="476"/>
      <c r="AO117" s="476"/>
      <c r="AP117" s="476"/>
      <c r="AQ117" s="476"/>
      <c r="AR117" s="476"/>
      <c r="AS117" s="476"/>
      <c r="AT117" s="476"/>
      <c r="AU117" s="476"/>
      <c r="AV117" s="476"/>
      <c r="AW117" s="476"/>
      <c r="AX117" s="476"/>
      <c r="AY117" s="476"/>
      <c r="AZ117" s="476"/>
      <c r="BA117" s="476"/>
      <c r="BB117" s="476"/>
      <c r="BC117" s="476"/>
    </row>
    <row r="118" spans="1:55" s="468" customFormat="1" x14ac:dyDescent="0.3">
      <c r="A118" s="467"/>
      <c r="AL118" s="476"/>
      <c r="AM118" s="476"/>
      <c r="AN118" s="476"/>
      <c r="AO118" s="476"/>
      <c r="AP118" s="476"/>
      <c r="AQ118" s="476"/>
      <c r="AR118" s="476"/>
      <c r="AS118" s="476"/>
      <c r="AT118" s="476"/>
      <c r="AU118" s="476"/>
      <c r="AV118" s="476"/>
      <c r="AW118" s="476"/>
      <c r="AX118" s="476"/>
      <c r="AY118" s="476"/>
      <c r="AZ118" s="476"/>
      <c r="BA118" s="476"/>
      <c r="BB118" s="476"/>
      <c r="BC118" s="476"/>
    </row>
    <row r="119" spans="1:55" s="468" customFormat="1" x14ac:dyDescent="0.3">
      <c r="A119" s="467"/>
      <c r="AL119" s="476"/>
      <c r="AM119" s="476"/>
      <c r="AN119" s="476"/>
      <c r="AO119" s="476"/>
      <c r="AP119" s="476"/>
      <c r="AQ119" s="476"/>
      <c r="AR119" s="476"/>
      <c r="AS119" s="476"/>
      <c r="AT119" s="476"/>
      <c r="AU119" s="476"/>
      <c r="AV119" s="476"/>
      <c r="AW119" s="476"/>
      <c r="AX119" s="476"/>
      <c r="AY119" s="476"/>
      <c r="AZ119" s="476"/>
      <c r="BA119" s="476"/>
      <c r="BB119" s="476"/>
      <c r="BC119" s="476"/>
    </row>
    <row r="120" spans="1:55" s="468" customFormat="1" x14ac:dyDescent="0.3">
      <c r="A120" s="467"/>
      <c r="AL120" s="476"/>
      <c r="AM120" s="476"/>
      <c r="AN120" s="476"/>
      <c r="AO120" s="476"/>
      <c r="AP120" s="476"/>
      <c r="AQ120" s="476"/>
      <c r="AR120" s="476"/>
      <c r="AS120" s="476"/>
      <c r="AT120" s="476"/>
      <c r="AU120" s="476"/>
      <c r="AV120" s="476"/>
      <c r="AW120" s="476"/>
      <c r="AX120" s="476"/>
      <c r="AY120" s="476"/>
      <c r="AZ120" s="476"/>
      <c r="BA120" s="476"/>
      <c r="BB120" s="476"/>
      <c r="BC120" s="476"/>
    </row>
    <row r="121" spans="1:55" s="468" customFormat="1" x14ac:dyDescent="0.3">
      <c r="A121" s="467"/>
      <c r="AL121" s="476"/>
      <c r="AM121" s="476"/>
      <c r="AN121" s="476"/>
      <c r="AO121" s="476"/>
      <c r="AP121" s="476"/>
      <c r="AQ121" s="476"/>
      <c r="AR121" s="476"/>
      <c r="AS121" s="476"/>
      <c r="AT121" s="476"/>
      <c r="AU121" s="476"/>
      <c r="AV121" s="476"/>
      <c r="AW121" s="476"/>
      <c r="AX121" s="476"/>
      <c r="AY121" s="476"/>
      <c r="AZ121" s="476"/>
      <c r="BA121" s="476"/>
      <c r="BB121" s="476"/>
      <c r="BC121" s="476"/>
    </row>
    <row r="122" spans="1:55" s="468" customFormat="1" x14ac:dyDescent="0.3">
      <c r="A122" s="467"/>
      <c r="AL122" s="476"/>
      <c r="AM122" s="476"/>
      <c r="AN122" s="476"/>
      <c r="AO122" s="476"/>
      <c r="AP122" s="476"/>
      <c r="AQ122" s="476"/>
      <c r="AR122" s="476"/>
      <c r="AS122" s="476"/>
      <c r="AT122" s="476"/>
      <c r="AU122" s="476"/>
      <c r="AV122" s="476"/>
      <c r="AW122" s="476"/>
      <c r="AX122" s="476"/>
      <c r="AY122" s="476"/>
      <c r="AZ122" s="476"/>
      <c r="BA122" s="476"/>
      <c r="BB122" s="476"/>
      <c r="BC122" s="476"/>
    </row>
    <row r="123" spans="1:55" s="468" customFormat="1" x14ac:dyDescent="0.3">
      <c r="A123" s="467"/>
      <c r="AL123" s="476"/>
      <c r="AM123" s="476"/>
      <c r="AN123" s="476"/>
      <c r="AO123" s="476"/>
      <c r="AP123" s="476"/>
      <c r="AQ123" s="476"/>
      <c r="AR123" s="476"/>
      <c r="AS123" s="476"/>
      <c r="AT123" s="476"/>
      <c r="AU123" s="476"/>
      <c r="AV123" s="476"/>
      <c r="AW123" s="476"/>
      <c r="AX123" s="476"/>
      <c r="AY123" s="476"/>
      <c r="AZ123" s="476"/>
      <c r="BA123" s="476"/>
      <c r="BB123" s="476"/>
      <c r="BC123" s="476"/>
    </row>
    <row r="124" spans="1:55" s="468" customFormat="1" x14ac:dyDescent="0.3">
      <c r="A124" s="467"/>
      <c r="AL124" s="476"/>
      <c r="AM124" s="476"/>
      <c r="AN124" s="476"/>
      <c r="AO124" s="476"/>
      <c r="AP124" s="476"/>
      <c r="AQ124" s="476"/>
      <c r="AR124" s="476"/>
      <c r="AS124" s="476"/>
      <c r="AT124" s="476"/>
      <c r="AU124" s="476"/>
      <c r="AV124" s="476"/>
      <c r="AW124" s="476"/>
      <c r="AX124" s="476"/>
      <c r="AY124" s="476"/>
      <c r="AZ124" s="476"/>
      <c r="BA124" s="476"/>
      <c r="BB124" s="476"/>
      <c r="BC124" s="476"/>
    </row>
    <row r="125" spans="1:55" s="468" customFormat="1" x14ac:dyDescent="0.3">
      <c r="A125" s="467"/>
      <c r="AL125" s="476"/>
      <c r="AM125" s="476"/>
      <c r="AN125" s="476"/>
      <c r="AO125" s="476"/>
      <c r="AP125" s="476"/>
      <c r="AQ125" s="476"/>
      <c r="AR125" s="476"/>
      <c r="AS125" s="476"/>
      <c r="AT125" s="476"/>
      <c r="AU125" s="476"/>
      <c r="AV125" s="476"/>
      <c r="AW125" s="476"/>
      <c r="AX125" s="476"/>
      <c r="AY125" s="476"/>
      <c r="AZ125" s="476"/>
      <c r="BA125" s="476"/>
      <c r="BB125" s="476"/>
      <c r="BC125" s="476"/>
    </row>
    <row r="126" spans="1:55" s="468" customFormat="1" x14ac:dyDescent="0.3">
      <c r="A126" s="467"/>
      <c r="AL126" s="476"/>
      <c r="AM126" s="476"/>
      <c r="AN126" s="476"/>
      <c r="AO126" s="476"/>
      <c r="AP126" s="476"/>
      <c r="AQ126" s="476"/>
      <c r="AR126" s="476"/>
      <c r="AS126" s="476"/>
      <c r="AT126" s="476"/>
      <c r="AU126" s="476"/>
      <c r="AV126" s="476"/>
      <c r="AW126" s="476"/>
      <c r="AX126" s="476"/>
      <c r="AY126" s="476"/>
      <c r="AZ126" s="476"/>
      <c r="BA126" s="476"/>
      <c r="BB126" s="476"/>
      <c r="BC126" s="476"/>
    </row>
    <row r="127" spans="1:55" s="468" customFormat="1" x14ac:dyDescent="0.3">
      <c r="A127" s="467"/>
      <c r="AL127" s="476"/>
      <c r="AM127" s="476"/>
      <c r="AN127" s="476"/>
      <c r="AO127" s="476"/>
      <c r="AP127" s="476"/>
      <c r="AQ127" s="476"/>
      <c r="AR127" s="476"/>
      <c r="AS127" s="476"/>
      <c r="AT127" s="476"/>
      <c r="AU127" s="476"/>
      <c r="AV127" s="476"/>
      <c r="AW127" s="476"/>
      <c r="AX127" s="476"/>
      <c r="AY127" s="476"/>
      <c r="AZ127" s="476"/>
      <c r="BA127" s="476"/>
      <c r="BB127" s="476"/>
      <c r="BC127" s="476"/>
    </row>
    <row r="128" spans="1:55" s="468" customFormat="1" x14ac:dyDescent="0.3">
      <c r="A128" s="467"/>
      <c r="AL128" s="476"/>
      <c r="AM128" s="476"/>
      <c r="AN128" s="476"/>
      <c r="AO128" s="476"/>
      <c r="AP128" s="476"/>
      <c r="AQ128" s="476"/>
      <c r="AR128" s="476"/>
      <c r="AS128" s="476"/>
      <c r="AT128" s="476"/>
      <c r="AU128" s="476"/>
      <c r="AV128" s="476"/>
      <c r="AW128" s="476"/>
      <c r="AX128" s="476"/>
      <c r="AY128" s="476"/>
      <c r="AZ128" s="476"/>
      <c r="BA128" s="476"/>
      <c r="BB128" s="476"/>
      <c r="BC128" s="476"/>
    </row>
    <row r="129" spans="1:55" s="468" customFormat="1" x14ac:dyDescent="0.3">
      <c r="A129" s="467"/>
      <c r="AL129" s="476"/>
      <c r="AM129" s="476"/>
      <c r="AN129" s="476"/>
      <c r="AO129" s="476"/>
      <c r="AP129" s="476"/>
      <c r="AQ129" s="476"/>
      <c r="AR129" s="476"/>
      <c r="AS129" s="476"/>
      <c r="AT129" s="476"/>
      <c r="AU129" s="476"/>
      <c r="AV129" s="476"/>
      <c r="AW129" s="476"/>
      <c r="AX129" s="476"/>
      <c r="AY129" s="476"/>
      <c r="AZ129" s="476"/>
      <c r="BA129" s="476"/>
      <c r="BB129" s="476"/>
      <c r="BC129" s="476"/>
    </row>
    <row r="130" spans="1:55" s="468" customFormat="1" x14ac:dyDescent="0.3">
      <c r="A130" s="467"/>
      <c r="AL130" s="476"/>
      <c r="AM130" s="476"/>
      <c r="AN130" s="476"/>
      <c r="AO130" s="476"/>
      <c r="AP130" s="476"/>
      <c r="AQ130" s="476"/>
      <c r="AR130" s="476"/>
      <c r="AS130" s="476"/>
      <c r="AT130" s="476"/>
      <c r="AU130" s="476"/>
      <c r="AV130" s="476"/>
      <c r="AW130" s="476"/>
      <c r="AX130" s="476"/>
      <c r="AY130" s="476"/>
      <c r="AZ130" s="476"/>
      <c r="BA130" s="476"/>
      <c r="BB130" s="476"/>
      <c r="BC130" s="476"/>
    </row>
    <row r="131" spans="1:55" s="468" customFormat="1" x14ac:dyDescent="0.3">
      <c r="A131" s="467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</row>
    <row r="132" spans="1:55" s="468" customFormat="1" x14ac:dyDescent="0.3">
      <c r="A132" s="467"/>
      <c r="AL132" s="476"/>
      <c r="AM132" s="476"/>
      <c r="AN132" s="476"/>
      <c r="AO132" s="476"/>
      <c r="AP132" s="476"/>
      <c r="AQ132" s="476"/>
      <c r="AR132" s="476"/>
      <c r="AS132" s="476"/>
      <c r="AT132" s="476"/>
      <c r="AU132" s="476"/>
      <c r="AV132" s="476"/>
      <c r="AW132" s="476"/>
      <c r="AX132" s="476"/>
      <c r="AY132" s="476"/>
      <c r="AZ132" s="476"/>
      <c r="BA132" s="476"/>
      <c r="BB132" s="476"/>
      <c r="BC132" s="476"/>
    </row>
    <row r="133" spans="1:55" s="468" customFormat="1" x14ac:dyDescent="0.3">
      <c r="A133" s="467"/>
      <c r="AL133" s="476"/>
      <c r="AM133" s="476"/>
      <c r="AN133" s="476"/>
      <c r="AO133" s="476"/>
      <c r="AP133" s="476"/>
      <c r="AQ133" s="476"/>
      <c r="AR133" s="476"/>
      <c r="AS133" s="476"/>
      <c r="AT133" s="476"/>
      <c r="AU133" s="476"/>
      <c r="AV133" s="476"/>
      <c r="AW133" s="476"/>
      <c r="AX133" s="476"/>
      <c r="AY133" s="476"/>
      <c r="AZ133" s="476"/>
      <c r="BA133" s="476"/>
      <c r="BB133" s="476"/>
      <c r="BC133" s="476"/>
    </row>
    <row r="134" spans="1:55" s="468" customFormat="1" x14ac:dyDescent="0.3">
      <c r="A134" s="467"/>
      <c r="AL134" s="476"/>
      <c r="AM134" s="476"/>
      <c r="AN134" s="476"/>
      <c r="AO134" s="476"/>
      <c r="AP134" s="476"/>
      <c r="AQ134" s="476"/>
      <c r="AR134" s="476"/>
      <c r="AS134" s="476"/>
      <c r="AT134" s="476"/>
      <c r="AU134" s="476"/>
      <c r="AV134" s="476"/>
      <c r="AW134" s="476"/>
      <c r="AX134" s="476"/>
      <c r="AY134" s="476"/>
      <c r="AZ134" s="476"/>
      <c r="BA134" s="476"/>
      <c r="BB134" s="476"/>
      <c r="BC134" s="476"/>
    </row>
    <row r="135" spans="1:55" s="468" customFormat="1" x14ac:dyDescent="0.3">
      <c r="A135" s="467"/>
      <c r="AL135" s="476"/>
      <c r="AM135" s="476"/>
      <c r="AN135" s="476"/>
      <c r="AO135" s="476"/>
      <c r="AP135" s="476"/>
      <c r="AQ135" s="476"/>
      <c r="AR135" s="476"/>
      <c r="AS135" s="476"/>
      <c r="AT135" s="476"/>
      <c r="AU135" s="476"/>
      <c r="AV135" s="476"/>
      <c r="AW135" s="476"/>
      <c r="AX135" s="476"/>
      <c r="AY135" s="476"/>
      <c r="AZ135" s="476"/>
      <c r="BA135" s="476"/>
      <c r="BB135" s="476"/>
      <c r="BC135" s="476"/>
    </row>
    <row r="136" spans="1:55" s="468" customFormat="1" x14ac:dyDescent="0.3">
      <c r="A136" s="467"/>
      <c r="AL136" s="476"/>
      <c r="AM136" s="476"/>
      <c r="AN136" s="476"/>
      <c r="AO136" s="476"/>
      <c r="AP136" s="476"/>
      <c r="AQ136" s="476"/>
      <c r="AR136" s="476"/>
      <c r="AS136" s="476"/>
      <c r="AT136" s="476"/>
      <c r="AU136" s="476"/>
      <c r="AV136" s="476"/>
      <c r="AW136" s="476"/>
      <c r="AX136" s="476"/>
      <c r="AY136" s="476"/>
      <c r="AZ136" s="476"/>
      <c r="BA136" s="476"/>
      <c r="BB136" s="476"/>
      <c r="BC136" s="476"/>
    </row>
    <row r="137" spans="1:55" s="468" customFormat="1" x14ac:dyDescent="0.3">
      <c r="A137" s="467"/>
      <c r="AL137" s="476"/>
      <c r="AM137" s="476"/>
      <c r="AN137" s="476"/>
      <c r="AO137" s="476"/>
      <c r="AP137" s="476"/>
      <c r="AQ137" s="476"/>
      <c r="AR137" s="476"/>
      <c r="AS137" s="476"/>
      <c r="AT137" s="476"/>
      <c r="AU137" s="476"/>
      <c r="AV137" s="476"/>
      <c r="AW137" s="476"/>
      <c r="AX137" s="476"/>
      <c r="AY137" s="476"/>
      <c r="AZ137" s="476"/>
      <c r="BA137" s="476"/>
      <c r="BB137" s="476"/>
      <c r="BC137" s="476"/>
    </row>
    <row r="138" spans="1:55" s="468" customFormat="1" x14ac:dyDescent="0.3">
      <c r="A138" s="467"/>
      <c r="AL138" s="476"/>
      <c r="AM138" s="476"/>
      <c r="AN138" s="476"/>
      <c r="AO138" s="476"/>
      <c r="AP138" s="476"/>
      <c r="AQ138" s="476"/>
      <c r="AR138" s="476"/>
      <c r="AS138" s="476"/>
      <c r="AT138" s="476"/>
      <c r="AU138" s="476"/>
      <c r="AV138" s="476"/>
      <c r="AW138" s="476"/>
      <c r="AX138" s="476"/>
      <c r="AY138" s="476"/>
      <c r="AZ138" s="476"/>
      <c r="BA138" s="476"/>
      <c r="BB138" s="476"/>
      <c r="BC138" s="476"/>
    </row>
    <row r="139" spans="1:55" s="468" customFormat="1" x14ac:dyDescent="0.3">
      <c r="A139" s="467"/>
      <c r="AL139" s="476"/>
      <c r="AM139" s="476"/>
      <c r="AN139" s="476"/>
      <c r="AO139" s="476"/>
      <c r="AP139" s="476"/>
      <c r="AQ139" s="476"/>
      <c r="AR139" s="476"/>
      <c r="AS139" s="476"/>
      <c r="AT139" s="476"/>
      <c r="AU139" s="476"/>
      <c r="AV139" s="476"/>
      <c r="AW139" s="476"/>
      <c r="AX139" s="476"/>
      <c r="AY139" s="476"/>
      <c r="AZ139" s="476"/>
      <c r="BA139" s="476"/>
      <c r="BB139" s="476"/>
      <c r="BC139" s="476"/>
    </row>
    <row r="140" spans="1:55" s="468" customFormat="1" x14ac:dyDescent="0.3">
      <c r="A140" s="467"/>
      <c r="AL140" s="476"/>
      <c r="AM140" s="476"/>
      <c r="AN140" s="476"/>
      <c r="AO140" s="476"/>
      <c r="AP140" s="476"/>
      <c r="AQ140" s="476"/>
      <c r="AR140" s="476"/>
      <c r="AS140" s="476"/>
      <c r="AT140" s="476"/>
      <c r="AU140" s="476"/>
      <c r="AV140" s="476"/>
      <c r="AW140" s="476"/>
      <c r="AX140" s="476"/>
      <c r="AY140" s="476"/>
      <c r="AZ140" s="476"/>
      <c r="BA140" s="476"/>
      <c r="BB140" s="476"/>
      <c r="BC140" s="476"/>
    </row>
    <row r="141" spans="1:55" s="468" customFormat="1" x14ac:dyDescent="0.3">
      <c r="A141" s="467"/>
      <c r="AL141" s="476"/>
      <c r="AM141" s="476"/>
      <c r="AN141" s="476"/>
      <c r="AO141" s="476"/>
      <c r="AP141" s="476"/>
      <c r="AQ141" s="476"/>
      <c r="AR141" s="476"/>
      <c r="AS141" s="476"/>
      <c r="AT141" s="476"/>
      <c r="AU141" s="476"/>
      <c r="AV141" s="476"/>
      <c r="AW141" s="476"/>
      <c r="AX141" s="476"/>
      <c r="AY141" s="476"/>
      <c r="AZ141" s="476"/>
      <c r="BA141" s="476"/>
      <c r="BB141" s="476"/>
      <c r="BC141" s="476"/>
    </row>
    <row r="142" spans="1:55" s="468" customFormat="1" x14ac:dyDescent="0.3">
      <c r="A142" s="467"/>
      <c r="AL142" s="476"/>
      <c r="AM142" s="476"/>
      <c r="AN142" s="476"/>
      <c r="AO142" s="476"/>
      <c r="AP142" s="476"/>
      <c r="AQ142" s="476"/>
      <c r="AR142" s="476"/>
      <c r="AS142" s="476"/>
      <c r="AT142" s="476"/>
      <c r="AU142" s="476"/>
      <c r="AV142" s="476"/>
      <c r="AW142" s="476"/>
      <c r="AX142" s="476"/>
      <c r="AY142" s="476"/>
      <c r="AZ142" s="476"/>
      <c r="BA142" s="476"/>
      <c r="BB142" s="476"/>
      <c r="BC142" s="476"/>
    </row>
    <row r="143" spans="1:55" s="468" customFormat="1" x14ac:dyDescent="0.3">
      <c r="A143" s="467"/>
      <c r="AL143" s="476"/>
      <c r="AM143" s="476"/>
      <c r="AN143" s="476"/>
      <c r="AO143" s="476"/>
      <c r="AP143" s="476"/>
      <c r="AQ143" s="476"/>
      <c r="AR143" s="476"/>
      <c r="AS143" s="476"/>
      <c r="AT143" s="476"/>
      <c r="AU143" s="476"/>
      <c r="AV143" s="476"/>
      <c r="AW143" s="476"/>
      <c r="AX143" s="476"/>
      <c r="AY143" s="476"/>
      <c r="AZ143" s="476"/>
      <c r="BA143" s="476"/>
      <c r="BB143" s="476"/>
      <c r="BC143" s="476"/>
    </row>
    <row r="144" spans="1:55" s="468" customFormat="1" x14ac:dyDescent="0.3">
      <c r="A144" s="467"/>
      <c r="AL144" s="476"/>
      <c r="AM144" s="476"/>
      <c r="AN144" s="476"/>
      <c r="AO144" s="476"/>
      <c r="AP144" s="476"/>
      <c r="AQ144" s="476"/>
      <c r="AR144" s="476"/>
      <c r="AS144" s="476"/>
      <c r="AT144" s="476"/>
      <c r="AU144" s="476"/>
      <c r="AV144" s="476"/>
      <c r="AW144" s="476"/>
      <c r="AX144" s="476"/>
      <c r="AY144" s="476"/>
      <c r="AZ144" s="476"/>
      <c r="BA144" s="476"/>
      <c r="BB144" s="476"/>
      <c r="BC144" s="476"/>
    </row>
    <row r="145" spans="1:55" s="468" customFormat="1" x14ac:dyDescent="0.3">
      <c r="A145" s="467"/>
      <c r="AL145" s="476"/>
      <c r="AM145" s="476"/>
      <c r="AN145" s="476"/>
      <c r="AO145" s="476"/>
      <c r="AP145" s="476"/>
      <c r="AQ145" s="476"/>
      <c r="AR145" s="476"/>
      <c r="AS145" s="476"/>
      <c r="AT145" s="476"/>
      <c r="AU145" s="476"/>
      <c r="AV145" s="476"/>
      <c r="AW145" s="476"/>
      <c r="AX145" s="476"/>
      <c r="AY145" s="476"/>
      <c r="AZ145" s="476"/>
      <c r="BA145" s="476"/>
      <c r="BB145" s="476"/>
      <c r="BC145" s="476"/>
    </row>
    <row r="146" spans="1:55" s="382" customFormat="1" x14ac:dyDescent="0.3">
      <c r="A146" s="381"/>
      <c r="AL146" s="477"/>
      <c r="AM146" s="477"/>
      <c r="AN146" s="477"/>
      <c r="AO146" s="477"/>
      <c r="AP146" s="477"/>
      <c r="AQ146" s="477"/>
      <c r="AR146" s="477"/>
      <c r="AS146" s="477"/>
      <c r="AT146" s="477"/>
      <c r="AU146" s="477"/>
      <c r="AV146" s="477"/>
      <c r="AW146" s="477"/>
      <c r="AX146" s="477"/>
      <c r="AY146" s="477"/>
      <c r="AZ146" s="477"/>
      <c r="BA146" s="477"/>
      <c r="BB146" s="477"/>
      <c r="BC146" s="477"/>
    </row>
    <row r="147" spans="1:55" s="382" customFormat="1" x14ac:dyDescent="0.3">
      <c r="A147" s="381"/>
      <c r="AL147" s="477"/>
      <c r="AM147" s="477"/>
      <c r="AN147" s="477"/>
      <c r="AO147" s="477"/>
      <c r="AP147" s="477"/>
      <c r="AQ147" s="477"/>
      <c r="AR147" s="477"/>
      <c r="AS147" s="477"/>
      <c r="AT147" s="477"/>
      <c r="AU147" s="477"/>
      <c r="AV147" s="477"/>
      <c r="AW147" s="477"/>
      <c r="AX147" s="477"/>
      <c r="AY147" s="477"/>
      <c r="AZ147" s="477"/>
      <c r="BA147" s="477"/>
      <c r="BB147" s="477"/>
      <c r="BC147" s="477"/>
    </row>
    <row r="148" spans="1:55" s="382" customFormat="1" x14ac:dyDescent="0.3">
      <c r="A148" s="381"/>
      <c r="AL148" s="477"/>
      <c r="AM148" s="477"/>
      <c r="AN148" s="477"/>
      <c r="AO148" s="477"/>
      <c r="AP148" s="477"/>
      <c r="AQ148" s="477"/>
      <c r="AR148" s="477"/>
      <c r="AS148" s="477"/>
      <c r="AT148" s="477"/>
      <c r="AU148" s="477"/>
      <c r="AV148" s="477"/>
      <c r="AW148" s="477"/>
      <c r="AX148" s="477"/>
      <c r="AY148" s="477"/>
      <c r="AZ148" s="477"/>
      <c r="BA148" s="477"/>
      <c r="BB148" s="477"/>
      <c r="BC148" s="477"/>
    </row>
    <row r="149" spans="1:55" s="382" customFormat="1" x14ac:dyDescent="0.3">
      <c r="A149" s="381"/>
      <c r="AL149" s="477"/>
      <c r="AM149" s="477"/>
      <c r="AN149" s="477"/>
      <c r="AO149" s="477"/>
      <c r="AP149" s="477"/>
      <c r="AQ149" s="477"/>
      <c r="AR149" s="477"/>
      <c r="AS149" s="477"/>
      <c r="AT149" s="477"/>
      <c r="AU149" s="477"/>
      <c r="AV149" s="477"/>
      <c r="AW149" s="477"/>
      <c r="AX149" s="477"/>
      <c r="AY149" s="477"/>
      <c r="AZ149" s="477"/>
      <c r="BA149" s="477"/>
      <c r="BB149" s="477"/>
      <c r="BC149" s="477"/>
    </row>
    <row r="150" spans="1:55" s="382" customFormat="1" x14ac:dyDescent="0.3">
      <c r="A150" s="381"/>
      <c r="AL150" s="477"/>
      <c r="AM150" s="477"/>
      <c r="AN150" s="477"/>
      <c r="AO150" s="477"/>
      <c r="AP150" s="477"/>
      <c r="AQ150" s="477"/>
      <c r="AR150" s="477"/>
      <c r="AS150" s="477"/>
      <c r="AT150" s="477"/>
      <c r="AU150" s="477"/>
      <c r="AV150" s="477"/>
      <c r="AW150" s="477"/>
      <c r="AX150" s="477"/>
      <c r="AY150" s="477"/>
      <c r="AZ150" s="477"/>
      <c r="BA150" s="477"/>
      <c r="BB150" s="477"/>
      <c r="BC150" s="477"/>
    </row>
    <row r="151" spans="1:55" s="382" customFormat="1" x14ac:dyDescent="0.3">
      <c r="A151" s="381"/>
      <c r="AL151" s="477"/>
      <c r="AM151" s="477"/>
      <c r="AN151" s="477"/>
      <c r="AO151" s="477"/>
      <c r="AP151" s="477"/>
      <c r="AQ151" s="477"/>
      <c r="AR151" s="477"/>
      <c r="AS151" s="477"/>
      <c r="AT151" s="477"/>
      <c r="AU151" s="477"/>
      <c r="AV151" s="477"/>
      <c r="AW151" s="477"/>
      <c r="AX151" s="477"/>
      <c r="AY151" s="477"/>
      <c r="AZ151" s="477"/>
      <c r="BA151" s="477"/>
      <c r="BB151" s="477"/>
      <c r="BC151" s="477"/>
    </row>
    <row r="152" spans="1:55" s="382" customFormat="1" x14ac:dyDescent="0.3">
      <c r="A152" s="381"/>
      <c r="AL152" s="477"/>
      <c r="AM152" s="477"/>
      <c r="AN152" s="477"/>
      <c r="AO152" s="477"/>
      <c r="AP152" s="477"/>
      <c r="AQ152" s="477"/>
      <c r="AR152" s="477"/>
      <c r="AS152" s="477"/>
      <c r="AT152" s="477"/>
      <c r="AU152" s="477"/>
      <c r="AV152" s="477"/>
      <c r="AW152" s="477"/>
      <c r="AX152" s="477"/>
      <c r="AY152" s="477"/>
      <c r="AZ152" s="477"/>
      <c r="BA152" s="477"/>
      <c r="BB152" s="477"/>
      <c r="BC152" s="477"/>
    </row>
    <row r="153" spans="1:55" s="382" customFormat="1" x14ac:dyDescent="0.3">
      <c r="A153" s="381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7"/>
      <c r="AY153" s="477"/>
      <c r="AZ153" s="477"/>
      <c r="BA153" s="477"/>
      <c r="BB153" s="477"/>
      <c r="BC153" s="477"/>
    </row>
    <row r="154" spans="1:55" s="382" customFormat="1" x14ac:dyDescent="0.3">
      <c r="A154" s="381"/>
      <c r="AL154" s="477"/>
      <c r="AM154" s="477"/>
      <c r="AN154" s="477"/>
      <c r="AO154" s="477"/>
      <c r="AP154" s="477"/>
      <c r="AQ154" s="477"/>
      <c r="AR154" s="477"/>
      <c r="AS154" s="477"/>
      <c r="AT154" s="477"/>
      <c r="AU154" s="477"/>
      <c r="AV154" s="477"/>
      <c r="AW154" s="477"/>
      <c r="AX154" s="477"/>
      <c r="AY154" s="477"/>
      <c r="AZ154" s="477"/>
      <c r="BA154" s="477"/>
      <c r="BB154" s="477"/>
      <c r="BC154" s="477"/>
    </row>
    <row r="155" spans="1:55" s="382" customFormat="1" x14ac:dyDescent="0.3">
      <c r="A155" s="381"/>
      <c r="AL155" s="477"/>
      <c r="AM155" s="477"/>
      <c r="AN155" s="477"/>
      <c r="AO155" s="477"/>
      <c r="AP155" s="477"/>
      <c r="AQ155" s="477"/>
      <c r="AR155" s="477"/>
      <c r="AS155" s="477"/>
      <c r="AT155" s="477"/>
      <c r="AU155" s="477"/>
      <c r="AV155" s="477"/>
      <c r="AW155" s="477"/>
      <c r="AX155" s="477"/>
      <c r="AY155" s="477"/>
      <c r="AZ155" s="477"/>
      <c r="BA155" s="477"/>
      <c r="BB155" s="477"/>
      <c r="BC155" s="477"/>
    </row>
    <row r="156" spans="1:55" s="382" customFormat="1" x14ac:dyDescent="0.3">
      <c r="A156" s="381"/>
      <c r="AL156" s="477"/>
      <c r="AM156" s="477"/>
      <c r="AN156" s="477"/>
      <c r="AO156" s="477"/>
      <c r="AP156" s="477"/>
      <c r="AQ156" s="477"/>
      <c r="AR156" s="477"/>
      <c r="AS156" s="477"/>
      <c r="AT156" s="477"/>
      <c r="AU156" s="477"/>
      <c r="AV156" s="477"/>
      <c r="AW156" s="477"/>
      <c r="AX156" s="477"/>
      <c r="AY156" s="477"/>
      <c r="AZ156" s="477"/>
      <c r="BA156" s="477"/>
      <c r="BB156" s="477"/>
      <c r="BC156" s="477"/>
    </row>
    <row r="157" spans="1:55" s="382" customFormat="1" x14ac:dyDescent="0.3">
      <c r="A157" s="381"/>
      <c r="AL157" s="477"/>
      <c r="AM157" s="477"/>
      <c r="AN157" s="477"/>
      <c r="AO157" s="477"/>
      <c r="AP157" s="477"/>
      <c r="AQ157" s="477"/>
      <c r="AR157" s="477"/>
      <c r="AS157" s="477"/>
      <c r="AT157" s="477"/>
      <c r="AU157" s="477"/>
      <c r="AV157" s="477"/>
      <c r="AW157" s="477"/>
      <c r="AX157" s="477"/>
      <c r="AY157" s="477"/>
      <c r="AZ157" s="477"/>
      <c r="BA157" s="477"/>
      <c r="BB157" s="477"/>
      <c r="BC157" s="477"/>
    </row>
    <row r="158" spans="1:55" s="382" customFormat="1" x14ac:dyDescent="0.3">
      <c r="A158" s="381"/>
      <c r="AL158" s="477"/>
      <c r="AM158" s="477"/>
      <c r="AN158" s="477"/>
      <c r="AO158" s="477"/>
      <c r="AP158" s="477"/>
      <c r="AQ158" s="477"/>
      <c r="AR158" s="477"/>
      <c r="AS158" s="477"/>
      <c r="AT158" s="477"/>
      <c r="AU158" s="477"/>
      <c r="AV158" s="477"/>
      <c r="AW158" s="477"/>
      <c r="AX158" s="477"/>
      <c r="AY158" s="477"/>
      <c r="AZ158" s="477"/>
      <c r="BA158" s="477"/>
      <c r="BB158" s="477"/>
      <c r="BC158" s="477"/>
    </row>
    <row r="159" spans="1:55" s="382" customFormat="1" x14ac:dyDescent="0.3">
      <c r="A159" s="381"/>
      <c r="AL159" s="477"/>
      <c r="AM159" s="477"/>
      <c r="AN159" s="477"/>
      <c r="AO159" s="477"/>
      <c r="AP159" s="477"/>
      <c r="AQ159" s="477"/>
      <c r="AR159" s="477"/>
      <c r="AS159" s="477"/>
      <c r="AT159" s="477"/>
      <c r="AU159" s="477"/>
      <c r="AV159" s="477"/>
      <c r="AW159" s="477"/>
      <c r="AX159" s="477"/>
      <c r="AY159" s="477"/>
      <c r="AZ159" s="477"/>
      <c r="BA159" s="477"/>
      <c r="BB159" s="477"/>
      <c r="BC159" s="477"/>
    </row>
    <row r="160" spans="1:55" s="382" customFormat="1" x14ac:dyDescent="0.3">
      <c r="A160" s="381"/>
      <c r="AL160" s="477"/>
      <c r="AM160" s="477"/>
      <c r="AN160" s="477"/>
      <c r="AO160" s="477"/>
      <c r="AP160" s="477"/>
      <c r="AQ160" s="477"/>
      <c r="AR160" s="477"/>
      <c r="AS160" s="477"/>
      <c r="AT160" s="477"/>
      <c r="AU160" s="477"/>
      <c r="AV160" s="477"/>
      <c r="AW160" s="477"/>
      <c r="AX160" s="477"/>
      <c r="AY160" s="477"/>
      <c r="AZ160" s="477"/>
      <c r="BA160" s="477"/>
      <c r="BB160" s="477"/>
      <c r="BC160" s="477"/>
    </row>
    <row r="161" spans="1:55" s="382" customFormat="1" x14ac:dyDescent="0.3">
      <c r="A161" s="381"/>
      <c r="AL161" s="477"/>
      <c r="AM161" s="477"/>
      <c r="AN161" s="477"/>
      <c r="AO161" s="477"/>
      <c r="AP161" s="477"/>
      <c r="AQ161" s="477"/>
      <c r="AR161" s="477"/>
      <c r="AS161" s="477"/>
      <c r="AT161" s="477"/>
      <c r="AU161" s="477"/>
      <c r="AV161" s="477"/>
      <c r="AW161" s="477"/>
      <c r="AX161" s="477"/>
      <c r="AY161" s="477"/>
      <c r="AZ161" s="477"/>
      <c r="BA161" s="477"/>
      <c r="BB161" s="477"/>
      <c r="BC161" s="477"/>
    </row>
    <row r="162" spans="1:55" s="382" customFormat="1" x14ac:dyDescent="0.3">
      <c r="A162" s="381"/>
      <c r="AL162" s="477"/>
      <c r="AM162" s="477"/>
      <c r="AN162" s="477"/>
      <c r="AO162" s="477"/>
      <c r="AP162" s="477"/>
      <c r="AQ162" s="477"/>
      <c r="AR162" s="477"/>
      <c r="AS162" s="477"/>
      <c r="AT162" s="477"/>
      <c r="AU162" s="477"/>
      <c r="AV162" s="477"/>
      <c r="AW162" s="477"/>
      <c r="AX162" s="477"/>
      <c r="AY162" s="477"/>
      <c r="AZ162" s="477"/>
      <c r="BA162" s="477"/>
      <c r="BB162" s="477"/>
      <c r="BC162" s="477"/>
    </row>
    <row r="163" spans="1:55" s="382" customFormat="1" x14ac:dyDescent="0.3">
      <c r="A163" s="381"/>
      <c r="AL163" s="477"/>
      <c r="AM163" s="477"/>
      <c r="AN163" s="477"/>
      <c r="AO163" s="477"/>
      <c r="AP163" s="477"/>
      <c r="AQ163" s="477"/>
      <c r="AR163" s="477"/>
      <c r="AS163" s="477"/>
      <c r="AT163" s="477"/>
      <c r="AU163" s="477"/>
      <c r="AV163" s="477"/>
      <c r="AW163" s="477"/>
      <c r="AX163" s="477"/>
      <c r="AY163" s="477"/>
      <c r="AZ163" s="477"/>
      <c r="BA163" s="477"/>
      <c r="BB163" s="477"/>
      <c r="BC163" s="477"/>
    </row>
    <row r="164" spans="1:55" s="382" customFormat="1" x14ac:dyDescent="0.3">
      <c r="A164" s="381"/>
      <c r="AL164" s="477"/>
      <c r="AM164" s="477"/>
      <c r="AN164" s="477"/>
      <c r="AO164" s="477"/>
      <c r="AP164" s="477"/>
      <c r="AQ164" s="477"/>
      <c r="AR164" s="477"/>
      <c r="AS164" s="477"/>
      <c r="AT164" s="477"/>
      <c r="AU164" s="477"/>
      <c r="AV164" s="477"/>
      <c r="AW164" s="477"/>
      <c r="AX164" s="477"/>
      <c r="AY164" s="477"/>
      <c r="AZ164" s="477"/>
      <c r="BA164" s="477"/>
      <c r="BB164" s="477"/>
      <c r="BC164" s="477"/>
    </row>
    <row r="165" spans="1:55" s="382" customFormat="1" x14ac:dyDescent="0.3">
      <c r="A165" s="381"/>
      <c r="AL165" s="477"/>
      <c r="AM165" s="477"/>
      <c r="AN165" s="477"/>
      <c r="AO165" s="477"/>
      <c r="AP165" s="477"/>
      <c r="AQ165" s="477"/>
      <c r="AR165" s="477"/>
      <c r="AS165" s="477"/>
      <c r="AT165" s="477"/>
      <c r="AU165" s="477"/>
      <c r="AV165" s="477"/>
      <c r="AW165" s="477"/>
      <c r="AX165" s="477"/>
      <c r="AY165" s="477"/>
      <c r="AZ165" s="477"/>
      <c r="BA165" s="477"/>
      <c r="BB165" s="477"/>
      <c r="BC165" s="477"/>
    </row>
    <row r="166" spans="1:55" s="382" customFormat="1" x14ac:dyDescent="0.3">
      <c r="A166" s="381"/>
      <c r="AL166" s="477"/>
      <c r="AM166" s="477"/>
      <c r="AN166" s="477"/>
      <c r="AO166" s="477"/>
      <c r="AP166" s="477"/>
      <c r="AQ166" s="477"/>
      <c r="AR166" s="477"/>
      <c r="AS166" s="477"/>
      <c r="AT166" s="477"/>
      <c r="AU166" s="477"/>
      <c r="AV166" s="477"/>
      <c r="AW166" s="477"/>
      <c r="AX166" s="477"/>
      <c r="AY166" s="477"/>
      <c r="AZ166" s="477"/>
      <c r="BA166" s="477"/>
      <c r="BB166" s="477"/>
      <c r="BC166" s="477"/>
    </row>
    <row r="167" spans="1:55" s="382" customFormat="1" x14ac:dyDescent="0.3">
      <c r="A167" s="381"/>
      <c r="AL167" s="477"/>
      <c r="AM167" s="477"/>
      <c r="AN167" s="477"/>
      <c r="AO167" s="477"/>
      <c r="AP167" s="477"/>
      <c r="AQ167" s="477"/>
      <c r="AR167" s="477"/>
      <c r="AS167" s="477"/>
      <c r="AT167" s="477"/>
      <c r="AU167" s="477"/>
      <c r="AV167" s="477"/>
      <c r="AW167" s="477"/>
      <c r="AX167" s="477"/>
      <c r="AY167" s="477"/>
      <c r="AZ167" s="477"/>
      <c r="BA167" s="477"/>
      <c r="BB167" s="477"/>
      <c r="BC167" s="477"/>
    </row>
    <row r="168" spans="1:55" s="382" customFormat="1" x14ac:dyDescent="0.3">
      <c r="A168" s="381"/>
      <c r="AL168" s="477"/>
      <c r="AM168" s="477"/>
      <c r="AN168" s="477"/>
      <c r="AO168" s="477"/>
      <c r="AP168" s="477"/>
      <c r="AQ168" s="477"/>
      <c r="AR168" s="477"/>
      <c r="AS168" s="477"/>
      <c r="AT168" s="477"/>
      <c r="AU168" s="477"/>
      <c r="AV168" s="477"/>
      <c r="AW168" s="477"/>
      <c r="AX168" s="477"/>
      <c r="AY168" s="477"/>
      <c r="AZ168" s="477"/>
      <c r="BA168" s="477"/>
      <c r="BB168" s="477"/>
      <c r="BC168" s="477"/>
    </row>
    <row r="169" spans="1:55" s="382" customFormat="1" x14ac:dyDescent="0.3">
      <c r="A169" s="381"/>
      <c r="AL169" s="477"/>
      <c r="AM169" s="477"/>
      <c r="AN169" s="477"/>
      <c r="AO169" s="477"/>
      <c r="AP169" s="477"/>
      <c r="AQ169" s="477"/>
      <c r="AR169" s="477"/>
      <c r="AS169" s="477"/>
      <c r="AT169" s="477"/>
      <c r="AU169" s="477"/>
      <c r="AV169" s="477"/>
      <c r="AW169" s="477"/>
      <c r="AX169" s="477"/>
      <c r="AY169" s="477"/>
      <c r="AZ169" s="477"/>
      <c r="BA169" s="477"/>
      <c r="BB169" s="477"/>
      <c r="BC169" s="477"/>
    </row>
    <row r="170" spans="1:55" s="382" customFormat="1" x14ac:dyDescent="0.3">
      <c r="A170" s="381"/>
      <c r="AL170" s="477"/>
      <c r="AM170" s="477"/>
      <c r="AN170" s="477"/>
      <c r="AO170" s="477"/>
      <c r="AP170" s="477"/>
      <c r="AQ170" s="477"/>
      <c r="AR170" s="477"/>
      <c r="AS170" s="477"/>
      <c r="AT170" s="477"/>
      <c r="AU170" s="477"/>
      <c r="AV170" s="477"/>
      <c r="AW170" s="477"/>
      <c r="AX170" s="477"/>
      <c r="AY170" s="477"/>
      <c r="AZ170" s="477"/>
      <c r="BA170" s="477"/>
      <c r="BB170" s="477"/>
      <c r="BC170" s="477"/>
    </row>
    <row r="171" spans="1:55" s="382" customFormat="1" x14ac:dyDescent="0.3">
      <c r="A171" s="381"/>
      <c r="AL171" s="477"/>
      <c r="AM171" s="477"/>
      <c r="AN171" s="477"/>
      <c r="AO171" s="477"/>
      <c r="AP171" s="477"/>
      <c r="AQ171" s="477"/>
      <c r="AR171" s="477"/>
      <c r="AS171" s="477"/>
      <c r="AT171" s="477"/>
      <c r="AU171" s="477"/>
      <c r="AV171" s="477"/>
      <c r="AW171" s="477"/>
      <c r="AX171" s="477"/>
      <c r="AY171" s="477"/>
      <c r="AZ171" s="477"/>
      <c r="BA171" s="477"/>
      <c r="BB171" s="477"/>
      <c r="BC171" s="477"/>
    </row>
    <row r="172" spans="1:55" s="382" customFormat="1" x14ac:dyDescent="0.3">
      <c r="A172" s="381"/>
      <c r="AL172" s="477"/>
      <c r="AM172" s="477"/>
      <c r="AN172" s="477"/>
      <c r="AO172" s="477"/>
      <c r="AP172" s="477"/>
      <c r="AQ172" s="477"/>
      <c r="AR172" s="477"/>
      <c r="AS172" s="477"/>
      <c r="AT172" s="477"/>
      <c r="AU172" s="477"/>
      <c r="AV172" s="477"/>
      <c r="AW172" s="477"/>
      <c r="AX172" s="477"/>
      <c r="AY172" s="477"/>
      <c r="AZ172" s="477"/>
      <c r="BA172" s="477"/>
      <c r="BB172" s="477"/>
      <c r="BC172" s="477"/>
    </row>
    <row r="173" spans="1:55" s="382" customFormat="1" x14ac:dyDescent="0.3">
      <c r="A173" s="381"/>
      <c r="AL173" s="477"/>
      <c r="AM173" s="477"/>
      <c r="AN173" s="477"/>
      <c r="AO173" s="477"/>
      <c r="AP173" s="477"/>
      <c r="AQ173" s="477"/>
      <c r="AR173" s="477"/>
      <c r="AS173" s="477"/>
      <c r="AT173" s="477"/>
      <c r="AU173" s="477"/>
      <c r="AV173" s="477"/>
      <c r="AW173" s="477"/>
      <c r="AX173" s="477"/>
      <c r="AY173" s="477"/>
      <c r="AZ173" s="477"/>
      <c r="BA173" s="477"/>
      <c r="BB173" s="477"/>
      <c r="BC173" s="477"/>
    </row>
    <row r="174" spans="1:55" s="382" customFormat="1" x14ac:dyDescent="0.3">
      <c r="A174" s="381"/>
      <c r="AL174" s="477"/>
      <c r="AM174" s="477"/>
      <c r="AN174" s="477"/>
      <c r="AO174" s="477"/>
      <c r="AP174" s="477"/>
      <c r="AQ174" s="477"/>
      <c r="AR174" s="477"/>
      <c r="AS174" s="477"/>
      <c r="AT174" s="477"/>
      <c r="AU174" s="477"/>
      <c r="AV174" s="477"/>
      <c r="AW174" s="477"/>
      <c r="AX174" s="477"/>
      <c r="AY174" s="477"/>
      <c r="AZ174" s="477"/>
      <c r="BA174" s="477"/>
      <c r="BB174" s="477"/>
      <c r="BC174" s="477"/>
    </row>
    <row r="175" spans="1:55" s="382" customFormat="1" x14ac:dyDescent="0.3">
      <c r="A175" s="381"/>
      <c r="AL175" s="477"/>
      <c r="AM175" s="477"/>
      <c r="AN175" s="477"/>
      <c r="AO175" s="477"/>
      <c r="AP175" s="477"/>
      <c r="AQ175" s="477"/>
      <c r="AR175" s="477"/>
      <c r="AS175" s="477"/>
      <c r="AT175" s="477"/>
      <c r="AU175" s="477"/>
      <c r="AV175" s="477"/>
      <c r="AW175" s="477"/>
      <c r="AX175" s="477"/>
      <c r="AY175" s="477"/>
      <c r="AZ175" s="477"/>
      <c r="BA175" s="477"/>
      <c r="BB175" s="477"/>
      <c r="BC175" s="477"/>
    </row>
    <row r="176" spans="1:55" s="382" customFormat="1" x14ac:dyDescent="0.3">
      <c r="A176" s="381"/>
      <c r="AL176" s="477"/>
      <c r="AM176" s="477"/>
      <c r="AN176" s="477"/>
      <c r="AO176" s="477"/>
      <c r="AP176" s="477"/>
      <c r="AQ176" s="477"/>
      <c r="AR176" s="477"/>
      <c r="AS176" s="477"/>
      <c r="AT176" s="477"/>
      <c r="AU176" s="477"/>
      <c r="AV176" s="477"/>
      <c r="AW176" s="477"/>
      <c r="AX176" s="477"/>
      <c r="AY176" s="477"/>
      <c r="AZ176" s="477"/>
      <c r="BA176" s="477"/>
      <c r="BB176" s="477"/>
      <c r="BC176" s="477"/>
    </row>
    <row r="177" spans="1:55" s="382" customFormat="1" x14ac:dyDescent="0.3">
      <c r="A177" s="381"/>
      <c r="AL177" s="477"/>
      <c r="AM177" s="477"/>
      <c r="AN177" s="477"/>
      <c r="AO177" s="477"/>
      <c r="AP177" s="477"/>
      <c r="AQ177" s="477"/>
      <c r="AR177" s="477"/>
      <c r="AS177" s="477"/>
      <c r="AT177" s="477"/>
      <c r="AU177" s="477"/>
      <c r="AV177" s="477"/>
      <c r="AW177" s="477"/>
      <c r="AX177" s="477"/>
      <c r="AY177" s="477"/>
      <c r="AZ177" s="477"/>
      <c r="BA177" s="477"/>
      <c r="BB177" s="477"/>
      <c r="BC177" s="477"/>
    </row>
    <row r="178" spans="1:55" s="382" customFormat="1" x14ac:dyDescent="0.3">
      <c r="A178" s="381"/>
      <c r="AL178" s="477"/>
      <c r="AM178" s="477"/>
      <c r="AN178" s="477"/>
      <c r="AO178" s="477"/>
      <c r="AP178" s="477"/>
      <c r="AQ178" s="477"/>
      <c r="AR178" s="477"/>
      <c r="AS178" s="477"/>
      <c r="AT178" s="477"/>
      <c r="AU178" s="477"/>
      <c r="AV178" s="477"/>
      <c r="AW178" s="477"/>
      <c r="AX178" s="477"/>
      <c r="AY178" s="477"/>
      <c r="AZ178" s="477"/>
      <c r="BA178" s="477"/>
      <c r="BB178" s="477"/>
      <c r="BC178" s="477"/>
    </row>
    <row r="179" spans="1:55" s="382" customFormat="1" x14ac:dyDescent="0.3">
      <c r="A179" s="381"/>
      <c r="AL179" s="477"/>
      <c r="AM179" s="477"/>
      <c r="AN179" s="477"/>
      <c r="AO179" s="477"/>
      <c r="AP179" s="477"/>
      <c r="AQ179" s="477"/>
      <c r="AR179" s="477"/>
      <c r="AS179" s="477"/>
      <c r="AT179" s="477"/>
      <c r="AU179" s="477"/>
      <c r="AV179" s="477"/>
      <c r="AW179" s="477"/>
      <c r="AX179" s="477"/>
      <c r="AY179" s="477"/>
      <c r="AZ179" s="477"/>
      <c r="BA179" s="477"/>
      <c r="BB179" s="477"/>
      <c r="BC179" s="477"/>
    </row>
    <row r="180" spans="1:55" s="382" customFormat="1" x14ac:dyDescent="0.3">
      <c r="A180" s="381"/>
      <c r="AL180" s="477"/>
      <c r="AM180" s="477"/>
      <c r="AN180" s="477"/>
      <c r="AO180" s="477"/>
      <c r="AP180" s="477"/>
      <c r="AQ180" s="477"/>
      <c r="AR180" s="477"/>
      <c r="AS180" s="477"/>
      <c r="AT180" s="477"/>
      <c r="AU180" s="477"/>
      <c r="AV180" s="477"/>
      <c r="AW180" s="477"/>
      <c r="AX180" s="477"/>
      <c r="AY180" s="477"/>
      <c r="AZ180" s="477"/>
      <c r="BA180" s="477"/>
      <c r="BB180" s="477"/>
      <c r="BC180" s="477"/>
    </row>
    <row r="181" spans="1:55" s="382" customFormat="1" x14ac:dyDescent="0.3">
      <c r="A181" s="381"/>
      <c r="AL181" s="477"/>
      <c r="AM181" s="477"/>
      <c r="AN181" s="477"/>
      <c r="AO181" s="477"/>
      <c r="AP181" s="477"/>
      <c r="AQ181" s="477"/>
      <c r="AR181" s="477"/>
      <c r="AS181" s="477"/>
      <c r="AT181" s="477"/>
      <c r="AU181" s="477"/>
      <c r="AV181" s="477"/>
      <c r="AW181" s="477"/>
      <c r="AX181" s="477"/>
      <c r="AY181" s="477"/>
      <c r="AZ181" s="477"/>
      <c r="BA181" s="477"/>
      <c r="BB181" s="477"/>
      <c r="BC181" s="477"/>
    </row>
    <row r="182" spans="1:55" s="382" customFormat="1" x14ac:dyDescent="0.3">
      <c r="A182" s="381"/>
      <c r="AL182" s="477"/>
      <c r="AM182" s="477"/>
      <c r="AN182" s="477"/>
      <c r="AO182" s="477"/>
      <c r="AP182" s="477"/>
      <c r="AQ182" s="477"/>
      <c r="AR182" s="477"/>
      <c r="AS182" s="477"/>
      <c r="AT182" s="477"/>
      <c r="AU182" s="477"/>
      <c r="AV182" s="477"/>
      <c r="AW182" s="477"/>
      <c r="AX182" s="477"/>
      <c r="AY182" s="477"/>
      <c r="AZ182" s="477"/>
      <c r="BA182" s="477"/>
      <c r="BB182" s="477"/>
      <c r="BC182" s="477"/>
    </row>
    <row r="183" spans="1:55" s="382" customFormat="1" x14ac:dyDescent="0.3">
      <c r="A183" s="381"/>
      <c r="AL183" s="477"/>
      <c r="AM183" s="477"/>
      <c r="AN183" s="477"/>
      <c r="AO183" s="477"/>
      <c r="AP183" s="477"/>
      <c r="AQ183" s="477"/>
      <c r="AR183" s="477"/>
      <c r="AS183" s="477"/>
      <c r="AT183" s="477"/>
      <c r="AU183" s="477"/>
      <c r="AV183" s="477"/>
      <c r="AW183" s="477"/>
      <c r="AX183" s="477"/>
      <c r="AY183" s="477"/>
      <c r="AZ183" s="477"/>
      <c r="BA183" s="477"/>
      <c r="BB183" s="477"/>
      <c r="BC183" s="477"/>
    </row>
    <row r="184" spans="1:55" s="382" customFormat="1" x14ac:dyDescent="0.3">
      <c r="A184" s="381"/>
      <c r="AL184" s="477"/>
      <c r="AM184" s="477"/>
      <c r="AN184" s="477"/>
      <c r="AO184" s="477"/>
      <c r="AP184" s="477"/>
      <c r="AQ184" s="477"/>
      <c r="AR184" s="477"/>
      <c r="AS184" s="477"/>
      <c r="AT184" s="477"/>
      <c r="AU184" s="477"/>
      <c r="AV184" s="477"/>
      <c r="AW184" s="477"/>
      <c r="AX184" s="477"/>
      <c r="AY184" s="477"/>
      <c r="AZ184" s="477"/>
      <c r="BA184" s="477"/>
      <c r="BB184" s="477"/>
      <c r="BC184" s="477"/>
    </row>
    <row r="185" spans="1:55" s="382" customFormat="1" x14ac:dyDescent="0.3">
      <c r="A185" s="381"/>
      <c r="AL185" s="477"/>
      <c r="AM185" s="477"/>
      <c r="AN185" s="477"/>
      <c r="AO185" s="477"/>
      <c r="AP185" s="477"/>
      <c r="AQ185" s="477"/>
      <c r="AR185" s="477"/>
      <c r="AS185" s="477"/>
      <c r="AT185" s="477"/>
      <c r="AU185" s="477"/>
      <c r="AV185" s="477"/>
      <c r="AW185" s="477"/>
      <c r="AX185" s="477"/>
      <c r="AY185" s="477"/>
      <c r="AZ185" s="477"/>
      <c r="BA185" s="477"/>
      <c r="BB185" s="477"/>
      <c r="BC185" s="477"/>
    </row>
    <row r="186" spans="1:55" s="382" customFormat="1" x14ac:dyDescent="0.3">
      <c r="A186" s="381"/>
      <c r="AL186" s="477"/>
      <c r="AM186" s="477"/>
      <c r="AN186" s="477"/>
      <c r="AO186" s="477"/>
      <c r="AP186" s="477"/>
      <c r="AQ186" s="477"/>
      <c r="AR186" s="477"/>
      <c r="AS186" s="477"/>
      <c r="AT186" s="477"/>
      <c r="AU186" s="477"/>
      <c r="AV186" s="477"/>
      <c r="AW186" s="477"/>
      <c r="AX186" s="477"/>
      <c r="AY186" s="477"/>
      <c r="AZ186" s="477"/>
      <c r="BA186" s="477"/>
      <c r="BB186" s="477"/>
      <c r="BC186" s="477"/>
    </row>
    <row r="187" spans="1:55" s="382" customFormat="1" x14ac:dyDescent="0.3">
      <c r="A187" s="381"/>
      <c r="AL187" s="477"/>
      <c r="AM187" s="477"/>
      <c r="AN187" s="477"/>
      <c r="AO187" s="477"/>
      <c r="AP187" s="477"/>
      <c r="AQ187" s="477"/>
      <c r="AR187" s="477"/>
      <c r="AS187" s="477"/>
      <c r="AT187" s="477"/>
      <c r="AU187" s="477"/>
      <c r="AV187" s="477"/>
      <c r="AW187" s="477"/>
      <c r="AX187" s="477"/>
      <c r="AY187" s="477"/>
      <c r="AZ187" s="477"/>
      <c r="BA187" s="477"/>
      <c r="BB187" s="477"/>
      <c r="BC187" s="477"/>
    </row>
    <row r="188" spans="1:55" s="382" customFormat="1" x14ac:dyDescent="0.3">
      <c r="A188" s="381"/>
      <c r="AL188" s="477"/>
      <c r="AM188" s="477"/>
      <c r="AN188" s="477"/>
      <c r="AO188" s="477"/>
      <c r="AP188" s="477"/>
      <c r="AQ188" s="477"/>
      <c r="AR188" s="477"/>
      <c r="AS188" s="477"/>
      <c r="AT188" s="477"/>
      <c r="AU188" s="477"/>
      <c r="AV188" s="477"/>
      <c r="AW188" s="477"/>
      <c r="AX188" s="477"/>
      <c r="AY188" s="477"/>
      <c r="AZ188" s="477"/>
      <c r="BA188" s="477"/>
      <c r="BB188" s="477"/>
      <c r="BC188" s="477"/>
    </row>
    <row r="189" spans="1:55" s="382" customFormat="1" x14ac:dyDescent="0.3">
      <c r="A189" s="381"/>
      <c r="AL189" s="477"/>
      <c r="AM189" s="477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477"/>
      <c r="AY189" s="477"/>
      <c r="AZ189" s="477"/>
      <c r="BA189" s="477"/>
      <c r="BB189" s="477"/>
      <c r="BC189" s="477"/>
    </row>
    <row r="190" spans="1:55" s="382" customFormat="1" x14ac:dyDescent="0.3">
      <c r="A190" s="381"/>
      <c r="AL190" s="477"/>
      <c r="AM190" s="477"/>
      <c r="AN190" s="477"/>
      <c r="AO190" s="477"/>
      <c r="AP190" s="477"/>
      <c r="AQ190" s="477"/>
      <c r="AR190" s="477"/>
      <c r="AS190" s="477"/>
      <c r="AT190" s="477"/>
      <c r="AU190" s="477"/>
      <c r="AV190" s="477"/>
      <c r="AW190" s="477"/>
      <c r="AX190" s="477"/>
      <c r="AY190" s="477"/>
      <c r="AZ190" s="477"/>
      <c r="BA190" s="477"/>
      <c r="BB190" s="477"/>
      <c r="BC190" s="477"/>
    </row>
    <row r="191" spans="1:55" s="382" customFormat="1" x14ac:dyDescent="0.3">
      <c r="A191" s="381"/>
      <c r="AL191" s="477"/>
      <c r="AM191" s="477"/>
      <c r="AN191" s="477"/>
      <c r="AO191" s="477"/>
      <c r="AP191" s="477"/>
      <c r="AQ191" s="477"/>
      <c r="AR191" s="477"/>
      <c r="AS191" s="477"/>
      <c r="AT191" s="477"/>
      <c r="AU191" s="477"/>
      <c r="AV191" s="477"/>
      <c r="AW191" s="477"/>
      <c r="AX191" s="477"/>
      <c r="AY191" s="477"/>
      <c r="AZ191" s="477"/>
      <c r="BA191" s="477"/>
      <c r="BB191" s="477"/>
      <c r="BC191" s="477"/>
    </row>
    <row r="192" spans="1:55" s="382" customFormat="1" x14ac:dyDescent="0.3">
      <c r="A192" s="381"/>
      <c r="AL192" s="477"/>
      <c r="AM192" s="477"/>
      <c r="AN192" s="477"/>
      <c r="AO192" s="477"/>
      <c r="AP192" s="477"/>
      <c r="AQ192" s="477"/>
      <c r="AR192" s="477"/>
      <c r="AS192" s="477"/>
      <c r="AT192" s="477"/>
      <c r="AU192" s="477"/>
      <c r="AV192" s="477"/>
      <c r="AW192" s="477"/>
      <c r="AX192" s="477"/>
      <c r="AY192" s="477"/>
      <c r="AZ192" s="477"/>
      <c r="BA192" s="477"/>
      <c r="BB192" s="477"/>
      <c r="BC192" s="477"/>
    </row>
    <row r="193" spans="1:55" s="382" customFormat="1" x14ac:dyDescent="0.3">
      <c r="A193" s="381"/>
      <c r="AL193" s="477"/>
      <c r="AM193" s="477"/>
      <c r="AN193" s="477"/>
      <c r="AO193" s="477"/>
      <c r="AP193" s="477"/>
      <c r="AQ193" s="477"/>
      <c r="AR193" s="477"/>
      <c r="AS193" s="477"/>
      <c r="AT193" s="477"/>
      <c r="AU193" s="477"/>
      <c r="AV193" s="477"/>
      <c r="AW193" s="477"/>
      <c r="AX193" s="477"/>
      <c r="AY193" s="477"/>
      <c r="AZ193" s="477"/>
      <c r="BA193" s="477"/>
      <c r="BB193" s="477"/>
      <c r="BC193" s="477"/>
    </row>
    <row r="194" spans="1:55" s="382" customFormat="1" x14ac:dyDescent="0.3">
      <c r="A194" s="381"/>
      <c r="AL194" s="477"/>
      <c r="AM194" s="477"/>
      <c r="AN194" s="477"/>
      <c r="AO194" s="477"/>
      <c r="AP194" s="477"/>
      <c r="AQ194" s="477"/>
      <c r="AR194" s="477"/>
      <c r="AS194" s="477"/>
      <c r="AT194" s="477"/>
      <c r="AU194" s="477"/>
      <c r="AV194" s="477"/>
      <c r="AW194" s="477"/>
      <c r="AX194" s="477"/>
      <c r="AY194" s="477"/>
      <c r="AZ194" s="477"/>
      <c r="BA194" s="477"/>
      <c r="BB194" s="477"/>
      <c r="BC194" s="477"/>
    </row>
    <row r="195" spans="1:55" s="382" customFormat="1" x14ac:dyDescent="0.3">
      <c r="A195" s="381"/>
      <c r="AL195" s="477"/>
      <c r="AM195" s="477"/>
      <c r="AN195" s="477"/>
      <c r="AO195" s="477"/>
      <c r="AP195" s="477"/>
      <c r="AQ195" s="477"/>
      <c r="AR195" s="477"/>
      <c r="AS195" s="477"/>
      <c r="AT195" s="477"/>
      <c r="AU195" s="477"/>
      <c r="AV195" s="477"/>
      <c r="AW195" s="477"/>
      <c r="AX195" s="477"/>
      <c r="AY195" s="477"/>
      <c r="AZ195" s="477"/>
      <c r="BA195" s="477"/>
      <c r="BB195" s="477"/>
      <c r="BC195" s="477"/>
    </row>
    <row r="196" spans="1:55" s="382" customFormat="1" x14ac:dyDescent="0.3">
      <c r="A196" s="381"/>
      <c r="AL196" s="477"/>
      <c r="AM196" s="477"/>
      <c r="AN196" s="477"/>
      <c r="AO196" s="477"/>
      <c r="AP196" s="477"/>
      <c r="AQ196" s="477"/>
      <c r="AR196" s="477"/>
      <c r="AS196" s="477"/>
      <c r="AT196" s="477"/>
      <c r="AU196" s="477"/>
      <c r="AV196" s="477"/>
      <c r="AW196" s="477"/>
      <c r="AX196" s="477"/>
      <c r="AY196" s="477"/>
      <c r="AZ196" s="477"/>
      <c r="BA196" s="477"/>
      <c r="BB196" s="477"/>
      <c r="BC196" s="477"/>
    </row>
    <row r="197" spans="1:55" s="382" customFormat="1" x14ac:dyDescent="0.3">
      <c r="A197" s="381"/>
      <c r="AL197" s="477"/>
      <c r="AM197" s="477"/>
      <c r="AN197" s="477"/>
      <c r="AO197" s="477"/>
      <c r="AP197" s="477"/>
      <c r="AQ197" s="477"/>
      <c r="AR197" s="477"/>
      <c r="AS197" s="477"/>
      <c r="AT197" s="477"/>
      <c r="AU197" s="477"/>
      <c r="AV197" s="477"/>
      <c r="AW197" s="477"/>
      <c r="AX197" s="477"/>
      <c r="AY197" s="477"/>
      <c r="AZ197" s="477"/>
      <c r="BA197" s="477"/>
      <c r="BB197" s="477"/>
      <c r="BC197" s="477"/>
    </row>
    <row r="198" spans="1:55" s="382" customFormat="1" x14ac:dyDescent="0.3">
      <c r="A198" s="381"/>
      <c r="AL198" s="477"/>
      <c r="AM198" s="477"/>
      <c r="AN198" s="477"/>
      <c r="AO198" s="477"/>
      <c r="AP198" s="477"/>
      <c r="AQ198" s="477"/>
      <c r="AR198" s="477"/>
      <c r="AS198" s="477"/>
      <c r="AT198" s="477"/>
      <c r="AU198" s="477"/>
      <c r="AV198" s="477"/>
      <c r="AW198" s="477"/>
      <c r="AX198" s="477"/>
      <c r="AY198" s="477"/>
      <c r="AZ198" s="477"/>
      <c r="BA198" s="477"/>
      <c r="BB198" s="477"/>
      <c r="BC198" s="477"/>
    </row>
    <row r="199" spans="1:55" s="382" customFormat="1" x14ac:dyDescent="0.3">
      <c r="A199" s="381"/>
      <c r="AL199" s="477"/>
      <c r="AM199" s="477"/>
      <c r="AN199" s="477"/>
      <c r="AO199" s="477"/>
      <c r="AP199" s="477"/>
      <c r="AQ199" s="477"/>
      <c r="AR199" s="477"/>
      <c r="AS199" s="477"/>
      <c r="AT199" s="477"/>
      <c r="AU199" s="477"/>
      <c r="AV199" s="477"/>
      <c r="AW199" s="477"/>
      <c r="AX199" s="477"/>
      <c r="AY199" s="477"/>
      <c r="AZ199" s="477"/>
      <c r="BA199" s="477"/>
      <c r="BB199" s="477"/>
      <c r="BC199" s="477"/>
    </row>
    <row r="200" spans="1:55" s="382" customFormat="1" x14ac:dyDescent="0.3">
      <c r="A200" s="381"/>
      <c r="AL200" s="477"/>
      <c r="AM200" s="477"/>
      <c r="AN200" s="477"/>
      <c r="AO200" s="477"/>
      <c r="AP200" s="477"/>
      <c r="AQ200" s="477"/>
      <c r="AR200" s="477"/>
      <c r="AS200" s="477"/>
      <c r="AT200" s="477"/>
      <c r="AU200" s="477"/>
      <c r="AV200" s="477"/>
      <c r="AW200" s="477"/>
      <c r="AX200" s="477"/>
      <c r="AY200" s="477"/>
      <c r="AZ200" s="477"/>
      <c r="BA200" s="477"/>
      <c r="BB200" s="477"/>
      <c r="BC200" s="477"/>
    </row>
    <row r="201" spans="1:55" s="382" customFormat="1" x14ac:dyDescent="0.3">
      <c r="A201" s="381"/>
      <c r="AL201" s="477"/>
      <c r="AM201" s="477"/>
      <c r="AN201" s="477"/>
      <c r="AO201" s="477"/>
      <c r="AP201" s="477"/>
      <c r="AQ201" s="477"/>
      <c r="AR201" s="477"/>
      <c r="AS201" s="477"/>
      <c r="AT201" s="477"/>
      <c r="AU201" s="477"/>
      <c r="AV201" s="477"/>
      <c r="AW201" s="477"/>
      <c r="AX201" s="477"/>
      <c r="AY201" s="477"/>
      <c r="AZ201" s="477"/>
      <c r="BA201" s="477"/>
      <c r="BB201" s="477"/>
      <c r="BC201" s="477"/>
    </row>
    <row r="202" spans="1:55" s="382" customFormat="1" x14ac:dyDescent="0.3">
      <c r="A202" s="381"/>
      <c r="AL202" s="477"/>
      <c r="AM202" s="477"/>
      <c r="AN202" s="477"/>
      <c r="AO202" s="477"/>
      <c r="AP202" s="477"/>
      <c r="AQ202" s="477"/>
      <c r="AR202" s="477"/>
      <c r="AS202" s="477"/>
      <c r="AT202" s="477"/>
      <c r="AU202" s="477"/>
      <c r="AV202" s="477"/>
      <c r="AW202" s="477"/>
      <c r="AX202" s="477"/>
      <c r="AY202" s="477"/>
      <c r="AZ202" s="477"/>
      <c r="BA202" s="477"/>
      <c r="BB202" s="477"/>
      <c r="BC202" s="477"/>
    </row>
    <row r="203" spans="1:55" s="382" customFormat="1" x14ac:dyDescent="0.3">
      <c r="A203" s="381"/>
      <c r="AL203" s="477"/>
      <c r="AM203" s="477"/>
      <c r="AN203" s="477"/>
      <c r="AO203" s="477"/>
      <c r="AP203" s="477"/>
      <c r="AQ203" s="477"/>
      <c r="AR203" s="477"/>
      <c r="AS203" s="477"/>
      <c r="AT203" s="477"/>
      <c r="AU203" s="477"/>
      <c r="AV203" s="477"/>
      <c r="AW203" s="477"/>
      <c r="AX203" s="477"/>
      <c r="AY203" s="477"/>
      <c r="AZ203" s="477"/>
      <c r="BA203" s="477"/>
      <c r="BB203" s="477"/>
      <c r="BC203" s="477"/>
    </row>
    <row r="204" spans="1:55" s="382" customFormat="1" x14ac:dyDescent="0.3">
      <c r="A204" s="381"/>
      <c r="AL204" s="477"/>
      <c r="AM204" s="477"/>
      <c r="AN204" s="477"/>
      <c r="AO204" s="477"/>
      <c r="AP204" s="477"/>
      <c r="AQ204" s="477"/>
      <c r="AR204" s="477"/>
      <c r="AS204" s="477"/>
      <c r="AT204" s="477"/>
      <c r="AU204" s="477"/>
      <c r="AV204" s="477"/>
      <c r="AW204" s="477"/>
      <c r="AX204" s="477"/>
      <c r="AY204" s="477"/>
      <c r="AZ204" s="477"/>
      <c r="BA204" s="477"/>
      <c r="BB204" s="477"/>
      <c r="BC204" s="477"/>
    </row>
    <row r="205" spans="1:55" s="382" customFormat="1" x14ac:dyDescent="0.3">
      <c r="A205" s="381"/>
      <c r="AL205" s="477"/>
      <c r="AM205" s="477"/>
      <c r="AN205" s="477"/>
      <c r="AO205" s="477"/>
      <c r="AP205" s="477"/>
      <c r="AQ205" s="477"/>
      <c r="AR205" s="477"/>
      <c r="AS205" s="477"/>
      <c r="AT205" s="477"/>
      <c r="AU205" s="477"/>
      <c r="AV205" s="477"/>
      <c r="AW205" s="477"/>
      <c r="AX205" s="477"/>
      <c r="AY205" s="477"/>
      <c r="AZ205" s="477"/>
      <c r="BA205" s="477"/>
      <c r="BB205" s="477"/>
      <c r="BC205" s="477"/>
    </row>
    <row r="206" spans="1:55" s="382" customFormat="1" x14ac:dyDescent="0.3">
      <c r="A206" s="381"/>
      <c r="AL206" s="477"/>
      <c r="AM206" s="477"/>
      <c r="AN206" s="477"/>
      <c r="AO206" s="477"/>
      <c r="AP206" s="477"/>
      <c r="AQ206" s="477"/>
      <c r="AR206" s="477"/>
      <c r="AS206" s="477"/>
      <c r="AT206" s="477"/>
      <c r="AU206" s="477"/>
      <c r="AV206" s="477"/>
      <c r="AW206" s="477"/>
      <c r="AX206" s="477"/>
      <c r="AY206" s="477"/>
      <c r="AZ206" s="477"/>
      <c r="BA206" s="477"/>
      <c r="BB206" s="477"/>
      <c r="BC206" s="477"/>
    </row>
    <row r="207" spans="1:55" s="382" customFormat="1" x14ac:dyDescent="0.3">
      <c r="A207" s="381"/>
      <c r="AL207" s="477"/>
      <c r="AM207" s="477"/>
      <c r="AN207" s="477"/>
      <c r="AO207" s="477"/>
      <c r="AP207" s="477"/>
      <c r="AQ207" s="477"/>
      <c r="AR207" s="477"/>
      <c r="AS207" s="477"/>
      <c r="AT207" s="477"/>
      <c r="AU207" s="477"/>
      <c r="AV207" s="477"/>
      <c r="AW207" s="477"/>
      <c r="AX207" s="477"/>
      <c r="AY207" s="477"/>
      <c r="AZ207" s="477"/>
      <c r="BA207" s="477"/>
      <c r="BB207" s="477"/>
      <c r="BC207" s="477"/>
    </row>
    <row r="208" spans="1:55" s="382" customFormat="1" x14ac:dyDescent="0.3">
      <c r="A208" s="381"/>
      <c r="AL208" s="477"/>
      <c r="AM208" s="477"/>
      <c r="AN208" s="477"/>
      <c r="AO208" s="477"/>
      <c r="AP208" s="477"/>
      <c r="AQ208" s="477"/>
      <c r="AR208" s="477"/>
      <c r="AS208" s="477"/>
      <c r="AT208" s="477"/>
      <c r="AU208" s="477"/>
      <c r="AV208" s="477"/>
      <c r="AW208" s="477"/>
      <c r="AX208" s="477"/>
      <c r="AY208" s="477"/>
      <c r="AZ208" s="477"/>
      <c r="BA208" s="477"/>
      <c r="BB208" s="477"/>
      <c r="BC208" s="477"/>
    </row>
    <row r="209" spans="1:55" s="382" customFormat="1" x14ac:dyDescent="0.3">
      <c r="A209" s="381"/>
      <c r="AL209" s="477"/>
      <c r="AM209" s="477"/>
      <c r="AN209" s="477"/>
      <c r="AO209" s="477"/>
      <c r="AP209" s="477"/>
      <c r="AQ209" s="477"/>
      <c r="AR209" s="477"/>
      <c r="AS209" s="477"/>
      <c r="AT209" s="477"/>
      <c r="AU209" s="477"/>
      <c r="AV209" s="477"/>
      <c r="AW209" s="477"/>
      <c r="AX209" s="477"/>
      <c r="AY209" s="477"/>
      <c r="AZ209" s="477"/>
      <c r="BA209" s="477"/>
      <c r="BB209" s="477"/>
      <c r="BC209" s="477"/>
    </row>
    <row r="210" spans="1:55" s="382" customFormat="1" x14ac:dyDescent="0.3">
      <c r="A210" s="381"/>
      <c r="AL210" s="477"/>
      <c r="AM210" s="477"/>
      <c r="AN210" s="477"/>
      <c r="AO210" s="477"/>
      <c r="AP210" s="477"/>
      <c r="AQ210" s="477"/>
      <c r="AR210" s="477"/>
      <c r="AS210" s="477"/>
      <c r="AT210" s="477"/>
      <c r="AU210" s="477"/>
      <c r="AV210" s="477"/>
      <c r="AW210" s="477"/>
      <c r="AX210" s="477"/>
      <c r="AY210" s="477"/>
      <c r="AZ210" s="477"/>
      <c r="BA210" s="477"/>
      <c r="BB210" s="477"/>
      <c r="BC210" s="477"/>
    </row>
    <row r="211" spans="1:55" s="382" customFormat="1" x14ac:dyDescent="0.3">
      <c r="A211" s="381"/>
      <c r="AL211" s="477"/>
      <c r="AM211" s="477"/>
      <c r="AN211" s="477"/>
      <c r="AO211" s="477"/>
      <c r="AP211" s="477"/>
      <c r="AQ211" s="477"/>
      <c r="AR211" s="477"/>
      <c r="AS211" s="477"/>
      <c r="AT211" s="477"/>
      <c r="AU211" s="477"/>
      <c r="AV211" s="477"/>
      <c r="AW211" s="477"/>
      <c r="AX211" s="477"/>
      <c r="AY211" s="477"/>
      <c r="AZ211" s="477"/>
      <c r="BA211" s="477"/>
      <c r="BB211" s="477"/>
      <c r="BC211" s="477"/>
    </row>
    <row r="212" spans="1:55" s="382" customFormat="1" x14ac:dyDescent="0.3">
      <c r="A212" s="381"/>
      <c r="AL212" s="477"/>
      <c r="AM212" s="477"/>
      <c r="AN212" s="477"/>
      <c r="AO212" s="477"/>
      <c r="AP212" s="477"/>
      <c r="AQ212" s="477"/>
      <c r="AR212" s="477"/>
      <c r="AS212" s="477"/>
      <c r="AT212" s="477"/>
      <c r="AU212" s="477"/>
      <c r="AV212" s="477"/>
      <c r="AW212" s="477"/>
      <c r="AX212" s="477"/>
      <c r="AY212" s="477"/>
      <c r="AZ212" s="477"/>
      <c r="BA212" s="477"/>
      <c r="BB212" s="477"/>
      <c r="BC212" s="477"/>
    </row>
    <row r="213" spans="1:55" s="382" customFormat="1" x14ac:dyDescent="0.3">
      <c r="A213" s="381"/>
      <c r="AL213" s="477"/>
      <c r="AM213" s="477"/>
      <c r="AN213" s="477"/>
      <c r="AO213" s="477"/>
      <c r="AP213" s="477"/>
      <c r="AQ213" s="477"/>
      <c r="AR213" s="477"/>
      <c r="AS213" s="477"/>
      <c r="AT213" s="477"/>
      <c r="AU213" s="477"/>
      <c r="AV213" s="477"/>
      <c r="AW213" s="477"/>
      <c r="AX213" s="477"/>
      <c r="AY213" s="477"/>
      <c r="AZ213" s="477"/>
      <c r="BA213" s="477"/>
      <c r="BB213" s="477"/>
      <c r="BC213" s="477"/>
    </row>
    <row r="214" spans="1:55" s="382" customFormat="1" x14ac:dyDescent="0.3">
      <c r="A214" s="381"/>
      <c r="AL214" s="477"/>
      <c r="AM214" s="477"/>
      <c r="AN214" s="477"/>
      <c r="AO214" s="477"/>
      <c r="AP214" s="477"/>
      <c r="AQ214" s="477"/>
      <c r="AR214" s="477"/>
      <c r="AS214" s="477"/>
      <c r="AT214" s="477"/>
      <c r="AU214" s="477"/>
      <c r="AV214" s="477"/>
      <c r="AW214" s="477"/>
      <c r="AX214" s="477"/>
      <c r="AY214" s="477"/>
      <c r="AZ214" s="477"/>
      <c r="BA214" s="477"/>
      <c r="BB214" s="477"/>
      <c r="BC214" s="477"/>
    </row>
    <row r="215" spans="1:55" s="382" customFormat="1" x14ac:dyDescent="0.3">
      <c r="A215" s="381"/>
      <c r="AL215" s="477"/>
      <c r="AM215" s="477"/>
      <c r="AN215" s="477"/>
      <c r="AO215" s="477"/>
      <c r="AP215" s="477"/>
      <c r="AQ215" s="477"/>
      <c r="AR215" s="477"/>
      <c r="AS215" s="477"/>
      <c r="AT215" s="477"/>
      <c r="AU215" s="477"/>
      <c r="AV215" s="477"/>
      <c r="AW215" s="477"/>
      <c r="AX215" s="477"/>
      <c r="AY215" s="477"/>
      <c r="AZ215" s="477"/>
      <c r="BA215" s="477"/>
      <c r="BB215" s="477"/>
      <c r="BC215" s="477"/>
    </row>
    <row r="216" spans="1:55" s="382" customFormat="1" x14ac:dyDescent="0.3">
      <c r="A216" s="381"/>
      <c r="AL216" s="477"/>
      <c r="AM216" s="477"/>
      <c r="AN216" s="477"/>
      <c r="AO216" s="477"/>
      <c r="AP216" s="477"/>
      <c r="AQ216" s="477"/>
      <c r="AR216" s="477"/>
      <c r="AS216" s="477"/>
      <c r="AT216" s="477"/>
      <c r="AU216" s="477"/>
      <c r="AV216" s="477"/>
      <c r="AW216" s="477"/>
      <c r="AX216" s="477"/>
      <c r="AY216" s="477"/>
      <c r="AZ216" s="477"/>
      <c r="BA216" s="477"/>
      <c r="BB216" s="477"/>
      <c r="BC216" s="477"/>
    </row>
    <row r="217" spans="1:55" s="382" customFormat="1" x14ac:dyDescent="0.3">
      <c r="A217" s="381"/>
      <c r="AL217" s="477"/>
      <c r="AM217" s="477"/>
      <c r="AN217" s="477"/>
      <c r="AO217" s="477"/>
      <c r="AP217" s="477"/>
      <c r="AQ217" s="477"/>
      <c r="AR217" s="477"/>
      <c r="AS217" s="477"/>
      <c r="AT217" s="477"/>
      <c r="AU217" s="477"/>
      <c r="AV217" s="477"/>
      <c r="AW217" s="477"/>
      <c r="AX217" s="477"/>
      <c r="AY217" s="477"/>
      <c r="AZ217" s="477"/>
      <c r="BA217" s="477"/>
      <c r="BB217" s="477"/>
      <c r="BC217" s="477"/>
    </row>
    <row r="218" spans="1:55" s="382" customFormat="1" x14ac:dyDescent="0.3">
      <c r="A218" s="381"/>
      <c r="AL218" s="477"/>
      <c r="AM218" s="477"/>
      <c r="AN218" s="477"/>
      <c r="AO218" s="477"/>
      <c r="AP218" s="477"/>
      <c r="AQ218" s="477"/>
      <c r="AR218" s="477"/>
      <c r="AS218" s="477"/>
      <c r="AT218" s="477"/>
      <c r="AU218" s="477"/>
      <c r="AV218" s="477"/>
      <c r="AW218" s="477"/>
      <c r="AX218" s="477"/>
      <c r="AY218" s="477"/>
      <c r="AZ218" s="477"/>
      <c r="BA218" s="477"/>
      <c r="BB218" s="477"/>
      <c r="BC218" s="477"/>
    </row>
    <row r="219" spans="1:55" s="382" customFormat="1" x14ac:dyDescent="0.3">
      <c r="A219" s="381"/>
      <c r="AL219" s="477"/>
      <c r="AM219" s="477"/>
      <c r="AN219" s="477"/>
      <c r="AO219" s="477"/>
      <c r="AP219" s="477"/>
      <c r="AQ219" s="477"/>
      <c r="AR219" s="477"/>
      <c r="AS219" s="477"/>
      <c r="AT219" s="477"/>
      <c r="AU219" s="477"/>
      <c r="AV219" s="477"/>
      <c r="AW219" s="477"/>
      <c r="AX219" s="477"/>
      <c r="AY219" s="477"/>
      <c r="AZ219" s="477"/>
      <c r="BA219" s="477"/>
      <c r="BB219" s="477"/>
      <c r="BC219" s="477"/>
    </row>
    <row r="220" spans="1:55" s="382" customFormat="1" x14ac:dyDescent="0.3">
      <c r="A220" s="381"/>
      <c r="AL220" s="477"/>
      <c r="AM220" s="477"/>
      <c r="AN220" s="477"/>
      <c r="AO220" s="477"/>
      <c r="AP220" s="477"/>
      <c r="AQ220" s="477"/>
      <c r="AR220" s="477"/>
      <c r="AS220" s="477"/>
      <c r="AT220" s="477"/>
      <c r="AU220" s="477"/>
      <c r="AV220" s="477"/>
      <c r="AW220" s="477"/>
      <c r="AX220" s="477"/>
      <c r="AY220" s="477"/>
      <c r="AZ220" s="477"/>
      <c r="BA220" s="477"/>
      <c r="BB220" s="477"/>
      <c r="BC220" s="477"/>
    </row>
    <row r="221" spans="1:55" s="382" customFormat="1" x14ac:dyDescent="0.3">
      <c r="A221" s="381"/>
      <c r="AL221" s="477"/>
      <c r="AM221" s="477"/>
      <c r="AN221" s="477"/>
      <c r="AO221" s="477"/>
      <c r="AP221" s="477"/>
      <c r="AQ221" s="477"/>
      <c r="AR221" s="477"/>
      <c r="AS221" s="477"/>
      <c r="AT221" s="477"/>
      <c r="AU221" s="477"/>
      <c r="AV221" s="477"/>
      <c r="AW221" s="477"/>
      <c r="AX221" s="477"/>
      <c r="AY221" s="477"/>
      <c r="AZ221" s="477"/>
      <c r="BA221" s="477"/>
      <c r="BB221" s="477"/>
      <c r="BC221" s="477"/>
    </row>
    <row r="222" spans="1:55" s="382" customFormat="1" x14ac:dyDescent="0.3">
      <c r="A222" s="381"/>
      <c r="AL222" s="477"/>
      <c r="AM222" s="477"/>
      <c r="AN222" s="477"/>
      <c r="AO222" s="477"/>
      <c r="AP222" s="477"/>
      <c r="AQ222" s="477"/>
      <c r="AR222" s="477"/>
      <c r="AS222" s="477"/>
      <c r="AT222" s="477"/>
      <c r="AU222" s="477"/>
      <c r="AV222" s="477"/>
      <c r="AW222" s="477"/>
      <c r="AX222" s="477"/>
      <c r="AY222" s="477"/>
      <c r="AZ222" s="477"/>
      <c r="BA222" s="477"/>
      <c r="BB222" s="477"/>
      <c r="BC222" s="477"/>
    </row>
    <row r="223" spans="1:55" s="382" customFormat="1" x14ac:dyDescent="0.3">
      <c r="A223" s="381"/>
      <c r="AL223" s="477"/>
      <c r="AM223" s="477"/>
      <c r="AN223" s="477"/>
      <c r="AO223" s="477"/>
      <c r="AP223" s="477"/>
      <c r="AQ223" s="477"/>
      <c r="AR223" s="477"/>
      <c r="AS223" s="477"/>
      <c r="AT223" s="477"/>
      <c r="AU223" s="477"/>
      <c r="AV223" s="477"/>
      <c r="AW223" s="477"/>
      <c r="AX223" s="477"/>
      <c r="AY223" s="477"/>
      <c r="AZ223" s="477"/>
      <c r="BA223" s="477"/>
      <c r="BB223" s="477"/>
      <c r="BC223" s="477"/>
    </row>
    <row r="224" spans="1:55" s="382" customFormat="1" x14ac:dyDescent="0.3">
      <c r="A224" s="381"/>
      <c r="AL224" s="477"/>
      <c r="AM224" s="477"/>
      <c r="AN224" s="477"/>
      <c r="AO224" s="477"/>
      <c r="AP224" s="477"/>
      <c r="AQ224" s="477"/>
      <c r="AR224" s="477"/>
      <c r="AS224" s="477"/>
      <c r="AT224" s="477"/>
      <c r="AU224" s="477"/>
      <c r="AV224" s="477"/>
      <c r="AW224" s="477"/>
      <c r="AX224" s="477"/>
      <c r="AY224" s="477"/>
      <c r="AZ224" s="477"/>
      <c r="BA224" s="477"/>
      <c r="BB224" s="477"/>
      <c r="BC224" s="477"/>
    </row>
    <row r="225" spans="1:55" s="382" customFormat="1" x14ac:dyDescent="0.3">
      <c r="A225" s="381"/>
      <c r="AL225" s="477"/>
      <c r="AM225" s="477"/>
      <c r="AN225" s="477"/>
      <c r="AO225" s="477"/>
      <c r="AP225" s="477"/>
      <c r="AQ225" s="477"/>
      <c r="AR225" s="477"/>
      <c r="AS225" s="477"/>
      <c r="AT225" s="477"/>
      <c r="AU225" s="477"/>
      <c r="AV225" s="477"/>
      <c r="AW225" s="477"/>
      <c r="AX225" s="477"/>
      <c r="AY225" s="477"/>
      <c r="AZ225" s="477"/>
      <c r="BA225" s="477"/>
      <c r="BB225" s="477"/>
      <c r="BC225" s="477"/>
    </row>
    <row r="226" spans="1:55" s="382" customFormat="1" x14ac:dyDescent="0.3">
      <c r="A226" s="381"/>
      <c r="AL226" s="477"/>
      <c r="AM226" s="477"/>
      <c r="AN226" s="477"/>
      <c r="AO226" s="477"/>
      <c r="AP226" s="477"/>
      <c r="AQ226" s="477"/>
      <c r="AR226" s="477"/>
      <c r="AS226" s="477"/>
      <c r="AT226" s="477"/>
      <c r="AU226" s="477"/>
      <c r="AV226" s="477"/>
      <c r="AW226" s="477"/>
      <c r="AX226" s="477"/>
      <c r="AY226" s="477"/>
      <c r="AZ226" s="477"/>
      <c r="BA226" s="477"/>
      <c r="BB226" s="477"/>
      <c r="BC226" s="477"/>
    </row>
    <row r="227" spans="1:55" s="382" customFormat="1" x14ac:dyDescent="0.3">
      <c r="A227" s="381"/>
      <c r="AL227" s="477"/>
      <c r="AM227" s="477"/>
      <c r="AN227" s="477"/>
      <c r="AO227" s="477"/>
      <c r="AP227" s="477"/>
      <c r="AQ227" s="477"/>
      <c r="AR227" s="477"/>
      <c r="AS227" s="477"/>
      <c r="AT227" s="477"/>
      <c r="AU227" s="477"/>
      <c r="AV227" s="477"/>
      <c r="AW227" s="477"/>
      <c r="AX227" s="477"/>
      <c r="AY227" s="477"/>
      <c r="AZ227" s="477"/>
      <c r="BA227" s="477"/>
      <c r="BB227" s="477"/>
      <c r="BC227" s="477"/>
    </row>
    <row r="228" spans="1:55" s="382" customFormat="1" x14ac:dyDescent="0.3">
      <c r="A228" s="381"/>
      <c r="AL228" s="477"/>
      <c r="AM228" s="477"/>
      <c r="AN228" s="477"/>
      <c r="AO228" s="477"/>
      <c r="AP228" s="477"/>
      <c r="AQ228" s="477"/>
      <c r="AR228" s="477"/>
      <c r="AS228" s="477"/>
      <c r="AT228" s="477"/>
      <c r="AU228" s="477"/>
      <c r="AV228" s="477"/>
      <c r="AW228" s="477"/>
      <c r="AX228" s="477"/>
      <c r="AY228" s="477"/>
      <c r="AZ228" s="477"/>
      <c r="BA228" s="477"/>
      <c r="BB228" s="477"/>
      <c r="BC228" s="477"/>
    </row>
    <row r="229" spans="1:55" s="382" customFormat="1" x14ac:dyDescent="0.3">
      <c r="A229" s="381"/>
      <c r="AL229" s="477"/>
      <c r="AM229" s="477"/>
      <c r="AN229" s="477"/>
      <c r="AO229" s="477"/>
      <c r="AP229" s="477"/>
      <c r="AQ229" s="477"/>
      <c r="AR229" s="477"/>
      <c r="AS229" s="477"/>
      <c r="AT229" s="477"/>
      <c r="AU229" s="477"/>
      <c r="AV229" s="477"/>
      <c r="AW229" s="477"/>
      <c r="AX229" s="477"/>
      <c r="AY229" s="477"/>
      <c r="AZ229" s="477"/>
      <c r="BA229" s="477"/>
      <c r="BB229" s="477"/>
      <c r="BC229" s="477"/>
    </row>
    <row r="230" spans="1:55" s="382" customFormat="1" x14ac:dyDescent="0.3">
      <c r="A230" s="381"/>
      <c r="AL230" s="477"/>
      <c r="AM230" s="477"/>
      <c r="AN230" s="477"/>
      <c r="AO230" s="477"/>
      <c r="AP230" s="477"/>
      <c r="AQ230" s="477"/>
      <c r="AR230" s="477"/>
      <c r="AS230" s="477"/>
      <c r="AT230" s="477"/>
      <c r="AU230" s="477"/>
      <c r="AV230" s="477"/>
      <c r="AW230" s="477"/>
      <c r="AX230" s="477"/>
      <c r="AY230" s="477"/>
      <c r="AZ230" s="477"/>
      <c r="BA230" s="477"/>
      <c r="BB230" s="477"/>
      <c r="BC230" s="477"/>
    </row>
    <row r="231" spans="1:55" s="382" customFormat="1" x14ac:dyDescent="0.3">
      <c r="A231" s="381"/>
      <c r="AL231" s="477"/>
      <c r="AM231" s="477"/>
      <c r="AN231" s="477"/>
      <c r="AO231" s="477"/>
      <c r="AP231" s="477"/>
      <c r="AQ231" s="477"/>
      <c r="AR231" s="477"/>
      <c r="AS231" s="477"/>
      <c r="AT231" s="477"/>
      <c r="AU231" s="477"/>
      <c r="AV231" s="477"/>
      <c r="AW231" s="477"/>
      <c r="AX231" s="477"/>
      <c r="AY231" s="477"/>
      <c r="AZ231" s="477"/>
      <c r="BA231" s="477"/>
      <c r="BB231" s="477"/>
      <c r="BC231" s="477"/>
    </row>
    <row r="232" spans="1:55" s="382" customFormat="1" x14ac:dyDescent="0.3">
      <c r="A232" s="381"/>
      <c r="AL232" s="477"/>
      <c r="AM232" s="477"/>
      <c r="AN232" s="477"/>
      <c r="AO232" s="477"/>
      <c r="AP232" s="477"/>
      <c r="AQ232" s="477"/>
      <c r="AR232" s="477"/>
      <c r="AS232" s="477"/>
      <c r="AT232" s="477"/>
      <c r="AU232" s="477"/>
      <c r="AV232" s="477"/>
      <c r="AW232" s="477"/>
      <c r="AX232" s="477"/>
      <c r="AY232" s="477"/>
      <c r="AZ232" s="477"/>
      <c r="BA232" s="477"/>
      <c r="BB232" s="477"/>
      <c r="BC232" s="477"/>
    </row>
    <row r="233" spans="1:55" s="382" customFormat="1" x14ac:dyDescent="0.3">
      <c r="A233" s="381"/>
      <c r="AL233" s="477"/>
      <c r="AM233" s="477"/>
      <c r="AN233" s="477"/>
      <c r="AO233" s="477"/>
      <c r="AP233" s="477"/>
      <c r="AQ233" s="477"/>
      <c r="AR233" s="477"/>
      <c r="AS233" s="477"/>
      <c r="AT233" s="477"/>
      <c r="AU233" s="477"/>
      <c r="AV233" s="477"/>
      <c r="AW233" s="477"/>
      <c r="AX233" s="477"/>
      <c r="AY233" s="477"/>
      <c r="AZ233" s="477"/>
      <c r="BA233" s="477"/>
      <c r="BB233" s="477"/>
      <c r="BC233" s="477"/>
    </row>
    <row r="234" spans="1:55" s="382" customFormat="1" x14ac:dyDescent="0.3">
      <c r="A234" s="381"/>
      <c r="AL234" s="477"/>
      <c r="AM234" s="477"/>
      <c r="AN234" s="477"/>
      <c r="AO234" s="477"/>
      <c r="AP234" s="477"/>
      <c r="AQ234" s="477"/>
      <c r="AR234" s="477"/>
      <c r="AS234" s="477"/>
      <c r="AT234" s="477"/>
      <c r="AU234" s="477"/>
      <c r="AV234" s="477"/>
      <c r="AW234" s="477"/>
      <c r="AX234" s="477"/>
      <c r="AY234" s="477"/>
      <c r="AZ234" s="477"/>
      <c r="BA234" s="477"/>
      <c r="BB234" s="477"/>
      <c r="BC234" s="477"/>
    </row>
    <row r="235" spans="1:55" s="382" customFormat="1" x14ac:dyDescent="0.3">
      <c r="A235" s="381"/>
      <c r="AL235" s="477"/>
      <c r="AM235" s="477"/>
      <c r="AN235" s="477"/>
      <c r="AO235" s="477"/>
      <c r="AP235" s="477"/>
      <c r="AQ235" s="477"/>
      <c r="AR235" s="477"/>
      <c r="AS235" s="477"/>
      <c r="AT235" s="477"/>
      <c r="AU235" s="477"/>
      <c r="AV235" s="477"/>
      <c r="AW235" s="477"/>
      <c r="AX235" s="477"/>
      <c r="AY235" s="477"/>
      <c r="AZ235" s="477"/>
      <c r="BA235" s="477"/>
      <c r="BB235" s="477"/>
      <c r="BC235" s="477"/>
    </row>
    <row r="236" spans="1:55" s="382" customFormat="1" x14ac:dyDescent="0.3">
      <c r="A236" s="381"/>
      <c r="AL236" s="477"/>
      <c r="AM236" s="477"/>
      <c r="AN236" s="477"/>
      <c r="AO236" s="477"/>
      <c r="AP236" s="477"/>
      <c r="AQ236" s="477"/>
      <c r="AR236" s="477"/>
      <c r="AS236" s="477"/>
      <c r="AT236" s="477"/>
      <c r="AU236" s="477"/>
      <c r="AV236" s="477"/>
      <c r="AW236" s="477"/>
      <c r="AX236" s="477"/>
      <c r="AY236" s="477"/>
      <c r="AZ236" s="477"/>
      <c r="BA236" s="477"/>
      <c r="BB236" s="477"/>
      <c r="BC236" s="477"/>
    </row>
    <row r="237" spans="1:55" s="382" customFormat="1" x14ac:dyDescent="0.3">
      <c r="A237" s="381"/>
      <c r="AL237" s="477"/>
      <c r="AM237" s="477"/>
      <c r="AN237" s="477"/>
      <c r="AO237" s="477"/>
      <c r="AP237" s="477"/>
      <c r="AQ237" s="477"/>
      <c r="AR237" s="477"/>
      <c r="AS237" s="477"/>
      <c r="AT237" s="477"/>
      <c r="AU237" s="477"/>
      <c r="AV237" s="477"/>
      <c r="AW237" s="477"/>
      <c r="AX237" s="477"/>
      <c r="AY237" s="477"/>
      <c r="AZ237" s="477"/>
      <c r="BA237" s="477"/>
      <c r="BB237" s="477"/>
      <c r="BC237" s="477"/>
    </row>
    <row r="238" spans="1:55" s="382" customFormat="1" x14ac:dyDescent="0.3">
      <c r="A238" s="381"/>
      <c r="AL238" s="477"/>
      <c r="AM238" s="477"/>
      <c r="AN238" s="477"/>
      <c r="AO238" s="477"/>
      <c r="AP238" s="477"/>
      <c r="AQ238" s="477"/>
      <c r="AR238" s="477"/>
      <c r="AS238" s="477"/>
      <c r="AT238" s="477"/>
      <c r="AU238" s="477"/>
      <c r="AV238" s="477"/>
      <c r="AW238" s="477"/>
      <c r="AX238" s="477"/>
      <c r="AY238" s="477"/>
      <c r="AZ238" s="477"/>
      <c r="BA238" s="477"/>
      <c r="BB238" s="477"/>
      <c r="BC238" s="477"/>
    </row>
    <row r="239" spans="1:55" s="382" customFormat="1" x14ac:dyDescent="0.3">
      <c r="A239" s="381"/>
      <c r="AL239" s="477"/>
      <c r="AM239" s="477"/>
      <c r="AN239" s="477"/>
      <c r="AO239" s="477"/>
      <c r="AP239" s="477"/>
      <c r="AQ239" s="477"/>
      <c r="AR239" s="477"/>
      <c r="AS239" s="477"/>
      <c r="AT239" s="477"/>
      <c r="AU239" s="477"/>
      <c r="AV239" s="477"/>
      <c r="AW239" s="477"/>
      <c r="AX239" s="477"/>
      <c r="AY239" s="477"/>
      <c r="AZ239" s="477"/>
      <c r="BA239" s="477"/>
      <c r="BB239" s="477"/>
      <c r="BC239" s="477"/>
    </row>
    <row r="240" spans="1:55" s="382" customFormat="1" x14ac:dyDescent="0.3">
      <c r="A240" s="381"/>
      <c r="AL240" s="477"/>
      <c r="AM240" s="477"/>
      <c r="AN240" s="477"/>
      <c r="AO240" s="477"/>
      <c r="AP240" s="477"/>
      <c r="AQ240" s="477"/>
      <c r="AR240" s="477"/>
      <c r="AS240" s="477"/>
      <c r="AT240" s="477"/>
      <c r="AU240" s="477"/>
      <c r="AV240" s="477"/>
      <c r="AW240" s="477"/>
      <c r="AX240" s="477"/>
      <c r="AY240" s="477"/>
      <c r="AZ240" s="477"/>
      <c r="BA240" s="477"/>
      <c r="BB240" s="477"/>
      <c r="BC240" s="477"/>
    </row>
    <row r="241" spans="1:55" s="382" customFormat="1" x14ac:dyDescent="0.3">
      <c r="A241" s="381"/>
      <c r="AL241" s="477"/>
      <c r="AM241" s="477"/>
      <c r="AN241" s="477"/>
      <c r="AO241" s="477"/>
      <c r="AP241" s="477"/>
      <c r="AQ241" s="477"/>
      <c r="AR241" s="477"/>
      <c r="AS241" s="477"/>
      <c r="AT241" s="477"/>
      <c r="AU241" s="477"/>
      <c r="AV241" s="477"/>
      <c r="AW241" s="477"/>
      <c r="AX241" s="477"/>
      <c r="AY241" s="477"/>
      <c r="AZ241" s="477"/>
      <c r="BA241" s="477"/>
      <c r="BB241" s="477"/>
      <c r="BC241" s="477"/>
    </row>
    <row r="242" spans="1:55" s="382" customFormat="1" x14ac:dyDescent="0.3">
      <c r="A242" s="381"/>
      <c r="AL242" s="477"/>
      <c r="AM242" s="477"/>
      <c r="AN242" s="477"/>
      <c r="AO242" s="477"/>
      <c r="AP242" s="477"/>
      <c r="AQ242" s="477"/>
      <c r="AR242" s="477"/>
      <c r="AS242" s="477"/>
      <c r="AT242" s="477"/>
      <c r="AU242" s="477"/>
      <c r="AV242" s="477"/>
      <c r="AW242" s="477"/>
      <c r="AX242" s="477"/>
      <c r="AY242" s="477"/>
      <c r="AZ242" s="477"/>
      <c r="BA242" s="477"/>
      <c r="BB242" s="477"/>
      <c r="BC242" s="477"/>
    </row>
    <row r="243" spans="1:55" s="382" customFormat="1" x14ac:dyDescent="0.3">
      <c r="A243" s="381"/>
      <c r="AL243" s="477"/>
      <c r="AM243" s="477"/>
      <c r="AN243" s="477"/>
      <c r="AO243" s="477"/>
      <c r="AP243" s="477"/>
      <c r="AQ243" s="477"/>
      <c r="AR243" s="477"/>
      <c r="AS243" s="477"/>
      <c r="AT243" s="477"/>
      <c r="AU243" s="477"/>
      <c r="AV243" s="477"/>
      <c r="AW243" s="477"/>
      <c r="AX243" s="477"/>
      <c r="AY243" s="477"/>
      <c r="AZ243" s="477"/>
      <c r="BA243" s="477"/>
      <c r="BB243" s="477"/>
      <c r="BC243" s="477"/>
    </row>
    <row r="244" spans="1:55" s="382" customFormat="1" x14ac:dyDescent="0.3">
      <c r="A244" s="381"/>
      <c r="AL244" s="477"/>
      <c r="AM244" s="477"/>
      <c r="AN244" s="477"/>
      <c r="AO244" s="477"/>
      <c r="AP244" s="477"/>
      <c r="AQ244" s="477"/>
      <c r="AR244" s="477"/>
      <c r="AS244" s="477"/>
      <c r="AT244" s="477"/>
      <c r="AU244" s="477"/>
      <c r="AV244" s="477"/>
      <c r="AW244" s="477"/>
      <c r="AX244" s="477"/>
      <c r="AY244" s="477"/>
      <c r="AZ244" s="477"/>
      <c r="BA244" s="477"/>
      <c r="BB244" s="477"/>
      <c r="BC244" s="477"/>
    </row>
    <row r="245" spans="1:55" s="382" customFormat="1" x14ac:dyDescent="0.3">
      <c r="A245" s="381"/>
      <c r="AL245" s="477"/>
      <c r="AM245" s="477"/>
      <c r="AN245" s="477"/>
      <c r="AO245" s="477"/>
      <c r="AP245" s="477"/>
      <c r="AQ245" s="477"/>
      <c r="AR245" s="477"/>
      <c r="AS245" s="477"/>
      <c r="AT245" s="477"/>
      <c r="AU245" s="477"/>
      <c r="AV245" s="477"/>
      <c r="AW245" s="477"/>
      <c r="AX245" s="477"/>
      <c r="AY245" s="477"/>
      <c r="AZ245" s="477"/>
      <c r="BA245" s="477"/>
      <c r="BB245" s="477"/>
      <c r="BC245" s="477"/>
    </row>
    <row r="246" spans="1:55" s="382" customFormat="1" x14ac:dyDescent="0.3">
      <c r="A246" s="381"/>
      <c r="AL246" s="477"/>
      <c r="AM246" s="477"/>
      <c r="AN246" s="477"/>
      <c r="AO246" s="477"/>
      <c r="AP246" s="477"/>
      <c r="AQ246" s="477"/>
      <c r="AR246" s="477"/>
      <c r="AS246" s="477"/>
      <c r="AT246" s="477"/>
      <c r="AU246" s="477"/>
      <c r="AV246" s="477"/>
      <c r="AW246" s="477"/>
      <c r="AX246" s="477"/>
      <c r="AY246" s="477"/>
      <c r="AZ246" s="477"/>
      <c r="BA246" s="477"/>
      <c r="BB246" s="477"/>
      <c r="BC246" s="477"/>
    </row>
    <row r="247" spans="1:55" s="382" customFormat="1" x14ac:dyDescent="0.3">
      <c r="A247" s="381"/>
      <c r="AL247" s="477"/>
      <c r="AM247" s="477"/>
      <c r="AN247" s="477"/>
      <c r="AO247" s="477"/>
      <c r="AP247" s="477"/>
      <c r="AQ247" s="477"/>
      <c r="AR247" s="477"/>
      <c r="AS247" s="477"/>
      <c r="AT247" s="477"/>
      <c r="AU247" s="477"/>
      <c r="AV247" s="477"/>
      <c r="AW247" s="477"/>
      <c r="AX247" s="477"/>
      <c r="AY247" s="477"/>
      <c r="AZ247" s="477"/>
      <c r="BA247" s="477"/>
      <c r="BB247" s="477"/>
      <c r="BC247" s="477"/>
    </row>
    <row r="248" spans="1:55" s="382" customFormat="1" x14ac:dyDescent="0.3">
      <c r="A248" s="381"/>
      <c r="AL248" s="477"/>
      <c r="AM248" s="477"/>
      <c r="AN248" s="477"/>
      <c r="AO248" s="477"/>
      <c r="AP248" s="477"/>
      <c r="AQ248" s="477"/>
      <c r="AR248" s="477"/>
      <c r="AS248" s="477"/>
      <c r="AT248" s="477"/>
      <c r="AU248" s="477"/>
      <c r="AV248" s="477"/>
      <c r="AW248" s="477"/>
      <c r="AX248" s="477"/>
      <c r="AY248" s="477"/>
      <c r="AZ248" s="477"/>
      <c r="BA248" s="477"/>
      <c r="BB248" s="477"/>
      <c r="BC248" s="477"/>
    </row>
    <row r="249" spans="1:55" s="382" customFormat="1" x14ac:dyDescent="0.3">
      <c r="A249" s="381"/>
      <c r="AL249" s="477"/>
      <c r="AM249" s="477"/>
      <c r="AN249" s="477"/>
      <c r="AO249" s="477"/>
      <c r="AP249" s="477"/>
      <c r="AQ249" s="477"/>
      <c r="AR249" s="477"/>
      <c r="AS249" s="477"/>
      <c r="AT249" s="477"/>
      <c r="AU249" s="477"/>
      <c r="AV249" s="477"/>
      <c r="AW249" s="477"/>
      <c r="AX249" s="477"/>
      <c r="AY249" s="477"/>
      <c r="AZ249" s="477"/>
      <c r="BA249" s="477"/>
      <c r="BB249" s="477"/>
      <c r="BC249" s="477"/>
    </row>
    <row r="250" spans="1:55" s="382" customFormat="1" x14ac:dyDescent="0.3">
      <c r="A250" s="381"/>
      <c r="AL250" s="477"/>
      <c r="AM250" s="477"/>
      <c r="AN250" s="477"/>
      <c r="AO250" s="477"/>
      <c r="AP250" s="477"/>
      <c r="AQ250" s="477"/>
      <c r="AR250" s="477"/>
      <c r="AS250" s="477"/>
      <c r="AT250" s="477"/>
      <c r="AU250" s="477"/>
      <c r="AV250" s="477"/>
      <c r="AW250" s="477"/>
      <c r="AX250" s="477"/>
      <c r="AY250" s="477"/>
      <c r="AZ250" s="477"/>
      <c r="BA250" s="477"/>
      <c r="BB250" s="477"/>
      <c r="BC250" s="477"/>
    </row>
    <row r="251" spans="1:55" s="382" customFormat="1" x14ac:dyDescent="0.3">
      <c r="A251" s="381"/>
      <c r="AL251" s="477"/>
      <c r="AM251" s="477"/>
      <c r="AN251" s="477"/>
      <c r="AO251" s="477"/>
      <c r="AP251" s="477"/>
      <c r="AQ251" s="477"/>
      <c r="AR251" s="477"/>
      <c r="AS251" s="477"/>
      <c r="AT251" s="477"/>
      <c r="AU251" s="477"/>
      <c r="AV251" s="477"/>
      <c r="AW251" s="477"/>
      <c r="AX251" s="477"/>
      <c r="AY251" s="477"/>
      <c r="AZ251" s="477"/>
      <c r="BA251" s="477"/>
      <c r="BB251" s="477"/>
      <c r="BC251" s="477"/>
    </row>
    <row r="252" spans="1:55" s="382" customFormat="1" x14ac:dyDescent="0.3">
      <c r="A252" s="381"/>
      <c r="AL252" s="477"/>
      <c r="AM252" s="477"/>
      <c r="AN252" s="477"/>
      <c r="AO252" s="477"/>
      <c r="AP252" s="477"/>
      <c r="AQ252" s="477"/>
      <c r="AR252" s="477"/>
      <c r="AS252" s="477"/>
      <c r="AT252" s="477"/>
      <c r="AU252" s="477"/>
      <c r="AV252" s="477"/>
      <c r="AW252" s="477"/>
      <c r="AX252" s="477"/>
      <c r="AY252" s="477"/>
      <c r="AZ252" s="477"/>
      <c r="BA252" s="477"/>
      <c r="BB252" s="477"/>
      <c r="BC252" s="477"/>
    </row>
    <row r="253" spans="1:55" s="382" customFormat="1" x14ac:dyDescent="0.3">
      <c r="A253" s="381"/>
      <c r="AL253" s="477"/>
      <c r="AM253" s="477"/>
      <c r="AN253" s="477"/>
      <c r="AO253" s="477"/>
      <c r="AP253" s="477"/>
      <c r="AQ253" s="477"/>
      <c r="AR253" s="477"/>
      <c r="AS253" s="477"/>
      <c r="AT253" s="477"/>
      <c r="AU253" s="477"/>
      <c r="AV253" s="477"/>
      <c r="AW253" s="477"/>
      <c r="AX253" s="477"/>
      <c r="AY253" s="477"/>
      <c r="AZ253" s="477"/>
      <c r="BA253" s="477"/>
      <c r="BB253" s="477"/>
      <c r="BC253" s="477"/>
    </row>
    <row r="254" spans="1:55" s="382" customFormat="1" x14ac:dyDescent="0.3">
      <c r="A254" s="381"/>
      <c r="AL254" s="477"/>
      <c r="AM254" s="477"/>
      <c r="AN254" s="477"/>
      <c r="AO254" s="477"/>
      <c r="AP254" s="477"/>
      <c r="AQ254" s="477"/>
      <c r="AR254" s="477"/>
      <c r="AS254" s="477"/>
      <c r="AT254" s="477"/>
      <c r="AU254" s="477"/>
      <c r="AV254" s="477"/>
      <c r="AW254" s="477"/>
      <c r="AX254" s="477"/>
      <c r="AY254" s="477"/>
      <c r="AZ254" s="477"/>
      <c r="BA254" s="477"/>
      <c r="BB254" s="477"/>
      <c r="BC254" s="477"/>
    </row>
    <row r="255" spans="1:55" s="382" customFormat="1" x14ac:dyDescent="0.3">
      <c r="A255" s="381"/>
      <c r="AL255" s="477"/>
      <c r="AM255" s="477"/>
      <c r="AN255" s="477"/>
      <c r="AO255" s="477"/>
      <c r="AP255" s="477"/>
      <c r="AQ255" s="477"/>
      <c r="AR255" s="477"/>
      <c r="AS255" s="477"/>
      <c r="AT255" s="477"/>
      <c r="AU255" s="477"/>
      <c r="AV255" s="477"/>
      <c r="AW255" s="477"/>
      <c r="AX255" s="477"/>
      <c r="AY255" s="477"/>
      <c r="AZ255" s="477"/>
      <c r="BA255" s="477"/>
      <c r="BB255" s="477"/>
      <c r="BC255" s="477"/>
    </row>
    <row r="256" spans="1:55" s="382" customFormat="1" x14ac:dyDescent="0.3">
      <c r="A256" s="381"/>
      <c r="AL256" s="477"/>
      <c r="AM256" s="477"/>
      <c r="AN256" s="477"/>
      <c r="AO256" s="477"/>
      <c r="AP256" s="477"/>
      <c r="AQ256" s="477"/>
      <c r="AR256" s="477"/>
      <c r="AS256" s="477"/>
      <c r="AT256" s="477"/>
      <c r="AU256" s="477"/>
      <c r="AV256" s="477"/>
      <c r="AW256" s="477"/>
      <c r="AX256" s="477"/>
      <c r="AY256" s="477"/>
      <c r="AZ256" s="477"/>
      <c r="BA256" s="477"/>
      <c r="BB256" s="477"/>
      <c r="BC256" s="477"/>
    </row>
    <row r="257" spans="1:55" s="382" customFormat="1" x14ac:dyDescent="0.3">
      <c r="A257" s="381"/>
      <c r="AL257" s="477"/>
      <c r="AM257" s="477"/>
      <c r="AN257" s="477"/>
      <c r="AO257" s="477"/>
      <c r="AP257" s="477"/>
      <c r="AQ257" s="477"/>
      <c r="AR257" s="477"/>
      <c r="AS257" s="477"/>
      <c r="AT257" s="477"/>
      <c r="AU257" s="477"/>
      <c r="AV257" s="477"/>
      <c r="AW257" s="477"/>
      <c r="AX257" s="477"/>
      <c r="AY257" s="477"/>
      <c r="AZ257" s="477"/>
      <c r="BA257" s="477"/>
      <c r="BB257" s="477"/>
      <c r="BC257" s="477"/>
    </row>
    <row r="258" spans="1:55" s="382" customFormat="1" x14ac:dyDescent="0.3">
      <c r="A258" s="381"/>
      <c r="AL258" s="477"/>
      <c r="AM258" s="477"/>
      <c r="AN258" s="477"/>
      <c r="AO258" s="477"/>
      <c r="AP258" s="477"/>
      <c r="AQ258" s="477"/>
      <c r="AR258" s="477"/>
      <c r="AS258" s="477"/>
      <c r="AT258" s="477"/>
      <c r="AU258" s="477"/>
      <c r="AV258" s="477"/>
      <c r="AW258" s="477"/>
      <c r="AX258" s="477"/>
      <c r="AY258" s="477"/>
      <c r="AZ258" s="477"/>
      <c r="BA258" s="477"/>
      <c r="BB258" s="477"/>
      <c r="BC258" s="477"/>
    </row>
    <row r="259" spans="1:55" s="382" customFormat="1" x14ac:dyDescent="0.3">
      <c r="A259" s="381"/>
      <c r="AL259" s="477"/>
      <c r="AM259" s="477"/>
      <c r="AN259" s="477"/>
      <c r="AO259" s="477"/>
      <c r="AP259" s="477"/>
      <c r="AQ259" s="477"/>
      <c r="AR259" s="477"/>
      <c r="AS259" s="477"/>
      <c r="AT259" s="477"/>
      <c r="AU259" s="477"/>
      <c r="AV259" s="477"/>
      <c r="AW259" s="477"/>
      <c r="AX259" s="477"/>
      <c r="AY259" s="477"/>
      <c r="AZ259" s="477"/>
      <c r="BA259" s="477"/>
      <c r="BB259" s="477"/>
      <c r="BC259" s="477"/>
    </row>
    <row r="260" spans="1:55" s="382" customFormat="1" x14ac:dyDescent="0.3">
      <c r="A260" s="381"/>
      <c r="AL260" s="477"/>
      <c r="AM260" s="477"/>
      <c r="AN260" s="477"/>
      <c r="AO260" s="477"/>
      <c r="AP260" s="477"/>
      <c r="AQ260" s="477"/>
      <c r="AR260" s="477"/>
      <c r="AS260" s="477"/>
      <c r="AT260" s="477"/>
      <c r="AU260" s="477"/>
      <c r="AV260" s="477"/>
      <c r="AW260" s="477"/>
      <c r="AX260" s="477"/>
      <c r="AY260" s="477"/>
      <c r="AZ260" s="477"/>
      <c r="BA260" s="477"/>
      <c r="BB260" s="477"/>
      <c r="BC260" s="477"/>
    </row>
    <row r="261" spans="1:55" s="382" customFormat="1" x14ac:dyDescent="0.3">
      <c r="A261" s="381"/>
      <c r="AL261" s="477"/>
      <c r="AM261" s="477"/>
      <c r="AN261" s="477"/>
      <c r="AO261" s="477"/>
      <c r="AP261" s="477"/>
      <c r="AQ261" s="477"/>
      <c r="AR261" s="477"/>
      <c r="AS261" s="477"/>
      <c r="AT261" s="477"/>
      <c r="AU261" s="477"/>
      <c r="AV261" s="477"/>
      <c r="AW261" s="477"/>
      <c r="AX261" s="477"/>
      <c r="AY261" s="477"/>
      <c r="AZ261" s="477"/>
      <c r="BA261" s="477"/>
      <c r="BB261" s="477"/>
      <c r="BC261" s="477"/>
    </row>
    <row r="262" spans="1:55" s="382" customFormat="1" x14ac:dyDescent="0.3">
      <c r="A262" s="381"/>
      <c r="AL262" s="477"/>
      <c r="AM262" s="477"/>
      <c r="AN262" s="477"/>
      <c r="AO262" s="477"/>
      <c r="AP262" s="477"/>
      <c r="AQ262" s="477"/>
      <c r="AR262" s="477"/>
      <c r="AS262" s="477"/>
      <c r="AT262" s="477"/>
      <c r="AU262" s="477"/>
      <c r="AV262" s="477"/>
      <c r="AW262" s="477"/>
      <c r="AX262" s="477"/>
      <c r="AY262" s="477"/>
      <c r="AZ262" s="477"/>
      <c r="BA262" s="477"/>
      <c r="BB262" s="477"/>
      <c r="BC262" s="477"/>
    </row>
    <row r="263" spans="1:55" s="382" customFormat="1" x14ac:dyDescent="0.3">
      <c r="A263" s="381"/>
      <c r="AL263" s="477"/>
      <c r="AM263" s="477"/>
      <c r="AN263" s="477"/>
      <c r="AO263" s="477"/>
      <c r="AP263" s="477"/>
      <c r="AQ263" s="477"/>
      <c r="AR263" s="477"/>
      <c r="AS263" s="477"/>
      <c r="AT263" s="477"/>
      <c r="AU263" s="477"/>
      <c r="AV263" s="477"/>
      <c r="AW263" s="477"/>
      <c r="AX263" s="477"/>
      <c r="AY263" s="477"/>
      <c r="AZ263" s="477"/>
      <c r="BA263" s="477"/>
      <c r="BB263" s="477"/>
      <c r="BC263" s="477"/>
    </row>
    <row r="264" spans="1:55" s="382" customFormat="1" x14ac:dyDescent="0.3">
      <c r="A264" s="381"/>
      <c r="AL264" s="477"/>
      <c r="AM264" s="477"/>
      <c r="AN264" s="477"/>
      <c r="AO264" s="477"/>
      <c r="AP264" s="477"/>
      <c r="AQ264" s="477"/>
      <c r="AR264" s="477"/>
      <c r="AS264" s="477"/>
      <c r="AT264" s="477"/>
      <c r="AU264" s="477"/>
      <c r="AV264" s="477"/>
      <c r="AW264" s="477"/>
      <c r="AX264" s="477"/>
      <c r="AY264" s="477"/>
      <c r="AZ264" s="477"/>
      <c r="BA264" s="477"/>
      <c r="BB264" s="477"/>
      <c r="BC264" s="477"/>
    </row>
    <row r="265" spans="1:55" s="382" customFormat="1" x14ac:dyDescent="0.3">
      <c r="A265" s="381"/>
      <c r="AL265" s="477"/>
      <c r="AM265" s="477"/>
      <c r="AN265" s="477"/>
      <c r="AO265" s="477"/>
      <c r="AP265" s="477"/>
      <c r="AQ265" s="477"/>
      <c r="AR265" s="477"/>
      <c r="AS265" s="477"/>
      <c r="AT265" s="477"/>
      <c r="AU265" s="477"/>
      <c r="AV265" s="477"/>
      <c r="AW265" s="477"/>
      <c r="AX265" s="477"/>
      <c r="AY265" s="477"/>
      <c r="AZ265" s="477"/>
      <c r="BA265" s="477"/>
      <c r="BB265" s="477"/>
      <c r="BC265" s="477"/>
    </row>
    <row r="266" spans="1:55" s="382" customFormat="1" x14ac:dyDescent="0.3">
      <c r="A266" s="381"/>
      <c r="AL266" s="477"/>
      <c r="AM266" s="477"/>
      <c r="AN266" s="477"/>
      <c r="AO266" s="477"/>
      <c r="AP266" s="477"/>
      <c r="AQ266" s="477"/>
      <c r="AR266" s="477"/>
      <c r="AS266" s="477"/>
      <c r="AT266" s="477"/>
      <c r="AU266" s="477"/>
      <c r="AV266" s="477"/>
      <c r="AW266" s="477"/>
      <c r="AX266" s="477"/>
      <c r="AY266" s="477"/>
      <c r="AZ266" s="477"/>
      <c r="BA266" s="477"/>
      <c r="BB266" s="477"/>
      <c r="BC266" s="477"/>
    </row>
    <row r="267" spans="1:55" s="382" customFormat="1" x14ac:dyDescent="0.3">
      <c r="A267" s="381"/>
      <c r="AL267" s="477"/>
      <c r="AM267" s="477"/>
      <c r="AN267" s="477"/>
      <c r="AO267" s="477"/>
      <c r="AP267" s="477"/>
      <c r="AQ267" s="477"/>
      <c r="AR267" s="477"/>
      <c r="AS267" s="477"/>
      <c r="AT267" s="477"/>
      <c r="AU267" s="477"/>
      <c r="AV267" s="477"/>
      <c r="AW267" s="477"/>
      <c r="AX267" s="477"/>
      <c r="AY267" s="477"/>
      <c r="AZ267" s="477"/>
      <c r="BA267" s="477"/>
      <c r="BB267" s="477"/>
      <c r="BC267" s="477"/>
    </row>
    <row r="268" spans="1:55" s="382" customFormat="1" x14ac:dyDescent="0.3">
      <c r="A268" s="381"/>
      <c r="AL268" s="477"/>
      <c r="AM268" s="477"/>
      <c r="AN268" s="477"/>
      <c r="AO268" s="477"/>
      <c r="AP268" s="477"/>
      <c r="AQ268" s="477"/>
      <c r="AR268" s="477"/>
      <c r="AS268" s="477"/>
      <c r="AT268" s="477"/>
      <c r="AU268" s="477"/>
      <c r="AV268" s="477"/>
      <c r="AW268" s="477"/>
      <c r="AX268" s="477"/>
      <c r="AY268" s="477"/>
      <c r="AZ268" s="477"/>
      <c r="BA268" s="477"/>
      <c r="BB268" s="477"/>
      <c r="BC268" s="477"/>
    </row>
    <row r="269" spans="1:55" s="382" customFormat="1" x14ac:dyDescent="0.3">
      <c r="A269" s="381"/>
      <c r="AL269" s="477"/>
      <c r="AM269" s="477"/>
      <c r="AN269" s="477"/>
      <c r="AO269" s="477"/>
      <c r="AP269" s="477"/>
      <c r="AQ269" s="477"/>
      <c r="AR269" s="477"/>
      <c r="AS269" s="477"/>
      <c r="AT269" s="477"/>
      <c r="AU269" s="477"/>
      <c r="AV269" s="477"/>
      <c r="AW269" s="477"/>
      <c r="AX269" s="477"/>
      <c r="AY269" s="477"/>
      <c r="AZ269" s="477"/>
      <c r="BA269" s="477"/>
      <c r="BB269" s="477"/>
      <c r="BC269" s="477"/>
    </row>
    <row r="270" spans="1:55" s="382" customFormat="1" x14ac:dyDescent="0.3">
      <c r="A270" s="381"/>
      <c r="AL270" s="477"/>
      <c r="AM270" s="477"/>
      <c r="AN270" s="477"/>
      <c r="AO270" s="477"/>
      <c r="AP270" s="477"/>
      <c r="AQ270" s="477"/>
      <c r="AR270" s="477"/>
      <c r="AS270" s="477"/>
      <c r="AT270" s="477"/>
      <c r="AU270" s="477"/>
      <c r="AV270" s="477"/>
      <c r="AW270" s="477"/>
      <c r="AX270" s="477"/>
      <c r="AY270" s="477"/>
      <c r="AZ270" s="477"/>
      <c r="BA270" s="477"/>
      <c r="BB270" s="477"/>
      <c r="BC270" s="477"/>
    </row>
    <row r="271" spans="1:55" s="382" customFormat="1" x14ac:dyDescent="0.3">
      <c r="A271" s="381"/>
      <c r="AL271" s="477"/>
      <c r="AM271" s="477"/>
      <c r="AN271" s="477"/>
      <c r="AO271" s="477"/>
      <c r="AP271" s="477"/>
      <c r="AQ271" s="477"/>
      <c r="AR271" s="477"/>
      <c r="AS271" s="477"/>
      <c r="AT271" s="477"/>
      <c r="AU271" s="477"/>
      <c r="AV271" s="477"/>
      <c r="AW271" s="477"/>
      <c r="AX271" s="477"/>
      <c r="AY271" s="477"/>
      <c r="AZ271" s="477"/>
      <c r="BA271" s="477"/>
      <c r="BB271" s="477"/>
      <c r="BC271" s="477"/>
    </row>
    <row r="272" spans="1:55" s="382" customFormat="1" x14ac:dyDescent="0.3">
      <c r="A272" s="381"/>
      <c r="AL272" s="477"/>
      <c r="AM272" s="477"/>
      <c r="AN272" s="477"/>
      <c r="AO272" s="477"/>
      <c r="AP272" s="477"/>
      <c r="AQ272" s="477"/>
      <c r="AR272" s="477"/>
      <c r="AS272" s="477"/>
      <c r="AT272" s="477"/>
      <c r="AU272" s="477"/>
      <c r="AV272" s="477"/>
      <c r="AW272" s="477"/>
      <c r="AX272" s="477"/>
      <c r="AY272" s="477"/>
      <c r="AZ272" s="477"/>
      <c r="BA272" s="477"/>
      <c r="BB272" s="477"/>
      <c r="BC272" s="477"/>
    </row>
    <row r="273" spans="1:55" s="382" customFormat="1" x14ac:dyDescent="0.3">
      <c r="A273" s="381"/>
      <c r="AL273" s="477"/>
      <c r="AM273" s="477"/>
      <c r="AN273" s="477"/>
      <c r="AO273" s="477"/>
      <c r="AP273" s="477"/>
      <c r="AQ273" s="477"/>
      <c r="AR273" s="477"/>
      <c r="AS273" s="477"/>
      <c r="AT273" s="477"/>
      <c r="AU273" s="477"/>
      <c r="AV273" s="477"/>
      <c r="AW273" s="477"/>
      <c r="AX273" s="477"/>
      <c r="AY273" s="477"/>
      <c r="AZ273" s="477"/>
      <c r="BA273" s="477"/>
      <c r="BB273" s="477"/>
      <c r="BC273" s="477"/>
    </row>
    <row r="274" spans="1:55" s="382" customFormat="1" x14ac:dyDescent="0.3">
      <c r="A274" s="381"/>
      <c r="AL274" s="477"/>
      <c r="AM274" s="477"/>
      <c r="AN274" s="477"/>
      <c r="AO274" s="477"/>
      <c r="AP274" s="477"/>
      <c r="AQ274" s="477"/>
      <c r="AR274" s="477"/>
      <c r="AS274" s="477"/>
      <c r="AT274" s="477"/>
      <c r="AU274" s="477"/>
      <c r="AV274" s="477"/>
      <c r="AW274" s="477"/>
      <c r="AX274" s="477"/>
      <c r="AY274" s="477"/>
      <c r="AZ274" s="477"/>
      <c r="BA274" s="477"/>
      <c r="BB274" s="477"/>
      <c r="BC274" s="477"/>
    </row>
    <row r="275" spans="1:55" s="382" customFormat="1" x14ac:dyDescent="0.3">
      <c r="A275" s="381"/>
      <c r="AL275" s="477"/>
      <c r="AM275" s="477"/>
      <c r="AN275" s="477"/>
      <c r="AO275" s="477"/>
      <c r="AP275" s="477"/>
      <c r="AQ275" s="477"/>
      <c r="AR275" s="477"/>
      <c r="AS275" s="477"/>
      <c r="AT275" s="477"/>
      <c r="AU275" s="477"/>
      <c r="AV275" s="477"/>
      <c r="AW275" s="477"/>
      <c r="AX275" s="477"/>
      <c r="AY275" s="477"/>
      <c r="AZ275" s="477"/>
      <c r="BA275" s="477"/>
      <c r="BB275" s="477"/>
      <c r="BC275" s="477"/>
    </row>
    <row r="276" spans="1:55" s="382" customFormat="1" x14ac:dyDescent="0.3">
      <c r="A276" s="381"/>
      <c r="AL276" s="477"/>
      <c r="AM276" s="477"/>
      <c r="AN276" s="477"/>
      <c r="AO276" s="477"/>
      <c r="AP276" s="477"/>
      <c r="AQ276" s="477"/>
      <c r="AR276" s="477"/>
      <c r="AS276" s="477"/>
      <c r="AT276" s="477"/>
      <c r="AU276" s="477"/>
      <c r="AV276" s="477"/>
      <c r="AW276" s="477"/>
      <c r="AX276" s="477"/>
      <c r="AY276" s="477"/>
      <c r="AZ276" s="477"/>
      <c r="BA276" s="477"/>
      <c r="BB276" s="477"/>
      <c r="BC276" s="477"/>
    </row>
    <row r="277" spans="1:55" s="382" customFormat="1" x14ac:dyDescent="0.3">
      <c r="A277" s="381"/>
      <c r="AL277" s="477"/>
      <c r="AM277" s="477"/>
      <c r="AN277" s="477"/>
      <c r="AO277" s="477"/>
      <c r="AP277" s="477"/>
      <c r="AQ277" s="477"/>
      <c r="AR277" s="477"/>
      <c r="AS277" s="477"/>
      <c r="AT277" s="477"/>
      <c r="AU277" s="477"/>
      <c r="AV277" s="477"/>
      <c r="AW277" s="477"/>
      <c r="AX277" s="477"/>
      <c r="AY277" s="477"/>
      <c r="AZ277" s="477"/>
      <c r="BA277" s="477"/>
      <c r="BB277" s="477"/>
      <c r="BC277" s="477"/>
    </row>
    <row r="278" spans="1:55" s="382" customFormat="1" x14ac:dyDescent="0.3">
      <c r="A278" s="381"/>
      <c r="AL278" s="477"/>
      <c r="AM278" s="477"/>
      <c r="AN278" s="477"/>
      <c r="AO278" s="477"/>
      <c r="AP278" s="477"/>
      <c r="AQ278" s="477"/>
      <c r="AR278" s="477"/>
      <c r="AS278" s="477"/>
      <c r="AT278" s="477"/>
      <c r="AU278" s="477"/>
      <c r="AV278" s="477"/>
      <c r="AW278" s="477"/>
      <c r="AX278" s="477"/>
      <c r="AY278" s="477"/>
      <c r="AZ278" s="477"/>
      <c r="BA278" s="477"/>
      <c r="BB278" s="477"/>
      <c r="BC278" s="477"/>
    </row>
    <row r="279" spans="1:55" s="382" customFormat="1" x14ac:dyDescent="0.3">
      <c r="A279" s="381"/>
      <c r="AL279" s="477"/>
      <c r="AM279" s="477"/>
      <c r="AN279" s="477"/>
      <c r="AO279" s="477"/>
      <c r="AP279" s="477"/>
      <c r="AQ279" s="477"/>
      <c r="AR279" s="477"/>
      <c r="AS279" s="477"/>
      <c r="AT279" s="477"/>
      <c r="AU279" s="477"/>
      <c r="AV279" s="477"/>
      <c r="AW279" s="477"/>
      <c r="AX279" s="477"/>
      <c r="AY279" s="477"/>
      <c r="AZ279" s="477"/>
      <c r="BA279" s="477"/>
      <c r="BB279" s="477"/>
      <c r="BC279" s="477"/>
    </row>
    <row r="280" spans="1:55" s="382" customFormat="1" x14ac:dyDescent="0.3">
      <c r="A280" s="381"/>
      <c r="AL280" s="477"/>
      <c r="AM280" s="477"/>
      <c r="AN280" s="477"/>
      <c r="AO280" s="477"/>
      <c r="AP280" s="477"/>
      <c r="AQ280" s="477"/>
      <c r="AR280" s="477"/>
      <c r="AS280" s="477"/>
      <c r="AT280" s="477"/>
      <c r="AU280" s="477"/>
      <c r="AV280" s="477"/>
      <c r="AW280" s="477"/>
      <c r="AX280" s="477"/>
      <c r="AY280" s="477"/>
      <c r="AZ280" s="477"/>
      <c r="BA280" s="477"/>
      <c r="BB280" s="477"/>
      <c r="BC280" s="477"/>
    </row>
    <row r="281" spans="1:55" s="382" customFormat="1" x14ac:dyDescent="0.3">
      <c r="A281" s="381"/>
      <c r="AL281" s="477"/>
      <c r="AM281" s="477"/>
      <c r="AN281" s="477"/>
      <c r="AO281" s="477"/>
      <c r="AP281" s="477"/>
      <c r="AQ281" s="477"/>
      <c r="AR281" s="477"/>
      <c r="AS281" s="477"/>
      <c r="AT281" s="477"/>
      <c r="AU281" s="477"/>
      <c r="AV281" s="477"/>
      <c r="AW281" s="477"/>
      <c r="AX281" s="477"/>
      <c r="AY281" s="477"/>
      <c r="AZ281" s="477"/>
      <c r="BA281" s="477"/>
      <c r="BB281" s="477"/>
      <c r="BC281" s="477"/>
    </row>
    <row r="282" spans="1:55" s="382" customFormat="1" x14ac:dyDescent="0.3">
      <c r="A282" s="381"/>
      <c r="AL282" s="477"/>
      <c r="AM282" s="477"/>
      <c r="AN282" s="477"/>
      <c r="AO282" s="477"/>
      <c r="AP282" s="477"/>
      <c r="AQ282" s="477"/>
      <c r="AR282" s="477"/>
      <c r="AS282" s="477"/>
      <c r="AT282" s="477"/>
      <c r="AU282" s="477"/>
      <c r="AV282" s="477"/>
      <c r="AW282" s="477"/>
      <c r="AX282" s="477"/>
      <c r="AY282" s="477"/>
      <c r="AZ282" s="477"/>
      <c r="BA282" s="477"/>
      <c r="BB282" s="477"/>
      <c r="BC282" s="477"/>
    </row>
    <row r="283" spans="1:55" s="382" customFormat="1" x14ac:dyDescent="0.3">
      <c r="A283" s="381"/>
      <c r="AL283" s="477"/>
      <c r="AM283" s="477"/>
      <c r="AN283" s="477"/>
      <c r="AO283" s="477"/>
      <c r="AP283" s="477"/>
      <c r="AQ283" s="477"/>
      <c r="AR283" s="477"/>
      <c r="AS283" s="477"/>
      <c r="AT283" s="477"/>
      <c r="AU283" s="477"/>
      <c r="AV283" s="477"/>
      <c r="AW283" s="477"/>
      <c r="AX283" s="477"/>
      <c r="AY283" s="477"/>
      <c r="AZ283" s="477"/>
      <c r="BA283" s="477"/>
      <c r="BB283" s="477"/>
      <c r="BC283" s="477"/>
    </row>
    <row r="284" spans="1:55" s="382" customFormat="1" x14ac:dyDescent="0.3">
      <c r="A284" s="381"/>
      <c r="AL284" s="477"/>
      <c r="AM284" s="477"/>
      <c r="AN284" s="477"/>
      <c r="AO284" s="477"/>
      <c r="AP284" s="477"/>
      <c r="AQ284" s="477"/>
      <c r="AR284" s="477"/>
      <c r="AS284" s="477"/>
      <c r="AT284" s="477"/>
      <c r="AU284" s="477"/>
      <c r="AV284" s="477"/>
      <c r="AW284" s="477"/>
      <c r="AX284" s="477"/>
      <c r="AY284" s="477"/>
      <c r="AZ284" s="477"/>
      <c r="BA284" s="477"/>
      <c r="BB284" s="477"/>
      <c r="BC284" s="477"/>
    </row>
    <row r="285" spans="1:55" s="382" customFormat="1" x14ac:dyDescent="0.3">
      <c r="A285" s="381"/>
      <c r="AL285" s="477"/>
      <c r="AM285" s="477"/>
      <c r="AN285" s="477"/>
      <c r="AO285" s="477"/>
      <c r="AP285" s="477"/>
      <c r="AQ285" s="477"/>
      <c r="AR285" s="477"/>
      <c r="AS285" s="477"/>
      <c r="AT285" s="477"/>
      <c r="AU285" s="477"/>
      <c r="AV285" s="477"/>
      <c r="AW285" s="477"/>
      <c r="AX285" s="477"/>
      <c r="AY285" s="477"/>
      <c r="AZ285" s="477"/>
      <c r="BA285" s="477"/>
      <c r="BB285" s="477"/>
      <c r="BC285" s="477"/>
    </row>
    <row r="286" spans="1:55" s="382" customFormat="1" x14ac:dyDescent="0.3">
      <c r="A286" s="381"/>
      <c r="AL286" s="477"/>
      <c r="AM286" s="477"/>
      <c r="AN286" s="477"/>
      <c r="AO286" s="477"/>
      <c r="AP286" s="477"/>
      <c r="AQ286" s="477"/>
      <c r="AR286" s="477"/>
      <c r="AS286" s="477"/>
      <c r="AT286" s="477"/>
      <c r="AU286" s="477"/>
      <c r="AV286" s="477"/>
      <c r="AW286" s="477"/>
      <c r="AX286" s="477"/>
      <c r="AY286" s="477"/>
      <c r="AZ286" s="477"/>
      <c r="BA286" s="477"/>
      <c r="BB286" s="477"/>
      <c r="BC286" s="477"/>
    </row>
    <row r="287" spans="1:55" s="382" customFormat="1" x14ac:dyDescent="0.3">
      <c r="A287" s="381"/>
      <c r="AL287" s="477"/>
      <c r="AM287" s="477"/>
      <c r="AN287" s="477"/>
      <c r="AO287" s="477"/>
      <c r="AP287" s="477"/>
      <c r="AQ287" s="477"/>
      <c r="AR287" s="477"/>
      <c r="AS287" s="477"/>
      <c r="AT287" s="477"/>
      <c r="AU287" s="477"/>
      <c r="AV287" s="477"/>
      <c r="AW287" s="477"/>
      <c r="AX287" s="477"/>
      <c r="AY287" s="477"/>
      <c r="AZ287" s="477"/>
      <c r="BA287" s="477"/>
      <c r="BB287" s="477"/>
      <c r="BC287" s="477"/>
    </row>
    <row r="288" spans="1:55" s="382" customFormat="1" x14ac:dyDescent="0.3">
      <c r="A288" s="381"/>
      <c r="AL288" s="477"/>
      <c r="AM288" s="477"/>
      <c r="AN288" s="477"/>
      <c r="AO288" s="477"/>
      <c r="AP288" s="477"/>
      <c r="AQ288" s="477"/>
      <c r="AR288" s="477"/>
      <c r="AS288" s="477"/>
      <c r="AT288" s="477"/>
      <c r="AU288" s="477"/>
      <c r="AV288" s="477"/>
      <c r="AW288" s="477"/>
      <c r="AX288" s="477"/>
      <c r="AY288" s="477"/>
      <c r="AZ288" s="477"/>
      <c r="BA288" s="477"/>
      <c r="BB288" s="477"/>
      <c r="BC288" s="477"/>
    </row>
    <row r="289" spans="1:55" s="382" customFormat="1" x14ac:dyDescent="0.3">
      <c r="A289" s="381"/>
      <c r="AL289" s="477"/>
      <c r="AM289" s="477"/>
      <c r="AN289" s="477"/>
      <c r="AO289" s="477"/>
      <c r="AP289" s="477"/>
      <c r="AQ289" s="477"/>
      <c r="AR289" s="477"/>
      <c r="AS289" s="477"/>
      <c r="AT289" s="477"/>
      <c r="AU289" s="477"/>
      <c r="AV289" s="477"/>
      <c r="AW289" s="477"/>
      <c r="AX289" s="477"/>
      <c r="AY289" s="477"/>
      <c r="AZ289" s="477"/>
      <c r="BA289" s="477"/>
      <c r="BB289" s="477"/>
      <c r="BC289" s="477"/>
    </row>
    <row r="290" spans="1:55" s="382" customFormat="1" x14ac:dyDescent="0.3">
      <c r="A290" s="381"/>
      <c r="AL290" s="477"/>
      <c r="AM290" s="477"/>
      <c r="AN290" s="477"/>
      <c r="AO290" s="477"/>
      <c r="AP290" s="477"/>
      <c r="AQ290" s="477"/>
      <c r="AR290" s="477"/>
      <c r="AS290" s="477"/>
      <c r="AT290" s="477"/>
      <c r="AU290" s="477"/>
      <c r="AV290" s="477"/>
      <c r="AW290" s="477"/>
      <c r="AX290" s="477"/>
      <c r="AY290" s="477"/>
      <c r="AZ290" s="477"/>
      <c r="BA290" s="477"/>
      <c r="BB290" s="477"/>
      <c r="BC290" s="477"/>
    </row>
    <row r="291" spans="1:55" s="382" customFormat="1" x14ac:dyDescent="0.3">
      <c r="A291" s="381"/>
      <c r="AL291" s="477"/>
      <c r="AM291" s="477"/>
      <c r="AN291" s="477"/>
      <c r="AO291" s="477"/>
      <c r="AP291" s="477"/>
      <c r="AQ291" s="477"/>
      <c r="AR291" s="477"/>
      <c r="AS291" s="477"/>
      <c r="AT291" s="477"/>
      <c r="AU291" s="477"/>
      <c r="AV291" s="477"/>
      <c r="AW291" s="477"/>
      <c r="AX291" s="477"/>
      <c r="AY291" s="477"/>
      <c r="AZ291" s="477"/>
      <c r="BA291" s="477"/>
      <c r="BB291" s="477"/>
      <c r="BC291" s="477"/>
    </row>
    <row r="292" spans="1:55" s="382" customFormat="1" x14ac:dyDescent="0.3">
      <c r="A292" s="381"/>
      <c r="AL292" s="477"/>
      <c r="AM292" s="477"/>
      <c r="AN292" s="477"/>
      <c r="AO292" s="477"/>
      <c r="AP292" s="477"/>
      <c r="AQ292" s="477"/>
      <c r="AR292" s="477"/>
      <c r="AS292" s="477"/>
      <c r="AT292" s="477"/>
      <c r="AU292" s="477"/>
      <c r="AV292" s="477"/>
      <c r="AW292" s="477"/>
      <c r="AX292" s="477"/>
      <c r="AY292" s="477"/>
      <c r="AZ292" s="477"/>
      <c r="BA292" s="477"/>
      <c r="BB292" s="477"/>
      <c r="BC292" s="477"/>
    </row>
    <row r="293" spans="1:55" s="382" customFormat="1" x14ac:dyDescent="0.3">
      <c r="A293" s="381"/>
      <c r="AL293" s="477"/>
      <c r="AM293" s="477"/>
      <c r="AN293" s="477"/>
      <c r="AO293" s="477"/>
      <c r="AP293" s="477"/>
      <c r="AQ293" s="477"/>
      <c r="AR293" s="477"/>
      <c r="AS293" s="477"/>
      <c r="AT293" s="477"/>
      <c r="AU293" s="477"/>
      <c r="AV293" s="477"/>
      <c r="AW293" s="477"/>
      <c r="AX293" s="477"/>
      <c r="AY293" s="477"/>
      <c r="AZ293" s="477"/>
      <c r="BA293" s="477"/>
      <c r="BB293" s="477"/>
      <c r="BC293" s="477"/>
    </row>
    <row r="294" spans="1:55" s="382" customFormat="1" x14ac:dyDescent="0.3">
      <c r="A294" s="381"/>
      <c r="AL294" s="477"/>
      <c r="AM294" s="477"/>
      <c r="AN294" s="477"/>
      <c r="AO294" s="477"/>
      <c r="AP294" s="477"/>
      <c r="AQ294" s="477"/>
      <c r="AR294" s="477"/>
      <c r="AS294" s="477"/>
      <c r="AT294" s="477"/>
      <c r="AU294" s="477"/>
      <c r="AV294" s="477"/>
      <c r="AW294" s="477"/>
      <c r="AX294" s="477"/>
      <c r="AY294" s="477"/>
      <c r="AZ294" s="477"/>
      <c r="BA294" s="477"/>
      <c r="BB294" s="477"/>
      <c r="BC294" s="477"/>
    </row>
    <row r="295" spans="1:55" s="382" customFormat="1" x14ac:dyDescent="0.3">
      <c r="A295" s="381"/>
      <c r="AL295" s="477"/>
      <c r="AM295" s="477"/>
      <c r="AN295" s="477"/>
      <c r="AO295" s="477"/>
      <c r="AP295" s="477"/>
      <c r="AQ295" s="477"/>
      <c r="AR295" s="477"/>
      <c r="AS295" s="477"/>
      <c r="AT295" s="477"/>
      <c r="AU295" s="477"/>
      <c r="AV295" s="477"/>
      <c r="AW295" s="477"/>
      <c r="AX295" s="477"/>
      <c r="AY295" s="477"/>
      <c r="AZ295" s="477"/>
      <c r="BA295" s="477"/>
      <c r="BB295" s="477"/>
      <c r="BC295" s="477"/>
    </row>
    <row r="296" spans="1:55" s="382" customFormat="1" x14ac:dyDescent="0.3">
      <c r="A296" s="381"/>
      <c r="AL296" s="477"/>
      <c r="AM296" s="477"/>
      <c r="AN296" s="477"/>
      <c r="AO296" s="477"/>
      <c r="AP296" s="477"/>
      <c r="AQ296" s="477"/>
      <c r="AR296" s="477"/>
      <c r="AS296" s="477"/>
      <c r="AT296" s="477"/>
      <c r="AU296" s="477"/>
      <c r="AV296" s="477"/>
      <c r="AW296" s="477"/>
      <c r="AX296" s="477"/>
      <c r="AY296" s="477"/>
      <c r="AZ296" s="477"/>
      <c r="BA296" s="477"/>
      <c r="BB296" s="477"/>
      <c r="BC296" s="477"/>
    </row>
    <row r="297" spans="1:55" s="382" customFormat="1" x14ac:dyDescent="0.3">
      <c r="A297" s="381"/>
      <c r="AL297" s="477"/>
      <c r="AM297" s="477"/>
      <c r="AN297" s="477"/>
      <c r="AO297" s="477"/>
      <c r="AP297" s="477"/>
      <c r="AQ297" s="477"/>
      <c r="AR297" s="477"/>
      <c r="AS297" s="477"/>
      <c r="AT297" s="477"/>
      <c r="AU297" s="477"/>
      <c r="AV297" s="477"/>
      <c r="AW297" s="477"/>
      <c r="AX297" s="477"/>
      <c r="AY297" s="477"/>
      <c r="AZ297" s="477"/>
      <c r="BA297" s="477"/>
      <c r="BB297" s="477"/>
      <c r="BC297" s="477"/>
    </row>
    <row r="298" spans="1:55" s="382" customFormat="1" x14ac:dyDescent="0.3">
      <c r="A298" s="381"/>
      <c r="AL298" s="477"/>
      <c r="AM298" s="477"/>
      <c r="AN298" s="477"/>
      <c r="AO298" s="477"/>
      <c r="AP298" s="477"/>
      <c r="AQ298" s="477"/>
      <c r="AR298" s="477"/>
      <c r="AS298" s="477"/>
      <c r="AT298" s="477"/>
      <c r="AU298" s="477"/>
      <c r="AV298" s="477"/>
      <c r="AW298" s="477"/>
      <c r="AX298" s="477"/>
      <c r="AY298" s="477"/>
      <c r="AZ298" s="477"/>
      <c r="BA298" s="477"/>
      <c r="BB298" s="477"/>
      <c r="BC298" s="477"/>
    </row>
    <row r="299" spans="1:55" s="382" customFormat="1" x14ac:dyDescent="0.3">
      <c r="A299" s="381"/>
      <c r="AL299" s="477"/>
      <c r="AM299" s="477"/>
      <c r="AN299" s="477"/>
      <c r="AO299" s="477"/>
      <c r="AP299" s="477"/>
      <c r="AQ299" s="477"/>
      <c r="AR299" s="477"/>
      <c r="AS299" s="477"/>
      <c r="AT299" s="477"/>
      <c r="AU299" s="477"/>
      <c r="AV299" s="477"/>
      <c r="AW299" s="477"/>
      <c r="AX299" s="477"/>
      <c r="AY299" s="477"/>
      <c r="AZ299" s="477"/>
      <c r="BA299" s="477"/>
      <c r="BB299" s="477"/>
      <c r="BC299" s="477"/>
    </row>
    <row r="300" spans="1:55" s="382" customFormat="1" x14ac:dyDescent="0.3">
      <c r="A300" s="381"/>
      <c r="AL300" s="477"/>
      <c r="AM300" s="477"/>
      <c r="AN300" s="477"/>
      <c r="AO300" s="477"/>
      <c r="AP300" s="477"/>
      <c r="AQ300" s="477"/>
      <c r="AR300" s="477"/>
      <c r="AS300" s="477"/>
      <c r="AT300" s="477"/>
      <c r="AU300" s="477"/>
      <c r="AV300" s="477"/>
      <c r="AW300" s="477"/>
      <c r="AX300" s="477"/>
      <c r="AY300" s="477"/>
      <c r="AZ300" s="477"/>
      <c r="BA300" s="477"/>
      <c r="BB300" s="477"/>
      <c r="BC300" s="477"/>
    </row>
    <row r="301" spans="1:55" s="382" customFormat="1" x14ac:dyDescent="0.3">
      <c r="A301" s="381"/>
      <c r="AL301" s="477"/>
      <c r="AM301" s="477"/>
      <c r="AN301" s="477"/>
      <c r="AO301" s="477"/>
      <c r="AP301" s="477"/>
      <c r="AQ301" s="477"/>
      <c r="AR301" s="477"/>
      <c r="AS301" s="477"/>
      <c r="AT301" s="477"/>
      <c r="AU301" s="477"/>
      <c r="AV301" s="477"/>
      <c r="AW301" s="477"/>
      <c r="AX301" s="477"/>
      <c r="AY301" s="477"/>
      <c r="AZ301" s="477"/>
      <c r="BA301" s="477"/>
      <c r="BB301" s="477"/>
      <c r="BC301" s="477"/>
    </row>
    <row r="302" spans="1:55" s="382" customFormat="1" x14ac:dyDescent="0.3">
      <c r="A302" s="381"/>
      <c r="AL302" s="477"/>
      <c r="AM302" s="477"/>
      <c r="AN302" s="477"/>
      <c r="AO302" s="477"/>
      <c r="AP302" s="477"/>
      <c r="AQ302" s="477"/>
      <c r="AR302" s="477"/>
      <c r="AS302" s="477"/>
      <c r="AT302" s="477"/>
      <c r="AU302" s="477"/>
      <c r="AV302" s="477"/>
      <c r="AW302" s="477"/>
      <c r="AX302" s="477"/>
      <c r="AY302" s="477"/>
      <c r="AZ302" s="477"/>
      <c r="BA302" s="477"/>
      <c r="BB302" s="477"/>
      <c r="BC302" s="477"/>
    </row>
    <row r="303" spans="1:55" s="382" customFormat="1" x14ac:dyDescent="0.3">
      <c r="A303" s="381"/>
      <c r="AL303" s="477"/>
      <c r="AM303" s="477"/>
      <c r="AN303" s="477"/>
      <c r="AO303" s="477"/>
      <c r="AP303" s="477"/>
      <c r="AQ303" s="477"/>
      <c r="AR303" s="477"/>
      <c r="AS303" s="477"/>
      <c r="AT303" s="477"/>
      <c r="AU303" s="477"/>
      <c r="AV303" s="477"/>
      <c r="AW303" s="477"/>
      <c r="AX303" s="477"/>
      <c r="AY303" s="477"/>
      <c r="AZ303" s="477"/>
      <c r="BA303" s="477"/>
      <c r="BB303" s="477"/>
      <c r="BC303" s="477"/>
    </row>
    <row r="304" spans="1:55" s="382" customFormat="1" x14ac:dyDescent="0.3">
      <c r="A304" s="381"/>
      <c r="AL304" s="477"/>
      <c r="AM304" s="477"/>
      <c r="AN304" s="477"/>
      <c r="AO304" s="477"/>
      <c r="AP304" s="477"/>
      <c r="AQ304" s="477"/>
      <c r="AR304" s="477"/>
      <c r="AS304" s="477"/>
      <c r="AT304" s="477"/>
      <c r="AU304" s="477"/>
      <c r="AV304" s="477"/>
      <c r="AW304" s="477"/>
      <c r="AX304" s="477"/>
      <c r="AY304" s="477"/>
      <c r="AZ304" s="477"/>
      <c r="BA304" s="477"/>
      <c r="BB304" s="477"/>
      <c r="BC304" s="477"/>
    </row>
    <row r="305" spans="1:55" s="382" customFormat="1" x14ac:dyDescent="0.3">
      <c r="A305" s="381"/>
      <c r="AL305" s="477"/>
      <c r="AM305" s="477"/>
      <c r="AN305" s="477"/>
      <c r="AO305" s="477"/>
      <c r="AP305" s="477"/>
      <c r="AQ305" s="477"/>
      <c r="AR305" s="477"/>
      <c r="AS305" s="477"/>
      <c r="AT305" s="477"/>
      <c r="AU305" s="477"/>
      <c r="AV305" s="477"/>
      <c r="AW305" s="477"/>
      <c r="AX305" s="477"/>
      <c r="AY305" s="477"/>
      <c r="AZ305" s="477"/>
      <c r="BA305" s="477"/>
      <c r="BB305" s="477"/>
      <c r="BC305" s="477"/>
    </row>
    <row r="306" spans="1:55" s="382" customFormat="1" x14ac:dyDescent="0.3">
      <c r="A306" s="381"/>
      <c r="AL306" s="477"/>
      <c r="AM306" s="477"/>
      <c r="AN306" s="477"/>
      <c r="AO306" s="477"/>
      <c r="AP306" s="477"/>
      <c r="AQ306" s="477"/>
      <c r="AR306" s="477"/>
      <c r="AS306" s="477"/>
      <c r="AT306" s="477"/>
      <c r="AU306" s="477"/>
      <c r="AV306" s="477"/>
      <c r="AW306" s="477"/>
      <c r="AX306" s="477"/>
      <c r="AY306" s="477"/>
      <c r="AZ306" s="477"/>
      <c r="BA306" s="477"/>
      <c r="BB306" s="477"/>
      <c r="BC306" s="477"/>
    </row>
    <row r="307" spans="1:55" s="382" customFormat="1" x14ac:dyDescent="0.3">
      <c r="A307" s="381"/>
      <c r="AL307" s="477"/>
      <c r="AM307" s="477"/>
      <c r="AN307" s="477"/>
      <c r="AO307" s="477"/>
      <c r="AP307" s="477"/>
      <c r="AQ307" s="477"/>
      <c r="AR307" s="477"/>
      <c r="AS307" s="477"/>
      <c r="AT307" s="477"/>
      <c r="AU307" s="477"/>
      <c r="AV307" s="477"/>
      <c r="AW307" s="477"/>
      <c r="AX307" s="477"/>
      <c r="AY307" s="477"/>
      <c r="AZ307" s="477"/>
      <c r="BA307" s="477"/>
      <c r="BB307" s="477"/>
      <c r="BC307" s="477"/>
    </row>
    <row r="308" spans="1:55" s="382" customFormat="1" x14ac:dyDescent="0.3">
      <c r="A308" s="381"/>
      <c r="AL308" s="477"/>
      <c r="AM308" s="477"/>
      <c r="AN308" s="477"/>
      <c r="AO308" s="477"/>
      <c r="AP308" s="477"/>
      <c r="AQ308" s="477"/>
      <c r="AR308" s="477"/>
      <c r="AS308" s="477"/>
      <c r="AT308" s="477"/>
      <c r="AU308" s="477"/>
      <c r="AV308" s="477"/>
      <c r="AW308" s="477"/>
      <c r="AX308" s="477"/>
      <c r="AY308" s="477"/>
      <c r="AZ308" s="477"/>
      <c r="BA308" s="477"/>
      <c r="BB308" s="477"/>
      <c r="BC308" s="477"/>
    </row>
    <row r="309" spans="1:55" s="382" customFormat="1" x14ac:dyDescent="0.3">
      <c r="A309" s="381"/>
      <c r="AL309" s="477"/>
      <c r="AM309" s="477"/>
      <c r="AN309" s="477"/>
      <c r="AO309" s="477"/>
      <c r="AP309" s="477"/>
      <c r="AQ309" s="477"/>
      <c r="AR309" s="477"/>
      <c r="AS309" s="477"/>
      <c r="AT309" s="477"/>
      <c r="AU309" s="477"/>
      <c r="AV309" s="477"/>
      <c r="AW309" s="477"/>
      <c r="AX309" s="477"/>
      <c r="AY309" s="477"/>
      <c r="AZ309" s="477"/>
      <c r="BA309" s="477"/>
      <c r="BB309" s="477"/>
      <c r="BC309" s="477"/>
    </row>
    <row r="310" spans="1:55" s="382" customFormat="1" x14ac:dyDescent="0.3">
      <c r="A310" s="381"/>
      <c r="AL310" s="477"/>
      <c r="AM310" s="477"/>
      <c r="AN310" s="477"/>
      <c r="AO310" s="477"/>
      <c r="AP310" s="477"/>
      <c r="AQ310" s="477"/>
      <c r="AR310" s="477"/>
      <c r="AS310" s="477"/>
      <c r="AT310" s="477"/>
      <c r="AU310" s="477"/>
      <c r="AV310" s="477"/>
      <c r="AW310" s="477"/>
      <c r="AX310" s="477"/>
      <c r="AY310" s="477"/>
      <c r="AZ310" s="477"/>
      <c r="BA310" s="477"/>
      <c r="BB310" s="477"/>
      <c r="BC310" s="477"/>
    </row>
    <row r="311" spans="1:55" s="382" customFormat="1" x14ac:dyDescent="0.3">
      <c r="A311" s="381"/>
      <c r="AL311" s="477"/>
      <c r="AM311" s="477"/>
      <c r="AN311" s="477"/>
      <c r="AO311" s="477"/>
      <c r="AP311" s="477"/>
      <c r="AQ311" s="477"/>
      <c r="AR311" s="477"/>
      <c r="AS311" s="477"/>
      <c r="AT311" s="477"/>
      <c r="AU311" s="477"/>
      <c r="AV311" s="477"/>
      <c r="AW311" s="477"/>
      <c r="AX311" s="477"/>
      <c r="AY311" s="477"/>
      <c r="AZ311" s="477"/>
      <c r="BA311" s="477"/>
      <c r="BB311" s="477"/>
      <c r="BC311" s="477"/>
    </row>
    <row r="312" spans="1:55" s="382" customFormat="1" x14ac:dyDescent="0.3">
      <c r="A312" s="381"/>
      <c r="AL312" s="477"/>
      <c r="AM312" s="477"/>
      <c r="AN312" s="477"/>
      <c r="AO312" s="477"/>
      <c r="AP312" s="477"/>
      <c r="AQ312" s="477"/>
      <c r="AR312" s="477"/>
      <c r="AS312" s="477"/>
      <c r="AT312" s="477"/>
      <c r="AU312" s="477"/>
      <c r="AV312" s="477"/>
      <c r="AW312" s="477"/>
      <c r="AX312" s="477"/>
      <c r="AY312" s="477"/>
      <c r="AZ312" s="477"/>
      <c r="BA312" s="477"/>
      <c r="BB312" s="477"/>
      <c r="BC312" s="477"/>
    </row>
    <row r="313" spans="1:55" s="382" customFormat="1" x14ac:dyDescent="0.3">
      <c r="A313" s="381"/>
      <c r="AL313" s="477"/>
      <c r="AM313" s="477"/>
      <c r="AN313" s="477"/>
      <c r="AO313" s="477"/>
      <c r="AP313" s="477"/>
      <c r="AQ313" s="477"/>
      <c r="AR313" s="477"/>
      <c r="AS313" s="477"/>
      <c r="AT313" s="477"/>
      <c r="AU313" s="477"/>
      <c r="AV313" s="477"/>
      <c r="AW313" s="477"/>
      <c r="AX313" s="477"/>
      <c r="AY313" s="477"/>
      <c r="AZ313" s="477"/>
      <c r="BA313" s="477"/>
      <c r="BB313" s="477"/>
      <c r="BC313" s="477"/>
    </row>
    <row r="314" spans="1:55" s="382" customFormat="1" x14ac:dyDescent="0.3">
      <c r="A314" s="381"/>
      <c r="AL314" s="477"/>
      <c r="AM314" s="477"/>
      <c r="AN314" s="477"/>
      <c r="AO314" s="477"/>
      <c r="AP314" s="477"/>
      <c r="AQ314" s="477"/>
      <c r="AR314" s="477"/>
      <c r="AS314" s="477"/>
      <c r="AT314" s="477"/>
      <c r="AU314" s="477"/>
      <c r="AV314" s="477"/>
      <c r="AW314" s="477"/>
      <c r="AX314" s="477"/>
      <c r="AY314" s="477"/>
      <c r="AZ314" s="477"/>
      <c r="BA314" s="477"/>
      <c r="BB314" s="477"/>
      <c r="BC314" s="477"/>
    </row>
    <row r="315" spans="1:55" s="382" customFormat="1" x14ac:dyDescent="0.3">
      <c r="A315" s="381"/>
      <c r="AL315" s="477"/>
      <c r="AM315" s="477"/>
      <c r="AN315" s="477"/>
      <c r="AO315" s="477"/>
      <c r="AP315" s="477"/>
      <c r="AQ315" s="477"/>
      <c r="AR315" s="477"/>
      <c r="AS315" s="477"/>
      <c r="AT315" s="477"/>
      <c r="AU315" s="477"/>
      <c r="AV315" s="477"/>
      <c r="AW315" s="477"/>
      <c r="AX315" s="477"/>
      <c r="AY315" s="477"/>
      <c r="AZ315" s="477"/>
      <c r="BA315" s="477"/>
      <c r="BB315" s="477"/>
      <c r="BC315" s="477"/>
    </row>
    <row r="316" spans="1:55" s="382" customFormat="1" x14ac:dyDescent="0.3">
      <c r="A316" s="381"/>
      <c r="AL316" s="477"/>
      <c r="AM316" s="477"/>
      <c r="AN316" s="477"/>
      <c r="AO316" s="477"/>
      <c r="AP316" s="477"/>
      <c r="AQ316" s="477"/>
      <c r="AR316" s="477"/>
      <c r="AS316" s="477"/>
      <c r="AT316" s="477"/>
      <c r="AU316" s="477"/>
      <c r="AV316" s="477"/>
      <c r="AW316" s="477"/>
      <c r="AX316" s="477"/>
      <c r="AY316" s="477"/>
      <c r="AZ316" s="477"/>
      <c r="BA316" s="477"/>
      <c r="BB316" s="477"/>
      <c r="BC316" s="477"/>
    </row>
    <row r="317" spans="1:55" s="382" customFormat="1" x14ac:dyDescent="0.3">
      <c r="A317" s="381"/>
      <c r="AL317" s="477"/>
      <c r="AM317" s="477"/>
      <c r="AN317" s="477"/>
      <c r="AO317" s="477"/>
      <c r="AP317" s="477"/>
      <c r="AQ317" s="477"/>
      <c r="AR317" s="477"/>
      <c r="AS317" s="477"/>
      <c r="AT317" s="477"/>
      <c r="AU317" s="477"/>
      <c r="AV317" s="477"/>
      <c r="AW317" s="477"/>
      <c r="AX317" s="477"/>
      <c r="AY317" s="477"/>
      <c r="AZ317" s="477"/>
      <c r="BA317" s="477"/>
      <c r="BB317" s="477"/>
      <c r="BC317" s="477"/>
    </row>
    <row r="318" spans="1:55" s="382" customFormat="1" x14ac:dyDescent="0.3">
      <c r="A318" s="381"/>
      <c r="AL318" s="477"/>
      <c r="AM318" s="477"/>
      <c r="AN318" s="477"/>
      <c r="AO318" s="477"/>
      <c r="AP318" s="477"/>
      <c r="AQ318" s="477"/>
      <c r="AR318" s="477"/>
      <c r="AS318" s="477"/>
      <c r="AT318" s="477"/>
      <c r="AU318" s="477"/>
      <c r="AV318" s="477"/>
      <c r="AW318" s="477"/>
      <c r="AX318" s="477"/>
      <c r="AY318" s="477"/>
      <c r="AZ318" s="477"/>
      <c r="BA318" s="477"/>
      <c r="BB318" s="477"/>
      <c r="BC318" s="477"/>
    </row>
    <row r="319" spans="1:55" s="382" customFormat="1" x14ac:dyDescent="0.3">
      <c r="A319" s="381"/>
      <c r="AL319" s="477"/>
      <c r="AM319" s="477"/>
      <c r="AN319" s="477"/>
      <c r="AO319" s="477"/>
      <c r="AP319" s="477"/>
      <c r="AQ319" s="477"/>
      <c r="AR319" s="477"/>
      <c r="AS319" s="477"/>
      <c r="AT319" s="477"/>
      <c r="AU319" s="477"/>
      <c r="AV319" s="477"/>
      <c r="AW319" s="477"/>
      <c r="AX319" s="477"/>
      <c r="AY319" s="477"/>
      <c r="AZ319" s="477"/>
      <c r="BA319" s="477"/>
      <c r="BB319" s="477"/>
      <c r="BC319" s="477"/>
    </row>
    <row r="320" spans="1:55" s="382" customFormat="1" x14ac:dyDescent="0.3">
      <c r="A320" s="381"/>
      <c r="AL320" s="477"/>
      <c r="AM320" s="477"/>
      <c r="AN320" s="477"/>
      <c r="AO320" s="477"/>
      <c r="AP320" s="477"/>
      <c r="AQ320" s="477"/>
      <c r="AR320" s="477"/>
      <c r="AS320" s="477"/>
      <c r="AT320" s="477"/>
      <c r="AU320" s="477"/>
      <c r="AV320" s="477"/>
      <c r="AW320" s="477"/>
      <c r="AX320" s="477"/>
      <c r="AY320" s="477"/>
      <c r="AZ320" s="477"/>
      <c r="BA320" s="477"/>
      <c r="BB320" s="477"/>
      <c r="BC320" s="477"/>
    </row>
    <row r="321" spans="1:55" s="382" customFormat="1" x14ac:dyDescent="0.3">
      <c r="A321" s="381"/>
      <c r="AL321" s="477"/>
      <c r="AM321" s="477"/>
      <c r="AN321" s="477"/>
      <c r="AO321" s="477"/>
      <c r="AP321" s="477"/>
      <c r="AQ321" s="477"/>
      <c r="AR321" s="477"/>
      <c r="AS321" s="477"/>
      <c r="AT321" s="477"/>
      <c r="AU321" s="477"/>
      <c r="AV321" s="477"/>
      <c r="AW321" s="477"/>
      <c r="AX321" s="477"/>
      <c r="AY321" s="477"/>
      <c r="AZ321" s="477"/>
      <c r="BA321" s="477"/>
      <c r="BB321" s="477"/>
      <c r="BC321" s="477"/>
    </row>
    <row r="322" spans="1:55" s="382" customFormat="1" x14ac:dyDescent="0.3">
      <c r="A322" s="381"/>
      <c r="AL322" s="477"/>
      <c r="AM322" s="477"/>
      <c r="AN322" s="477"/>
      <c r="AO322" s="477"/>
      <c r="AP322" s="477"/>
      <c r="AQ322" s="477"/>
      <c r="AR322" s="477"/>
      <c r="AS322" s="477"/>
      <c r="AT322" s="477"/>
      <c r="AU322" s="477"/>
      <c r="AV322" s="477"/>
      <c r="AW322" s="477"/>
      <c r="AX322" s="477"/>
      <c r="AY322" s="477"/>
      <c r="AZ322" s="477"/>
      <c r="BA322" s="477"/>
      <c r="BB322" s="477"/>
      <c r="BC322" s="477"/>
    </row>
    <row r="323" spans="1:55" s="382" customFormat="1" x14ac:dyDescent="0.3">
      <c r="A323" s="381"/>
      <c r="AL323" s="477"/>
      <c r="AM323" s="477"/>
      <c r="AN323" s="477"/>
      <c r="AO323" s="477"/>
      <c r="AP323" s="477"/>
      <c r="AQ323" s="477"/>
      <c r="AR323" s="477"/>
      <c r="AS323" s="477"/>
      <c r="AT323" s="477"/>
      <c r="AU323" s="477"/>
      <c r="AV323" s="477"/>
      <c r="AW323" s="477"/>
      <c r="AX323" s="477"/>
      <c r="AY323" s="477"/>
      <c r="AZ323" s="477"/>
      <c r="BA323" s="477"/>
      <c r="BB323" s="477"/>
      <c r="BC323" s="477"/>
    </row>
    <row r="324" spans="1:55" s="382" customFormat="1" x14ac:dyDescent="0.3">
      <c r="A324" s="381"/>
      <c r="AL324" s="477"/>
      <c r="AM324" s="477"/>
      <c r="AN324" s="477"/>
      <c r="AO324" s="477"/>
      <c r="AP324" s="477"/>
      <c r="AQ324" s="477"/>
      <c r="AR324" s="477"/>
      <c r="AS324" s="477"/>
      <c r="AT324" s="477"/>
      <c r="AU324" s="477"/>
      <c r="AV324" s="477"/>
      <c r="AW324" s="477"/>
      <c r="AX324" s="477"/>
      <c r="AY324" s="477"/>
      <c r="AZ324" s="477"/>
      <c r="BA324" s="477"/>
      <c r="BB324" s="477"/>
      <c r="BC324" s="477"/>
    </row>
    <row r="325" spans="1:55" s="382" customFormat="1" x14ac:dyDescent="0.3">
      <c r="A325" s="381"/>
      <c r="AL325" s="477"/>
      <c r="AM325" s="477"/>
      <c r="AN325" s="477"/>
      <c r="AO325" s="477"/>
      <c r="AP325" s="477"/>
      <c r="AQ325" s="477"/>
      <c r="AR325" s="477"/>
      <c r="AS325" s="477"/>
      <c r="AT325" s="477"/>
      <c r="AU325" s="477"/>
      <c r="AV325" s="477"/>
      <c r="AW325" s="477"/>
      <c r="AX325" s="477"/>
      <c r="AY325" s="477"/>
      <c r="AZ325" s="477"/>
      <c r="BA325" s="477"/>
      <c r="BB325" s="477"/>
      <c r="BC325" s="477"/>
    </row>
    <row r="326" spans="1:55" s="382" customFormat="1" x14ac:dyDescent="0.3">
      <c r="A326" s="381"/>
      <c r="AL326" s="477"/>
      <c r="AM326" s="477"/>
      <c r="AN326" s="477"/>
      <c r="AO326" s="477"/>
      <c r="AP326" s="477"/>
      <c r="AQ326" s="477"/>
      <c r="AR326" s="477"/>
      <c r="AS326" s="477"/>
      <c r="AT326" s="477"/>
      <c r="AU326" s="477"/>
      <c r="AV326" s="477"/>
      <c r="AW326" s="477"/>
      <c r="AX326" s="477"/>
      <c r="AY326" s="477"/>
      <c r="AZ326" s="477"/>
      <c r="BA326" s="477"/>
      <c r="BB326" s="477"/>
      <c r="BC326" s="477"/>
    </row>
    <row r="327" spans="1:55" s="382" customFormat="1" x14ac:dyDescent="0.3">
      <c r="A327" s="381"/>
      <c r="AL327" s="477"/>
      <c r="AM327" s="477"/>
      <c r="AN327" s="477"/>
      <c r="AO327" s="477"/>
      <c r="AP327" s="477"/>
      <c r="AQ327" s="477"/>
      <c r="AR327" s="477"/>
      <c r="AS327" s="477"/>
      <c r="AT327" s="477"/>
      <c r="AU327" s="477"/>
      <c r="AV327" s="477"/>
      <c r="AW327" s="477"/>
      <c r="AX327" s="477"/>
      <c r="AY327" s="477"/>
      <c r="AZ327" s="477"/>
      <c r="BA327" s="477"/>
      <c r="BB327" s="477"/>
      <c r="BC327" s="477"/>
    </row>
    <row r="328" spans="1:55" s="382" customFormat="1" x14ac:dyDescent="0.3">
      <c r="A328" s="381"/>
      <c r="AL328" s="477"/>
      <c r="AM328" s="477"/>
      <c r="AN328" s="477"/>
      <c r="AO328" s="477"/>
      <c r="AP328" s="477"/>
      <c r="AQ328" s="477"/>
      <c r="AR328" s="477"/>
      <c r="AS328" s="477"/>
      <c r="AT328" s="477"/>
      <c r="AU328" s="477"/>
      <c r="AV328" s="477"/>
      <c r="AW328" s="477"/>
      <c r="AX328" s="477"/>
      <c r="AY328" s="477"/>
      <c r="AZ328" s="477"/>
      <c r="BA328" s="477"/>
      <c r="BB328" s="477"/>
      <c r="BC328" s="477"/>
    </row>
    <row r="329" spans="1:55" s="382" customFormat="1" x14ac:dyDescent="0.3">
      <c r="A329" s="381"/>
      <c r="AL329" s="477"/>
      <c r="AM329" s="477"/>
      <c r="AN329" s="477"/>
      <c r="AO329" s="477"/>
      <c r="AP329" s="477"/>
      <c r="AQ329" s="477"/>
      <c r="AR329" s="477"/>
      <c r="AS329" s="477"/>
      <c r="AT329" s="477"/>
      <c r="AU329" s="477"/>
      <c r="AV329" s="477"/>
      <c r="AW329" s="477"/>
      <c r="AX329" s="477"/>
      <c r="AY329" s="477"/>
      <c r="AZ329" s="477"/>
      <c r="BA329" s="477"/>
      <c r="BB329" s="477"/>
      <c r="BC329" s="477"/>
    </row>
    <row r="330" spans="1:55" s="382" customFormat="1" x14ac:dyDescent="0.3">
      <c r="A330" s="381"/>
      <c r="AL330" s="477"/>
      <c r="AM330" s="477"/>
      <c r="AN330" s="477"/>
      <c r="AO330" s="477"/>
      <c r="AP330" s="477"/>
      <c r="AQ330" s="477"/>
      <c r="AR330" s="477"/>
      <c r="AS330" s="477"/>
      <c r="AT330" s="477"/>
      <c r="AU330" s="477"/>
      <c r="AV330" s="477"/>
      <c r="AW330" s="477"/>
      <c r="AX330" s="477"/>
      <c r="AY330" s="477"/>
      <c r="AZ330" s="477"/>
      <c r="BA330" s="477"/>
      <c r="BB330" s="477"/>
      <c r="BC330" s="477"/>
    </row>
    <row r="331" spans="1:55" s="382" customFormat="1" x14ac:dyDescent="0.3">
      <c r="A331" s="381"/>
      <c r="AL331" s="477"/>
      <c r="AM331" s="477"/>
      <c r="AN331" s="477"/>
      <c r="AO331" s="477"/>
      <c r="AP331" s="477"/>
      <c r="AQ331" s="477"/>
      <c r="AR331" s="477"/>
      <c r="AS331" s="477"/>
      <c r="AT331" s="477"/>
      <c r="AU331" s="477"/>
      <c r="AV331" s="477"/>
      <c r="AW331" s="477"/>
      <c r="AX331" s="477"/>
      <c r="AY331" s="477"/>
      <c r="AZ331" s="477"/>
      <c r="BA331" s="477"/>
      <c r="BB331" s="477"/>
      <c r="BC331" s="477"/>
    </row>
    <row r="332" spans="1:55" s="382" customFormat="1" x14ac:dyDescent="0.3">
      <c r="A332" s="381"/>
      <c r="AL332" s="477"/>
      <c r="AM332" s="477"/>
      <c r="AN332" s="477"/>
      <c r="AO332" s="477"/>
      <c r="AP332" s="477"/>
      <c r="AQ332" s="477"/>
      <c r="AR332" s="477"/>
      <c r="AS332" s="477"/>
      <c r="AT332" s="477"/>
      <c r="AU332" s="477"/>
      <c r="AV332" s="477"/>
      <c r="AW332" s="477"/>
      <c r="AX332" s="477"/>
      <c r="AY332" s="477"/>
      <c r="AZ332" s="477"/>
      <c r="BA332" s="477"/>
      <c r="BB332" s="477"/>
      <c r="BC332" s="477"/>
    </row>
    <row r="333" spans="1:55" s="382" customFormat="1" x14ac:dyDescent="0.3">
      <c r="A333" s="381"/>
      <c r="AL333" s="477"/>
      <c r="AM333" s="477"/>
      <c r="AN333" s="477"/>
      <c r="AO333" s="477"/>
      <c r="AP333" s="477"/>
      <c r="AQ333" s="477"/>
      <c r="AR333" s="477"/>
      <c r="AS333" s="477"/>
      <c r="AT333" s="477"/>
      <c r="AU333" s="477"/>
      <c r="AV333" s="477"/>
      <c r="AW333" s="477"/>
      <c r="AX333" s="477"/>
      <c r="AY333" s="477"/>
      <c r="AZ333" s="477"/>
      <c r="BA333" s="477"/>
      <c r="BB333" s="477"/>
      <c r="BC333" s="477"/>
    </row>
    <row r="334" spans="1:55" s="382" customFormat="1" x14ac:dyDescent="0.3">
      <c r="A334" s="381"/>
      <c r="AL334" s="477"/>
      <c r="AM334" s="477"/>
      <c r="AN334" s="477"/>
      <c r="AO334" s="477"/>
      <c r="AP334" s="477"/>
      <c r="AQ334" s="477"/>
      <c r="AR334" s="477"/>
      <c r="AS334" s="477"/>
      <c r="AT334" s="477"/>
      <c r="AU334" s="477"/>
      <c r="AV334" s="477"/>
      <c r="AW334" s="477"/>
      <c r="AX334" s="477"/>
      <c r="AY334" s="477"/>
      <c r="AZ334" s="477"/>
      <c r="BA334" s="477"/>
      <c r="BB334" s="477"/>
      <c r="BC334" s="477"/>
    </row>
    <row r="335" spans="1:55" s="382" customFormat="1" x14ac:dyDescent="0.3">
      <c r="A335" s="381"/>
      <c r="AL335" s="477"/>
      <c r="AM335" s="477"/>
      <c r="AN335" s="477"/>
      <c r="AO335" s="477"/>
      <c r="AP335" s="477"/>
      <c r="AQ335" s="477"/>
      <c r="AR335" s="477"/>
      <c r="AS335" s="477"/>
      <c r="AT335" s="477"/>
      <c r="AU335" s="477"/>
      <c r="AV335" s="477"/>
      <c r="AW335" s="477"/>
      <c r="AX335" s="477"/>
      <c r="AY335" s="477"/>
      <c r="AZ335" s="477"/>
      <c r="BA335" s="477"/>
      <c r="BB335" s="477"/>
      <c r="BC335" s="477"/>
    </row>
    <row r="336" spans="1:55" s="382" customFormat="1" x14ac:dyDescent="0.3">
      <c r="A336" s="381"/>
      <c r="AL336" s="477"/>
      <c r="AM336" s="477"/>
      <c r="AN336" s="477"/>
      <c r="AO336" s="477"/>
      <c r="AP336" s="477"/>
      <c r="AQ336" s="477"/>
      <c r="AR336" s="477"/>
      <c r="AS336" s="477"/>
      <c r="AT336" s="477"/>
      <c r="AU336" s="477"/>
      <c r="AV336" s="477"/>
      <c r="AW336" s="477"/>
      <c r="AX336" s="477"/>
      <c r="AY336" s="477"/>
      <c r="AZ336" s="477"/>
      <c r="BA336" s="477"/>
      <c r="BB336" s="477"/>
      <c r="BC336" s="477"/>
    </row>
    <row r="337" spans="1:55" s="382" customFormat="1" x14ac:dyDescent="0.3">
      <c r="A337" s="381"/>
      <c r="AL337" s="477"/>
      <c r="AM337" s="477"/>
      <c r="AN337" s="477"/>
      <c r="AO337" s="477"/>
      <c r="AP337" s="477"/>
      <c r="AQ337" s="477"/>
      <c r="AR337" s="477"/>
      <c r="AS337" s="477"/>
      <c r="AT337" s="477"/>
      <c r="AU337" s="477"/>
      <c r="AV337" s="477"/>
      <c r="AW337" s="477"/>
      <c r="AX337" s="477"/>
      <c r="AY337" s="477"/>
      <c r="AZ337" s="477"/>
      <c r="BA337" s="477"/>
      <c r="BB337" s="477"/>
      <c r="BC337" s="477"/>
    </row>
    <row r="338" spans="1:55" s="382" customFormat="1" x14ac:dyDescent="0.3">
      <c r="A338" s="381"/>
      <c r="AL338" s="477"/>
      <c r="AM338" s="477"/>
      <c r="AN338" s="477"/>
      <c r="AO338" s="477"/>
      <c r="AP338" s="477"/>
      <c r="AQ338" s="477"/>
      <c r="AR338" s="477"/>
      <c r="AS338" s="477"/>
      <c r="AT338" s="477"/>
      <c r="AU338" s="477"/>
      <c r="AV338" s="477"/>
      <c r="AW338" s="477"/>
      <c r="AX338" s="477"/>
      <c r="AY338" s="477"/>
      <c r="AZ338" s="477"/>
      <c r="BA338" s="477"/>
      <c r="BB338" s="477"/>
      <c r="BC338" s="477"/>
    </row>
    <row r="339" spans="1:55" s="382" customFormat="1" x14ac:dyDescent="0.3">
      <c r="A339" s="381"/>
      <c r="AL339" s="477"/>
      <c r="AM339" s="477"/>
      <c r="AN339" s="477"/>
      <c r="AO339" s="477"/>
      <c r="AP339" s="477"/>
      <c r="AQ339" s="477"/>
      <c r="AR339" s="477"/>
      <c r="AS339" s="477"/>
      <c r="AT339" s="477"/>
      <c r="AU339" s="477"/>
      <c r="AV339" s="477"/>
      <c r="AW339" s="477"/>
      <c r="AX339" s="477"/>
      <c r="AY339" s="477"/>
      <c r="AZ339" s="477"/>
      <c r="BA339" s="477"/>
      <c r="BB339" s="477"/>
      <c r="BC339" s="477"/>
    </row>
    <row r="340" spans="1:55" s="382" customFormat="1" x14ac:dyDescent="0.3">
      <c r="A340" s="381"/>
      <c r="AL340" s="477"/>
      <c r="AM340" s="477"/>
      <c r="AN340" s="477"/>
      <c r="AO340" s="477"/>
      <c r="AP340" s="477"/>
      <c r="AQ340" s="477"/>
      <c r="AR340" s="477"/>
      <c r="AS340" s="477"/>
      <c r="AT340" s="477"/>
      <c r="AU340" s="477"/>
      <c r="AV340" s="477"/>
      <c r="AW340" s="477"/>
      <c r="AX340" s="477"/>
      <c r="AY340" s="477"/>
      <c r="AZ340" s="477"/>
      <c r="BA340" s="477"/>
      <c r="BB340" s="477"/>
      <c r="BC340" s="477"/>
    </row>
    <row r="341" spans="1:55" s="382" customFormat="1" x14ac:dyDescent="0.3">
      <c r="A341" s="381"/>
      <c r="AL341" s="477"/>
      <c r="AM341" s="477"/>
      <c r="AN341" s="477"/>
      <c r="AO341" s="477"/>
      <c r="AP341" s="477"/>
      <c r="AQ341" s="477"/>
      <c r="AR341" s="477"/>
      <c r="AS341" s="477"/>
      <c r="AT341" s="477"/>
      <c r="AU341" s="477"/>
      <c r="AV341" s="477"/>
      <c r="AW341" s="477"/>
      <c r="AX341" s="477"/>
      <c r="AY341" s="477"/>
      <c r="AZ341" s="477"/>
      <c r="BA341" s="477"/>
      <c r="BB341" s="477"/>
      <c r="BC341" s="477"/>
    </row>
    <row r="342" spans="1:55" s="382" customFormat="1" x14ac:dyDescent="0.3">
      <c r="A342" s="381"/>
      <c r="AL342" s="477"/>
      <c r="AM342" s="477"/>
      <c r="AN342" s="477"/>
      <c r="AO342" s="477"/>
      <c r="AP342" s="477"/>
      <c r="AQ342" s="477"/>
      <c r="AR342" s="477"/>
      <c r="AS342" s="477"/>
      <c r="AT342" s="477"/>
      <c r="AU342" s="477"/>
      <c r="AV342" s="477"/>
      <c r="AW342" s="477"/>
      <c r="AX342" s="477"/>
      <c r="AY342" s="477"/>
      <c r="AZ342" s="477"/>
      <c r="BA342" s="477"/>
      <c r="BB342" s="477"/>
      <c r="BC342" s="477"/>
    </row>
    <row r="343" spans="1:55" s="382" customFormat="1" x14ac:dyDescent="0.3">
      <c r="A343" s="381"/>
      <c r="AL343" s="477"/>
      <c r="AM343" s="477"/>
      <c r="AN343" s="477"/>
      <c r="AO343" s="477"/>
      <c r="AP343" s="477"/>
      <c r="AQ343" s="477"/>
      <c r="AR343" s="477"/>
      <c r="AS343" s="477"/>
      <c r="AT343" s="477"/>
      <c r="AU343" s="477"/>
      <c r="AV343" s="477"/>
      <c r="AW343" s="477"/>
      <c r="AX343" s="477"/>
      <c r="AY343" s="477"/>
      <c r="AZ343" s="477"/>
      <c r="BA343" s="477"/>
      <c r="BB343" s="477"/>
      <c r="BC343" s="477"/>
    </row>
    <row r="344" spans="1:55" s="382" customFormat="1" x14ac:dyDescent="0.3">
      <c r="A344" s="381"/>
      <c r="AL344" s="477"/>
      <c r="AM344" s="477"/>
      <c r="AN344" s="477"/>
      <c r="AO344" s="477"/>
      <c r="AP344" s="477"/>
      <c r="AQ344" s="477"/>
      <c r="AR344" s="477"/>
      <c r="AS344" s="477"/>
      <c r="AT344" s="477"/>
      <c r="AU344" s="477"/>
      <c r="AV344" s="477"/>
      <c r="AW344" s="477"/>
      <c r="AX344" s="477"/>
      <c r="AY344" s="477"/>
      <c r="AZ344" s="477"/>
      <c r="BA344" s="477"/>
      <c r="BB344" s="477"/>
      <c r="BC344" s="477"/>
    </row>
    <row r="345" spans="1:55" s="382" customFormat="1" x14ac:dyDescent="0.3">
      <c r="A345" s="381"/>
      <c r="AL345" s="477"/>
      <c r="AM345" s="477"/>
      <c r="AN345" s="477"/>
      <c r="AO345" s="477"/>
      <c r="AP345" s="477"/>
      <c r="AQ345" s="477"/>
      <c r="AR345" s="477"/>
      <c r="AS345" s="477"/>
      <c r="AT345" s="477"/>
      <c r="AU345" s="477"/>
      <c r="AV345" s="477"/>
      <c r="AW345" s="477"/>
      <c r="AX345" s="477"/>
      <c r="AY345" s="477"/>
      <c r="AZ345" s="477"/>
      <c r="BA345" s="477"/>
      <c r="BB345" s="477"/>
      <c r="BC345" s="477"/>
    </row>
    <row r="346" spans="1:55" s="382" customFormat="1" x14ac:dyDescent="0.3">
      <c r="A346" s="381"/>
      <c r="AL346" s="477"/>
      <c r="AM346" s="477"/>
      <c r="AN346" s="477"/>
      <c r="AO346" s="477"/>
      <c r="AP346" s="477"/>
      <c r="AQ346" s="477"/>
      <c r="AR346" s="477"/>
      <c r="AS346" s="477"/>
      <c r="AT346" s="477"/>
      <c r="AU346" s="477"/>
      <c r="AV346" s="477"/>
      <c r="AW346" s="477"/>
      <c r="AX346" s="477"/>
      <c r="AY346" s="477"/>
      <c r="AZ346" s="477"/>
      <c r="BA346" s="477"/>
      <c r="BB346" s="477"/>
      <c r="BC346" s="477"/>
    </row>
    <row r="347" spans="1:55" s="382" customFormat="1" x14ac:dyDescent="0.3">
      <c r="A347" s="381"/>
      <c r="AL347" s="477"/>
      <c r="AM347" s="477"/>
      <c r="AN347" s="477"/>
      <c r="AO347" s="477"/>
      <c r="AP347" s="477"/>
      <c r="AQ347" s="477"/>
      <c r="AR347" s="477"/>
      <c r="AS347" s="477"/>
      <c r="AT347" s="477"/>
      <c r="AU347" s="477"/>
      <c r="AV347" s="477"/>
      <c r="AW347" s="477"/>
      <c r="AX347" s="477"/>
      <c r="AY347" s="477"/>
      <c r="AZ347" s="477"/>
      <c r="BA347" s="477"/>
      <c r="BB347" s="477"/>
      <c r="BC347" s="477"/>
    </row>
    <row r="348" spans="1:55" s="382" customFormat="1" x14ac:dyDescent="0.3">
      <c r="A348" s="381"/>
      <c r="AL348" s="477"/>
      <c r="AM348" s="477"/>
      <c r="AN348" s="477"/>
      <c r="AO348" s="477"/>
      <c r="AP348" s="477"/>
      <c r="AQ348" s="477"/>
      <c r="AR348" s="477"/>
      <c r="AS348" s="477"/>
      <c r="AT348" s="477"/>
      <c r="AU348" s="477"/>
      <c r="AV348" s="477"/>
      <c r="AW348" s="477"/>
      <c r="AX348" s="477"/>
      <c r="AY348" s="477"/>
      <c r="AZ348" s="477"/>
      <c r="BA348" s="477"/>
      <c r="BB348" s="477"/>
      <c r="BC348" s="477"/>
    </row>
    <row r="349" spans="1:55" s="382" customFormat="1" x14ac:dyDescent="0.3">
      <c r="A349" s="381"/>
      <c r="AL349" s="477"/>
      <c r="AM349" s="477"/>
      <c r="AN349" s="477"/>
      <c r="AO349" s="477"/>
      <c r="AP349" s="477"/>
      <c r="AQ349" s="477"/>
      <c r="AR349" s="477"/>
      <c r="AS349" s="477"/>
      <c r="AT349" s="477"/>
      <c r="AU349" s="477"/>
      <c r="AV349" s="477"/>
      <c r="AW349" s="477"/>
      <c r="AX349" s="477"/>
      <c r="AY349" s="477"/>
      <c r="AZ349" s="477"/>
      <c r="BA349" s="477"/>
      <c r="BB349" s="477"/>
      <c r="BC349" s="477"/>
    </row>
    <row r="350" spans="1:55" s="382" customFormat="1" x14ac:dyDescent="0.3">
      <c r="A350" s="381"/>
      <c r="AL350" s="477"/>
      <c r="AM350" s="477"/>
      <c r="AN350" s="477"/>
      <c r="AO350" s="477"/>
      <c r="AP350" s="477"/>
      <c r="AQ350" s="477"/>
      <c r="AR350" s="477"/>
      <c r="AS350" s="477"/>
      <c r="AT350" s="477"/>
      <c r="AU350" s="477"/>
      <c r="AV350" s="477"/>
      <c r="AW350" s="477"/>
      <c r="AX350" s="477"/>
      <c r="AY350" s="477"/>
      <c r="AZ350" s="477"/>
      <c r="BA350" s="477"/>
      <c r="BB350" s="477"/>
      <c r="BC350" s="477"/>
    </row>
    <row r="351" spans="1:55" s="382" customFormat="1" x14ac:dyDescent="0.3">
      <c r="A351" s="381"/>
      <c r="AL351" s="477"/>
      <c r="AM351" s="477"/>
      <c r="AN351" s="477"/>
      <c r="AO351" s="477"/>
      <c r="AP351" s="477"/>
      <c r="AQ351" s="477"/>
      <c r="AR351" s="477"/>
      <c r="AS351" s="477"/>
      <c r="AT351" s="477"/>
      <c r="AU351" s="477"/>
      <c r="AV351" s="477"/>
      <c r="AW351" s="477"/>
      <c r="AX351" s="477"/>
      <c r="AY351" s="477"/>
      <c r="AZ351" s="477"/>
      <c r="BA351" s="477"/>
      <c r="BB351" s="477"/>
      <c r="BC351" s="477"/>
    </row>
    <row r="352" spans="1:55" s="382" customFormat="1" x14ac:dyDescent="0.3">
      <c r="A352" s="381"/>
      <c r="AL352" s="477"/>
      <c r="AM352" s="477"/>
      <c r="AN352" s="477"/>
      <c r="AO352" s="477"/>
      <c r="AP352" s="477"/>
      <c r="AQ352" s="477"/>
      <c r="AR352" s="477"/>
      <c r="AS352" s="477"/>
      <c r="AT352" s="477"/>
      <c r="AU352" s="477"/>
      <c r="AV352" s="477"/>
      <c r="AW352" s="477"/>
      <c r="AX352" s="477"/>
      <c r="AY352" s="477"/>
      <c r="AZ352" s="477"/>
      <c r="BA352" s="477"/>
      <c r="BB352" s="477"/>
      <c r="BC352" s="477"/>
    </row>
    <row r="353" spans="1:55" s="382" customFormat="1" x14ac:dyDescent="0.3">
      <c r="A353" s="381"/>
      <c r="AL353" s="477"/>
      <c r="AM353" s="477"/>
      <c r="AN353" s="477"/>
      <c r="AO353" s="477"/>
      <c r="AP353" s="477"/>
      <c r="AQ353" s="477"/>
      <c r="AR353" s="477"/>
      <c r="AS353" s="477"/>
      <c r="AT353" s="477"/>
      <c r="AU353" s="477"/>
      <c r="AV353" s="477"/>
      <c r="AW353" s="477"/>
      <c r="AX353" s="477"/>
      <c r="AY353" s="477"/>
      <c r="AZ353" s="477"/>
      <c r="BA353" s="477"/>
      <c r="BB353" s="477"/>
      <c r="BC353" s="477"/>
    </row>
    <row r="354" spans="1:55" s="382" customFormat="1" x14ac:dyDescent="0.3">
      <c r="A354" s="381"/>
      <c r="AL354" s="477"/>
      <c r="AM354" s="477"/>
      <c r="AN354" s="477"/>
      <c r="AO354" s="477"/>
      <c r="AP354" s="477"/>
      <c r="AQ354" s="477"/>
      <c r="AR354" s="477"/>
      <c r="AS354" s="477"/>
      <c r="AT354" s="477"/>
      <c r="AU354" s="477"/>
      <c r="AV354" s="477"/>
      <c r="AW354" s="477"/>
      <c r="AX354" s="477"/>
      <c r="AY354" s="477"/>
      <c r="AZ354" s="477"/>
      <c r="BA354" s="477"/>
      <c r="BB354" s="477"/>
      <c r="BC354" s="477"/>
    </row>
    <row r="355" spans="1:55" s="382" customFormat="1" x14ac:dyDescent="0.3">
      <c r="A355" s="381"/>
      <c r="AL355" s="477"/>
      <c r="AM355" s="477"/>
      <c r="AN355" s="477"/>
      <c r="AO355" s="477"/>
      <c r="AP355" s="477"/>
      <c r="AQ355" s="477"/>
      <c r="AR355" s="477"/>
      <c r="AS355" s="477"/>
      <c r="AT355" s="477"/>
      <c r="AU355" s="477"/>
      <c r="AV355" s="477"/>
      <c r="AW355" s="477"/>
      <c r="AX355" s="477"/>
      <c r="AY355" s="477"/>
      <c r="AZ355" s="477"/>
      <c r="BA355" s="477"/>
      <c r="BB355" s="477"/>
      <c r="BC355" s="477"/>
    </row>
    <row r="356" spans="1:55" s="382" customFormat="1" x14ac:dyDescent="0.3">
      <c r="A356" s="381"/>
      <c r="AL356" s="477"/>
      <c r="AM356" s="477"/>
      <c r="AN356" s="477"/>
      <c r="AO356" s="477"/>
      <c r="AP356" s="477"/>
      <c r="AQ356" s="477"/>
      <c r="AR356" s="477"/>
      <c r="AS356" s="477"/>
      <c r="AT356" s="477"/>
      <c r="AU356" s="477"/>
      <c r="AV356" s="477"/>
      <c r="AW356" s="477"/>
      <c r="AX356" s="477"/>
      <c r="AY356" s="477"/>
      <c r="AZ356" s="477"/>
      <c r="BA356" s="477"/>
      <c r="BB356" s="477"/>
      <c r="BC356" s="477"/>
    </row>
    <row r="357" spans="1:55" s="382" customFormat="1" x14ac:dyDescent="0.3">
      <c r="A357" s="381"/>
      <c r="AL357" s="477"/>
      <c r="AM357" s="477"/>
      <c r="AN357" s="477"/>
      <c r="AO357" s="477"/>
      <c r="AP357" s="477"/>
      <c r="AQ357" s="477"/>
      <c r="AR357" s="477"/>
      <c r="AS357" s="477"/>
      <c r="AT357" s="477"/>
      <c r="AU357" s="477"/>
      <c r="AV357" s="477"/>
      <c r="AW357" s="477"/>
      <c r="AX357" s="477"/>
      <c r="AY357" s="477"/>
      <c r="AZ357" s="477"/>
      <c r="BA357" s="477"/>
      <c r="BB357" s="477"/>
      <c r="BC357" s="477"/>
    </row>
    <row r="358" spans="1:55" s="382" customFormat="1" x14ac:dyDescent="0.3">
      <c r="A358" s="381"/>
      <c r="AL358" s="477"/>
      <c r="AM358" s="477"/>
      <c r="AN358" s="477"/>
      <c r="AO358" s="477"/>
      <c r="AP358" s="477"/>
      <c r="AQ358" s="477"/>
      <c r="AR358" s="477"/>
      <c r="AS358" s="477"/>
      <c r="AT358" s="477"/>
      <c r="AU358" s="477"/>
      <c r="AV358" s="477"/>
      <c r="AW358" s="477"/>
      <c r="AX358" s="477"/>
      <c r="AY358" s="477"/>
      <c r="AZ358" s="477"/>
      <c r="BA358" s="477"/>
      <c r="BB358" s="477"/>
      <c r="BC358" s="477"/>
    </row>
    <row r="359" spans="1:55" s="382" customFormat="1" x14ac:dyDescent="0.3">
      <c r="A359" s="381"/>
      <c r="AL359" s="477"/>
      <c r="AM359" s="477"/>
      <c r="AN359" s="477"/>
      <c r="AO359" s="477"/>
      <c r="AP359" s="477"/>
      <c r="AQ359" s="477"/>
      <c r="AR359" s="477"/>
      <c r="AS359" s="477"/>
      <c r="AT359" s="477"/>
      <c r="AU359" s="477"/>
      <c r="AV359" s="477"/>
      <c r="AW359" s="477"/>
      <c r="AX359" s="477"/>
      <c r="AY359" s="477"/>
      <c r="AZ359" s="477"/>
      <c r="BA359" s="477"/>
      <c r="BB359" s="477"/>
      <c r="BC359" s="477"/>
    </row>
    <row r="360" spans="1:55" s="382" customFormat="1" x14ac:dyDescent="0.3">
      <c r="A360" s="381"/>
      <c r="AL360" s="477"/>
      <c r="AM360" s="477"/>
      <c r="AN360" s="477"/>
      <c r="AO360" s="477"/>
      <c r="AP360" s="477"/>
      <c r="AQ360" s="477"/>
      <c r="AR360" s="477"/>
      <c r="AS360" s="477"/>
      <c r="AT360" s="477"/>
      <c r="AU360" s="477"/>
      <c r="AV360" s="477"/>
      <c r="AW360" s="477"/>
      <c r="AX360" s="477"/>
      <c r="AY360" s="477"/>
      <c r="AZ360" s="477"/>
      <c r="BA360" s="477"/>
      <c r="BB360" s="477"/>
      <c r="BC360" s="477"/>
    </row>
    <row r="361" spans="1:55" s="382" customFormat="1" x14ac:dyDescent="0.3">
      <c r="A361" s="381"/>
      <c r="AL361" s="477"/>
      <c r="AM361" s="477"/>
      <c r="AN361" s="477"/>
      <c r="AO361" s="477"/>
      <c r="AP361" s="477"/>
      <c r="AQ361" s="477"/>
      <c r="AR361" s="477"/>
      <c r="AS361" s="477"/>
      <c r="AT361" s="477"/>
      <c r="AU361" s="477"/>
      <c r="AV361" s="477"/>
      <c r="AW361" s="477"/>
      <c r="AX361" s="477"/>
      <c r="AY361" s="477"/>
      <c r="AZ361" s="477"/>
      <c r="BA361" s="477"/>
      <c r="BB361" s="477"/>
      <c r="BC361" s="477"/>
    </row>
    <row r="362" spans="1:55" s="382" customFormat="1" x14ac:dyDescent="0.3">
      <c r="A362" s="381"/>
      <c r="AL362" s="477"/>
      <c r="AM362" s="477"/>
      <c r="AN362" s="477"/>
      <c r="AO362" s="477"/>
      <c r="AP362" s="477"/>
      <c r="AQ362" s="477"/>
      <c r="AR362" s="477"/>
      <c r="AS362" s="477"/>
      <c r="AT362" s="477"/>
      <c r="AU362" s="477"/>
      <c r="AV362" s="477"/>
      <c r="AW362" s="477"/>
      <c r="AX362" s="477"/>
      <c r="AY362" s="477"/>
      <c r="AZ362" s="477"/>
      <c r="BA362" s="477"/>
      <c r="BB362" s="477"/>
      <c r="BC362" s="477"/>
    </row>
    <row r="363" spans="1:55" s="382" customFormat="1" x14ac:dyDescent="0.3">
      <c r="A363" s="381"/>
      <c r="AL363" s="477"/>
      <c r="AM363" s="477"/>
      <c r="AN363" s="477"/>
      <c r="AO363" s="477"/>
      <c r="AP363" s="477"/>
      <c r="AQ363" s="477"/>
      <c r="AR363" s="477"/>
      <c r="AS363" s="477"/>
      <c r="AT363" s="477"/>
      <c r="AU363" s="477"/>
      <c r="AV363" s="477"/>
      <c r="AW363" s="477"/>
      <c r="AX363" s="477"/>
      <c r="AY363" s="477"/>
      <c r="AZ363" s="477"/>
      <c r="BA363" s="477"/>
      <c r="BB363" s="477"/>
      <c r="BC363" s="477"/>
    </row>
    <row r="364" spans="1:55" s="382" customFormat="1" x14ac:dyDescent="0.3">
      <c r="A364" s="381"/>
      <c r="AL364" s="477"/>
      <c r="AM364" s="477"/>
      <c r="AN364" s="477"/>
      <c r="AO364" s="477"/>
      <c r="AP364" s="477"/>
      <c r="AQ364" s="477"/>
      <c r="AR364" s="477"/>
      <c r="AS364" s="477"/>
      <c r="AT364" s="477"/>
      <c r="AU364" s="477"/>
      <c r="AV364" s="477"/>
      <c r="AW364" s="477"/>
      <c r="AX364" s="477"/>
      <c r="AY364" s="477"/>
      <c r="AZ364" s="477"/>
      <c r="BA364" s="477"/>
      <c r="BB364" s="477"/>
      <c r="BC364" s="477"/>
    </row>
    <row r="365" spans="1:55" s="382" customFormat="1" x14ac:dyDescent="0.3">
      <c r="A365" s="381"/>
      <c r="AL365" s="477"/>
      <c r="AM365" s="477"/>
      <c r="AN365" s="477"/>
      <c r="AO365" s="477"/>
      <c r="AP365" s="477"/>
      <c r="AQ365" s="477"/>
      <c r="AR365" s="477"/>
      <c r="AS365" s="477"/>
      <c r="AT365" s="477"/>
      <c r="AU365" s="477"/>
      <c r="AV365" s="477"/>
      <c r="AW365" s="477"/>
      <c r="AX365" s="477"/>
      <c r="AY365" s="477"/>
      <c r="AZ365" s="477"/>
      <c r="BA365" s="477"/>
      <c r="BB365" s="477"/>
      <c r="BC365" s="477"/>
    </row>
    <row r="366" spans="1:55" s="382" customFormat="1" x14ac:dyDescent="0.3">
      <c r="A366" s="381"/>
      <c r="AL366" s="477"/>
      <c r="AM366" s="477"/>
      <c r="AN366" s="477"/>
      <c r="AO366" s="477"/>
      <c r="AP366" s="477"/>
      <c r="AQ366" s="477"/>
      <c r="AR366" s="477"/>
      <c r="AS366" s="477"/>
      <c r="AT366" s="477"/>
      <c r="AU366" s="477"/>
      <c r="AV366" s="477"/>
      <c r="AW366" s="477"/>
      <c r="AX366" s="477"/>
      <c r="AY366" s="477"/>
      <c r="AZ366" s="477"/>
      <c r="BA366" s="477"/>
      <c r="BB366" s="477"/>
      <c r="BC366" s="477"/>
    </row>
    <row r="367" spans="1:55" s="382" customFormat="1" x14ac:dyDescent="0.3">
      <c r="A367" s="381"/>
      <c r="AL367" s="477"/>
      <c r="AM367" s="477"/>
      <c r="AN367" s="477"/>
      <c r="AO367" s="477"/>
      <c r="AP367" s="477"/>
      <c r="AQ367" s="477"/>
      <c r="AR367" s="477"/>
      <c r="AS367" s="477"/>
      <c r="AT367" s="477"/>
      <c r="AU367" s="477"/>
      <c r="AV367" s="477"/>
      <c r="AW367" s="477"/>
      <c r="AX367" s="477"/>
      <c r="AY367" s="477"/>
      <c r="AZ367" s="477"/>
      <c r="BA367" s="477"/>
      <c r="BB367" s="477"/>
      <c r="BC367" s="477"/>
    </row>
    <row r="368" spans="1:55" s="382" customFormat="1" x14ac:dyDescent="0.3">
      <c r="A368" s="381"/>
      <c r="AL368" s="477"/>
      <c r="AM368" s="477"/>
      <c r="AN368" s="477"/>
      <c r="AO368" s="477"/>
      <c r="AP368" s="477"/>
      <c r="AQ368" s="477"/>
      <c r="AR368" s="477"/>
      <c r="AS368" s="477"/>
      <c r="AT368" s="477"/>
      <c r="AU368" s="477"/>
      <c r="AV368" s="477"/>
      <c r="AW368" s="477"/>
      <c r="AX368" s="477"/>
      <c r="AY368" s="477"/>
      <c r="AZ368" s="477"/>
      <c r="BA368" s="477"/>
      <c r="BB368" s="477"/>
      <c r="BC368" s="477"/>
    </row>
    <row r="369" spans="1:55" s="382" customFormat="1" x14ac:dyDescent="0.3">
      <c r="A369" s="381"/>
      <c r="AL369" s="477"/>
      <c r="AM369" s="477"/>
      <c r="AN369" s="477"/>
      <c r="AO369" s="477"/>
      <c r="AP369" s="477"/>
      <c r="AQ369" s="477"/>
      <c r="AR369" s="477"/>
      <c r="AS369" s="477"/>
      <c r="AT369" s="477"/>
      <c r="AU369" s="477"/>
      <c r="AV369" s="477"/>
      <c r="AW369" s="477"/>
      <c r="AX369" s="477"/>
      <c r="AY369" s="477"/>
      <c r="AZ369" s="477"/>
      <c r="BA369" s="477"/>
      <c r="BB369" s="477"/>
      <c r="BC369" s="477"/>
    </row>
    <row r="370" spans="1:55" s="382" customFormat="1" x14ac:dyDescent="0.3">
      <c r="A370" s="381"/>
      <c r="AL370" s="477"/>
      <c r="AM370" s="477"/>
      <c r="AN370" s="477"/>
      <c r="AO370" s="477"/>
      <c r="AP370" s="477"/>
      <c r="AQ370" s="477"/>
      <c r="AR370" s="477"/>
      <c r="AS370" s="477"/>
      <c r="AT370" s="477"/>
      <c r="AU370" s="477"/>
      <c r="AV370" s="477"/>
      <c r="AW370" s="477"/>
      <c r="AX370" s="477"/>
      <c r="AY370" s="477"/>
      <c r="AZ370" s="477"/>
      <c r="BA370" s="477"/>
      <c r="BB370" s="477"/>
      <c r="BC370" s="477"/>
    </row>
    <row r="371" spans="1:55" s="382" customFormat="1" x14ac:dyDescent="0.3">
      <c r="A371" s="381"/>
      <c r="AL371" s="477"/>
      <c r="AM371" s="477"/>
      <c r="AN371" s="477"/>
      <c r="AO371" s="477"/>
      <c r="AP371" s="477"/>
      <c r="AQ371" s="477"/>
      <c r="AR371" s="477"/>
      <c r="AS371" s="477"/>
      <c r="AT371" s="477"/>
      <c r="AU371" s="477"/>
      <c r="AV371" s="477"/>
      <c r="AW371" s="477"/>
      <c r="AX371" s="477"/>
      <c r="AY371" s="477"/>
      <c r="AZ371" s="477"/>
      <c r="BA371" s="477"/>
      <c r="BB371" s="477"/>
      <c r="BC371" s="477"/>
    </row>
    <row r="372" spans="1:55" s="382" customFormat="1" x14ac:dyDescent="0.3">
      <c r="A372" s="381"/>
      <c r="AL372" s="477"/>
      <c r="AM372" s="477"/>
      <c r="AN372" s="477"/>
      <c r="AO372" s="477"/>
      <c r="AP372" s="477"/>
      <c r="AQ372" s="477"/>
      <c r="AR372" s="477"/>
      <c r="AS372" s="477"/>
      <c r="AT372" s="477"/>
      <c r="AU372" s="477"/>
      <c r="AV372" s="477"/>
      <c r="AW372" s="477"/>
      <c r="AX372" s="477"/>
      <c r="AY372" s="477"/>
      <c r="AZ372" s="477"/>
      <c r="BA372" s="477"/>
      <c r="BB372" s="477"/>
      <c r="BC372" s="477"/>
    </row>
    <row r="373" spans="1:55" s="382" customFormat="1" x14ac:dyDescent="0.3">
      <c r="A373" s="381"/>
      <c r="AL373" s="477"/>
      <c r="AM373" s="477"/>
      <c r="AN373" s="477"/>
      <c r="AO373" s="477"/>
      <c r="AP373" s="477"/>
      <c r="AQ373" s="477"/>
      <c r="AR373" s="477"/>
      <c r="AS373" s="477"/>
      <c r="AT373" s="477"/>
      <c r="AU373" s="477"/>
      <c r="AV373" s="477"/>
      <c r="AW373" s="477"/>
      <c r="AX373" s="477"/>
      <c r="AY373" s="477"/>
      <c r="AZ373" s="477"/>
      <c r="BA373" s="477"/>
      <c r="BB373" s="477"/>
      <c r="BC373" s="477"/>
    </row>
    <row r="374" spans="1:55" s="382" customFormat="1" x14ac:dyDescent="0.3">
      <c r="A374" s="381"/>
      <c r="AL374" s="477"/>
      <c r="AM374" s="477"/>
      <c r="AN374" s="477"/>
      <c r="AO374" s="477"/>
      <c r="AP374" s="477"/>
      <c r="AQ374" s="477"/>
      <c r="AR374" s="477"/>
      <c r="AS374" s="477"/>
      <c r="AT374" s="477"/>
      <c r="AU374" s="477"/>
      <c r="AV374" s="477"/>
      <c r="AW374" s="477"/>
      <c r="AX374" s="477"/>
      <c r="AY374" s="477"/>
      <c r="AZ374" s="477"/>
      <c r="BA374" s="477"/>
      <c r="BB374" s="477"/>
      <c r="BC374" s="477"/>
    </row>
    <row r="375" spans="1:55" s="382" customFormat="1" x14ac:dyDescent="0.3">
      <c r="A375" s="381"/>
      <c r="AL375" s="477"/>
      <c r="AM375" s="477"/>
      <c r="AN375" s="477"/>
      <c r="AO375" s="477"/>
      <c r="AP375" s="477"/>
      <c r="AQ375" s="477"/>
      <c r="AR375" s="477"/>
      <c r="AS375" s="477"/>
      <c r="AT375" s="477"/>
      <c r="AU375" s="477"/>
      <c r="AV375" s="477"/>
      <c r="AW375" s="477"/>
      <c r="AX375" s="477"/>
      <c r="AY375" s="477"/>
      <c r="AZ375" s="477"/>
      <c r="BA375" s="477"/>
      <c r="BB375" s="477"/>
      <c r="BC375" s="477"/>
    </row>
    <row r="376" spans="1:55" s="382" customFormat="1" x14ac:dyDescent="0.3">
      <c r="A376" s="381"/>
      <c r="AL376" s="477"/>
      <c r="AM376" s="477"/>
      <c r="AN376" s="477"/>
      <c r="AO376" s="477"/>
      <c r="AP376" s="477"/>
      <c r="AQ376" s="477"/>
      <c r="AR376" s="477"/>
      <c r="AS376" s="477"/>
      <c r="AT376" s="477"/>
      <c r="AU376" s="477"/>
      <c r="AV376" s="477"/>
      <c r="AW376" s="477"/>
      <c r="AX376" s="477"/>
      <c r="AY376" s="477"/>
      <c r="AZ376" s="477"/>
      <c r="BA376" s="477"/>
      <c r="BB376" s="477"/>
      <c r="BC376" s="477"/>
    </row>
    <row r="377" spans="1:55" s="382" customFormat="1" x14ac:dyDescent="0.3">
      <c r="A377" s="381"/>
      <c r="AL377" s="477"/>
      <c r="AM377" s="477"/>
      <c r="AN377" s="477"/>
      <c r="AO377" s="477"/>
      <c r="AP377" s="477"/>
      <c r="AQ377" s="477"/>
      <c r="AR377" s="477"/>
      <c r="AS377" s="477"/>
      <c r="AT377" s="477"/>
      <c r="AU377" s="477"/>
      <c r="AV377" s="477"/>
      <c r="AW377" s="477"/>
      <c r="AX377" s="477"/>
      <c r="AY377" s="477"/>
      <c r="AZ377" s="477"/>
      <c r="BA377" s="477"/>
      <c r="BB377" s="477"/>
      <c r="BC377" s="477"/>
    </row>
    <row r="378" spans="1:55" s="382" customFormat="1" x14ac:dyDescent="0.3">
      <c r="A378" s="381"/>
      <c r="AL378" s="477"/>
      <c r="AM378" s="477"/>
      <c r="AN378" s="477"/>
      <c r="AO378" s="477"/>
      <c r="AP378" s="477"/>
      <c r="AQ378" s="477"/>
      <c r="AR378" s="477"/>
      <c r="AS378" s="477"/>
      <c r="AT378" s="477"/>
      <c r="AU378" s="477"/>
      <c r="AV378" s="477"/>
      <c r="AW378" s="477"/>
      <c r="AX378" s="477"/>
      <c r="AY378" s="477"/>
      <c r="AZ378" s="477"/>
      <c r="BA378" s="477"/>
      <c r="BB378" s="477"/>
      <c r="BC378" s="477"/>
    </row>
    <row r="379" spans="1:55" s="382" customFormat="1" x14ac:dyDescent="0.3">
      <c r="A379" s="381"/>
      <c r="AL379" s="477"/>
      <c r="AM379" s="477"/>
      <c r="AN379" s="477"/>
      <c r="AO379" s="477"/>
      <c r="AP379" s="477"/>
      <c r="AQ379" s="477"/>
      <c r="AR379" s="477"/>
      <c r="AS379" s="477"/>
      <c r="AT379" s="477"/>
      <c r="AU379" s="477"/>
      <c r="AV379" s="477"/>
      <c r="AW379" s="477"/>
      <c r="AX379" s="477"/>
      <c r="AY379" s="477"/>
      <c r="AZ379" s="477"/>
      <c r="BA379" s="477"/>
      <c r="BB379" s="477"/>
      <c r="BC379" s="477"/>
    </row>
    <row r="380" spans="1:55" s="382" customFormat="1" x14ac:dyDescent="0.3">
      <c r="A380" s="381"/>
      <c r="AL380" s="477"/>
      <c r="AM380" s="477"/>
      <c r="AN380" s="477"/>
      <c r="AO380" s="477"/>
      <c r="AP380" s="477"/>
      <c r="AQ380" s="477"/>
      <c r="AR380" s="477"/>
      <c r="AS380" s="477"/>
      <c r="AT380" s="477"/>
      <c r="AU380" s="477"/>
      <c r="AV380" s="477"/>
      <c r="AW380" s="477"/>
      <c r="AX380" s="477"/>
      <c r="AY380" s="477"/>
      <c r="AZ380" s="477"/>
      <c r="BA380" s="477"/>
      <c r="BB380" s="477"/>
      <c r="BC380" s="477"/>
    </row>
    <row r="381" spans="1:55" s="382" customFormat="1" x14ac:dyDescent="0.3">
      <c r="A381" s="381"/>
      <c r="AL381" s="477"/>
      <c r="AM381" s="477"/>
      <c r="AN381" s="477"/>
      <c r="AO381" s="477"/>
      <c r="AP381" s="477"/>
      <c r="AQ381" s="477"/>
      <c r="AR381" s="477"/>
      <c r="AS381" s="477"/>
      <c r="AT381" s="477"/>
      <c r="AU381" s="477"/>
      <c r="AV381" s="477"/>
      <c r="AW381" s="477"/>
      <c r="AX381" s="477"/>
      <c r="AY381" s="477"/>
      <c r="AZ381" s="477"/>
      <c r="BA381" s="477"/>
      <c r="BB381" s="477"/>
      <c r="BC381" s="477"/>
    </row>
    <row r="382" spans="1:55" s="382" customFormat="1" x14ac:dyDescent="0.3">
      <c r="A382" s="381"/>
      <c r="AL382" s="477"/>
      <c r="AM382" s="477"/>
      <c r="AN382" s="477"/>
      <c r="AO382" s="477"/>
      <c r="AP382" s="477"/>
      <c r="AQ382" s="477"/>
      <c r="AR382" s="477"/>
      <c r="AS382" s="477"/>
      <c r="AT382" s="477"/>
      <c r="AU382" s="477"/>
      <c r="AV382" s="477"/>
      <c r="AW382" s="477"/>
      <c r="AX382" s="477"/>
      <c r="AY382" s="477"/>
      <c r="AZ382" s="477"/>
      <c r="BA382" s="477"/>
      <c r="BB382" s="477"/>
      <c r="BC382" s="477"/>
    </row>
    <row r="383" spans="1:55" s="382" customFormat="1" x14ac:dyDescent="0.3">
      <c r="A383" s="381"/>
      <c r="AL383" s="477"/>
      <c r="AM383" s="477"/>
      <c r="AN383" s="477"/>
      <c r="AO383" s="477"/>
      <c r="AP383" s="477"/>
      <c r="AQ383" s="477"/>
      <c r="AR383" s="477"/>
      <c r="AS383" s="477"/>
      <c r="AT383" s="477"/>
      <c r="AU383" s="477"/>
      <c r="AV383" s="477"/>
      <c r="AW383" s="477"/>
      <c r="AX383" s="477"/>
      <c r="AY383" s="477"/>
      <c r="AZ383" s="477"/>
      <c r="BA383" s="477"/>
      <c r="BB383" s="477"/>
      <c r="BC383" s="477"/>
    </row>
    <row r="384" spans="1:55" s="382" customFormat="1" x14ac:dyDescent="0.3">
      <c r="A384" s="381"/>
      <c r="AL384" s="477"/>
      <c r="AM384" s="477"/>
      <c r="AN384" s="477"/>
      <c r="AO384" s="477"/>
      <c r="AP384" s="477"/>
      <c r="AQ384" s="477"/>
      <c r="AR384" s="477"/>
      <c r="AS384" s="477"/>
      <c r="AT384" s="477"/>
      <c r="AU384" s="477"/>
      <c r="AV384" s="477"/>
      <c r="AW384" s="477"/>
      <c r="AX384" s="477"/>
      <c r="AY384" s="477"/>
      <c r="AZ384" s="477"/>
      <c r="BA384" s="477"/>
      <c r="BB384" s="477"/>
      <c r="BC384" s="477"/>
    </row>
    <row r="385" spans="1:55" s="382" customFormat="1" x14ac:dyDescent="0.3">
      <c r="A385" s="381"/>
      <c r="AL385" s="477"/>
      <c r="AM385" s="477"/>
      <c r="AN385" s="477"/>
      <c r="AO385" s="477"/>
      <c r="AP385" s="477"/>
      <c r="AQ385" s="477"/>
      <c r="AR385" s="477"/>
      <c r="AS385" s="477"/>
      <c r="AT385" s="477"/>
      <c r="AU385" s="477"/>
      <c r="AV385" s="477"/>
      <c r="AW385" s="477"/>
      <c r="AX385" s="477"/>
      <c r="AY385" s="477"/>
      <c r="AZ385" s="477"/>
      <c r="BA385" s="477"/>
      <c r="BB385" s="477"/>
      <c r="BC385" s="477"/>
    </row>
    <row r="386" spans="1:55" s="382" customFormat="1" x14ac:dyDescent="0.3">
      <c r="A386" s="381"/>
      <c r="AL386" s="477"/>
      <c r="AM386" s="477"/>
      <c r="AN386" s="477"/>
      <c r="AO386" s="477"/>
      <c r="AP386" s="477"/>
      <c r="AQ386" s="477"/>
      <c r="AR386" s="477"/>
      <c r="AS386" s="477"/>
      <c r="AT386" s="477"/>
      <c r="AU386" s="477"/>
      <c r="AV386" s="477"/>
      <c r="AW386" s="477"/>
      <c r="AX386" s="477"/>
      <c r="AY386" s="477"/>
      <c r="AZ386" s="477"/>
      <c r="BA386" s="477"/>
      <c r="BB386" s="477"/>
      <c r="BC386" s="477"/>
    </row>
    <row r="387" spans="1:55" s="382" customFormat="1" x14ac:dyDescent="0.3">
      <c r="A387" s="381"/>
      <c r="AL387" s="477"/>
      <c r="AM387" s="477"/>
      <c r="AN387" s="477"/>
      <c r="AO387" s="477"/>
      <c r="AP387" s="477"/>
      <c r="AQ387" s="477"/>
      <c r="AR387" s="477"/>
      <c r="AS387" s="477"/>
      <c r="AT387" s="477"/>
      <c r="AU387" s="477"/>
      <c r="AV387" s="477"/>
      <c r="AW387" s="477"/>
      <c r="AX387" s="477"/>
      <c r="AY387" s="477"/>
      <c r="AZ387" s="477"/>
      <c r="BA387" s="477"/>
      <c r="BB387" s="477"/>
      <c r="BC387" s="477"/>
    </row>
    <row r="388" spans="1:55" s="382" customFormat="1" x14ac:dyDescent="0.3">
      <c r="A388" s="381"/>
      <c r="AL388" s="477"/>
      <c r="AM388" s="477"/>
      <c r="AN388" s="477"/>
      <c r="AO388" s="477"/>
      <c r="AP388" s="477"/>
      <c r="AQ388" s="477"/>
      <c r="AR388" s="477"/>
      <c r="AS388" s="477"/>
      <c r="AT388" s="477"/>
      <c r="AU388" s="477"/>
      <c r="AV388" s="477"/>
      <c r="AW388" s="477"/>
      <c r="AX388" s="477"/>
      <c r="AY388" s="477"/>
      <c r="AZ388" s="477"/>
      <c r="BA388" s="477"/>
      <c r="BB388" s="477"/>
      <c r="BC388" s="477"/>
    </row>
    <row r="389" spans="1:55" s="382" customFormat="1" x14ac:dyDescent="0.3">
      <c r="A389" s="381"/>
      <c r="AL389" s="477"/>
      <c r="AM389" s="477"/>
      <c r="AN389" s="477"/>
      <c r="AO389" s="477"/>
      <c r="AP389" s="477"/>
      <c r="AQ389" s="477"/>
      <c r="AR389" s="477"/>
      <c r="AS389" s="477"/>
      <c r="AT389" s="477"/>
      <c r="AU389" s="477"/>
      <c r="AV389" s="477"/>
      <c r="AW389" s="477"/>
      <c r="AX389" s="477"/>
      <c r="AY389" s="477"/>
      <c r="AZ389" s="477"/>
      <c r="BA389" s="477"/>
      <c r="BB389" s="477"/>
      <c r="BC389" s="477"/>
    </row>
    <row r="390" spans="1:55" s="382" customFormat="1" x14ac:dyDescent="0.3">
      <c r="A390" s="381"/>
      <c r="AL390" s="477"/>
      <c r="AM390" s="477"/>
      <c r="AN390" s="477"/>
      <c r="AO390" s="477"/>
      <c r="AP390" s="477"/>
      <c r="AQ390" s="477"/>
      <c r="AR390" s="477"/>
      <c r="AS390" s="477"/>
      <c r="AT390" s="477"/>
      <c r="AU390" s="477"/>
      <c r="AV390" s="477"/>
      <c r="AW390" s="477"/>
      <c r="AX390" s="477"/>
      <c r="AY390" s="477"/>
      <c r="AZ390" s="477"/>
      <c r="BA390" s="477"/>
      <c r="BB390" s="477"/>
      <c r="BC390" s="477"/>
    </row>
    <row r="391" spans="1:55" s="382" customFormat="1" x14ac:dyDescent="0.3">
      <c r="A391" s="381"/>
      <c r="AL391" s="477"/>
      <c r="AM391" s="477"/>
      <c r="AN391" s="477"/>
      <c r="AO391" s="477"/>
      <c r="AP391" s="477"/>
      <c r="AQ391" s="477"/>
      <c r="AR391" s="477"/>
      <c r="AS391" s="477"/>
      <c r="AT391" s="477"/>
      <c r="AU391" s="477"/>
      <c r="AV391" s="477"/>
      <c r="AW391" s="477"/>
      <c r="AX391" s="477"/>
      <c r="AY391" s="477"/>
      <c r="AZ391" s="477"/>
      <c r="BA391" s="477"/>
      <c r="BB391" s="477"/>
      <c r="BC391" s="477"/>
    </row>
    <row r="392" spans="1:55" s="382" customFormat="1" x14ac:dyDescent="0.3">
      <c r="A392" s="381"/>
      <c r="AL392" s="477"/>
      <c r="AM392" s="477"/>
      <c r="AN392" s="477"/>
      <c r="AO392" s="477"/>
      <c r="AP392" s="477"/>
      <c r="AQ392" s="477"/>
      <c r="AR392" s="477"/>
      <c r="AS392" s="477"/>
      <c r="AT392" s="477"/>
      <c r="AU392" s="477"/>
      <c r="AV392" s="477"/>
      <c r="AW392" s="477"/>
      <c r="AX392" s="477"/>
      <c r="AY392" s="477"/>
      <c r="AZ392" s="477"/>
      <c r="BA392" s="477"/>
      <c r="BB392" s="477"/>
      <c r="BC392" s="477"/>
    </row>
    <row r="393" spans="1:55" s="382" customFormat="1" x14ac:dyDescent="0.3">
      <c r="A393" s="381"/>
      <c r="AL393" s="477"/>
      <c r="AM393" s="477"/>
      <c r="AN393" s="477"/>
      <c r="AO393" s="477"/>
      <c r="AP393" s="477"/>
      <c r="AQ393" s="477"/>
      <c r="AR393" s="477"/>
      <c r="AS393" s="477"/>
      <c r="AT393" s="477"/>
      <c r="AU393" s="477"/>
      <c r="AV393" s="477"/>
      <c r="AW393" s="477"/>
      <c r="AX393" s="477"/>
      <c r="AY393" s="477"/>
      <c r="AZ393" s="477"/>
      <c r="BA393" s="477"/>
      <c r="BB393" s="477"/>
      <c r="BC393" s="477"/>
    </row>
    <row r="394" spans="1:55" s="382" customFormat="1" x14ac:dyDescent="0.3">
      <c r="A394" s="381"/>
      <c r="AL394" s="477"/>
      <c r="AM394" s="477"/>
      <c r="AN394" s="477"/>
      <c r="AO394" s="477"/>
      <c r="AP394" s="477"/>
      <c r="AQ394" s="477"/>
      <c r="AR394" s="477"/>
      <c r="AS394" s="477"/>
      <c r="AT394" s="477"/>
      <c r="AU394" s="477"/>
      <c r="AV394" s="477"/>
      <c r="AW394" s="477"/>
      <c r="AX394" s="477"/>
      <c r="AY394" s="477"/>
      <c r="AZ394" s="477"/>
      <c r="BA394" s="477"/>
      <c r="BB394" s="477"/>
      <c r="BC394" s="477"/>
    </row>
    <row r="395" spans="1:55" s="382" customFormat="1" x14ac:dyDescent="0.3">
      <c r="A395" s="381"/>
      <c r="AL395" s="477"/>
      <c r="AM395" s="477"/>
      <c r="AN395" s="477"/>
      <c r="AO395" s="477"/>
      <c r="AP395" s="477"/>
      <c r="AQ395" s="477"/>
      <c r="AR395" s="477"/>
      <c r="AS395" s="477"/>
      <c r="AT395" s="477"/>
      <c r="AU395" s="477"/>
      <c r="AV395" s="477"/>
      <c r="AW395" s="477"/>
      <c r="AX395" s="477"/>
      <c r="AY395" s="477"/>
      <c r="AZ395" s="477"/>
      <c r="BA395" s="477"/>
      <c r="BB395" s="477"/>
      <c r="BC395" s="477"/>
    </row>
    <row r="396" spans="1:55" s="382" customFormat="1" x14ac:dyDescent="0.3">
      <c r="A396" s="381"/>
      <c r="AL396" s="477"/>
      <c r="AM396" s="477"/>
      <c r="AN396" s="477"/>
      <c r="AO396" s="477"/>
      <c r="AP396" s="477"/>
      <c r="AQ396" s="477"/>
      <c r="AR396" s="477"/>
      <c r="AS396" s="477"/>
      <c r="AT396" s="477"/>
      <c r="AU396" s="477"/>
      <c r="AV396" s="477"/>
      <c r="AW396" s="477"/>
      <c r="AX396" s="477"/>
      <c r="AY396" s="477"/>
      <c r="AZ396" s="477"/>
      <c r="BA396" s="477"/>
      <c r="BB396" s="477"/>
      <c r="BC396" s="477"/>
    </row>
    <row r="397" spans="1:55" s="382" customFormat="1" x14ac:dyDescent="0.3">
      <c r="A397" s="381"/>
      <c r="AL397" s="477"/>
      <c r="AM397" s="477"/>
      <c r="AN397" s="477"/>
      <c r="AO397" s="477"/>
      <c r="AP397" s="477"/>
      <c r="AQ397" s="477"/>
      <c r="AR397" s="477"/>
      <c r="AS397" s="477"/>
      <c r="AT397" s="477"/>
      <c r="AU397" s="477"/>
      <c r="AV397" s="477"/>
      <c r="AW397" s="477"/>
      <c r="AX397" s="477"/>
      <c r="AY397" s="477"/>
      <c r="AZ397" s="477"/>
      <c r="BA397" s="477"/>
      <c r="BB397" s="477"/>
      <c r="BC397" s="477"/>
    </row>
    <row r="398" spans="1:55" s="382" customFormat="1" x14ac:dyDescent="0.3">
      <c r="A398" s="381"/>
      <c r="AL398" s="477"/>
      <c r="AM398" s="477"/>
      <c r="AN398" s="477"/>
      <c r="AO398" s="477"/>
      <c r="AP398" s="477"/>
      <c r="AQ398" s="477"/>
      <c r="AR398" s="477"/>
      <c r="AS398" s="477"/>
      <c r="AT398" s="477"/>
      <c r="AU398" s="477"/>
      <c r="AV398" s="477"/>
      <c r="AW398" s="477"/>
      <c r="AX398" s="477"/>
      <c r="AY398" s="477"/>
      <c r="AZ398" s="477"/>
      <c r="BA398" s="477"/>
      <c r="BB398" s="477"/>
      <c r="BC398" s="477"/>
    </row>
    <row r="399" spans="1:55" s="382" customFormat="1" x14ac:dyDescent="0.3">
      <c r="A399" s="381"/>
      <c r="AL399" s="477"/>
      <c r="AM399" s="477"/>
      <c r="AN399" s="477"/>
      <c r="AO399" s="477"/>
      <c r="AP399" s="477"/>
      <c r="AQ399" s="477"/>
      <c r="AR399" s="477"/>
      <c r="AS399" s="477"/>
      <c r="AT399" s="477"/>
      <c r="AU399" s="477"/>
      <c r="AV399" s="477"/>
      <c r="AW399" s="477"/>
      <c r="AX399" s="477"/>
      <c r="AY399" s="477"/>
      <c r="AZ399" s="477"/>
      <c r="BA399" s="477"/>
      <c r="BB399" s="477"/>
      <c r="BC399" s="477"/>
    </row>
    <row r="400" spans="1:55" s="382" customFormat="1" x14ac:dyDescent="0.3">
      <c r="A400" s="381"/>
      <c r="AL400" s="477"/>
      <c r="AM400" s="477"/>
      <c r="AN400" s="477"/>
      <c r="AO400" s="477"/>
      <c r="AP400" s="477"/>
      <c r="AQ400" s="477"/>
      <c r="AR400" s="477"/>
      <c r="AS400" s="477"/>
      <c r="AT400" s="477"/>
      <c r="AU400" s="477"/>
      <c r="AV400" s="477"/>
      <c r="AW400" s="477"/>
      <c r="AX400" s="477"/>
      <c r="AY400" s="477"/>
      <c r="AZ400" s="477"/>
      <c r="BA400" s="477"/>
      <c r="BB400" s="477"/>
      <c r="BC400" s="477"/>
    </row>
    <row r="401" spans="1:55" s="382" customFormat="1" x14ac:dyDescent="0.3">
      <c r="A401" s="381"/>
      <c r="AL401" s="477"/>
      <c r="AM401" s="477"/>
      <c r="AN401" s="477"/>
      <c r="AO401" s="477"/>
      <c r="AP401" s="477"/>
      <c r="AQ401" s="477"/>
      <c r="AR401" s="477"/>
      <c r="AS401" s="477"/>
      <c r="AT401" s="477"/>
      <c r="AU401" s="477"/>
      <c r="AV401" s="477"/>
      <c r="AW401" s="477"/>
      <c r="AX401" s="477"/>
      <c r="AY401" s="477"/>
      <c r="AZ401" s="477"/>
      <c r="BA401" s="477"/>
      <c r="BB401" s="477"/>
      <c r="BC401" s="477"/>
    </row>
    <row r="402" spans="1:55" s="382" customFormat="1" x14ac:dyDescent="0.3">
      <c r="A402" s="381"/>
      <c r="AL402" s="477"/>
      <c r="AM402" s="477"/>
      <c r="AN402" s="477"/>
      <c r="AO402" s="477"/>
      <c r="AP402" s="477"/>
      <c r="AQ402" s="477"/>
      <c r="AR402" s="477"/>
      <c r="AS402" s="477"/>
      <c r="AT402" s="477"/>
      <c r="AU402" s="477"/>
      <c r="AV402" s="477"/>
      <c r="AW402" s="477"/>
      <c r="AX402" s="477"/>
      <c r="AY402" s="477"/>
      <c r="AZ402" s="477"/>
      <c r="BA402" s="477"/>
      <c r="BB402" s="477"/>
      <c r="BC402" s="477"/>
    </row>
    <row r="403" spans="1:55" s="382" customFormat="1" x14ac:dyDescent="0.3">
      <c r="A403" s="381"/>
      <c r="AL403" s="477"/>
      <c r="AM403" s="477"/>
      <c r="AN403" s="477"/>
      <c r="AO403" s="477"/>
      <c r="AP403" s="477"/>
      <c r="AQ403" s="477"/>
      <c r="AR403" s="477"/>
      <c r="AS403" s="477"/>
      <c r="AT403" s="477"/>
      <c r="AU403" s="477"/>
      <c r="AV403" s="477"/>
      <c r="AW403" s="477"/>
      <c r="AX403" s="477"/>
      <c r="AY403" s="477"/>
      <c r="AZ403" s="477"/>
      <c r="BA403" s="477"/>
      <c r="BB403" s="477"/>
      <c r="BC403" s="477"/>
    </row>
    <row r="404" spans="1:55" s="382" customFormat="1" x14ac:dyDescent="0.3">
      <c r="A404" s="381"/>
      <c r="AL404" s="477"/>
      <c r="AM404" s="477"/>
      <c r="AN404" s="477"/>
      <c r="AO404" s="477"/>
      <c r="AP404" s="477"/>
      <c r="AQ404" s="477"/>
      <c r="AR404" s="477"/>
      <c r="AS404" s="477"/>
      <c r="AT404" s="477"/>
      <c r="AU404" s="477"/>
      <c r="AV404" s="477"/>
      <c r="AW404" s="477"/>
      <c r="AX404" s="477"/>
      <c r="AY404" s="477"/>
      <c r="AZ404" s="477"/>
      <c r="BA404" s="477"/>
      <c r="BB404" s="477"/>
      <c r="BC404" s="477"/>
    </row>
    <row r="405" spans="1:55" s="382" customFormat="1" x14ac:dyDescent="0.3">
      <c r="A405" s="381"/>
      <c r="AL405" s="477"/>
      <c r="AM405" s="477"/>
      <c r="AN405" s="477"/>
      <c r="AO405" s="477"/>
      <c r="AP405" s="477"/>
      <c r="AQ405" s="477"/>
      <c r="AR405" s="477"/>
      <c r="AS405" s="477"/>
      <c r="AT405" s="477"/>
      <c r="AU405" s="477"/>
      <c r="AV405" s="477"/>
      <c r="AW405" s="477"/>
      <c r="AX405" s="477"/>
      <c r="AY405" s="477"/>
      <c r="AZ405" s="477"/>
      <c r="BA405" s="477"/>
      <c r="BB405" s="477"/>
      <c r="BC405" s="477"/>
    </row>
    <row r="406" spans="1:55" s="382" customFormat="1" x14ac:dyDescent="0.3">
      <c r="A406" s="381"/>
      <c r="AL406" s="477"/>
      <c r="AM406" s="477"/>
      <c r="AN406" s="477"/>
      <c r="AO406" s="477"/>
      <c r="AP406" s="477"/>
      <c r="AQ406" s="477"/>
      <c r="AR406" s="477"/>
      <c r="AS406" s="477"/>
      <c r="AT406" s="477"/>
      <c r="AU406" s="477"/>
      <c r="AV406" s="477"/>
      <c r="AW406" s="477"/>
      <c r="AX406" s="477"/>
      <c r="AY406" s="477"/>
      <c r="AZ406" s="477"/>
      <c r="BA406" s="477"/>
      <c r="BB406" s="477"/>
      <c r="BC406" s="477"/>
    </row>
    <row r="407" spans="1:55" s="382" customFormat="1" x14ac:dyDescent="0.3">
      <c r="A407" s="381"/>
      <c r="AL407" s="477"/>
      <c r="AM407" s="477"/>
      <c r="AN407" s="477"/>
      <c r="AO407" s="477"/>
      <c r="AP407" s="477"/>
      <c r="AQ407" s="477"/>
      <c r="AR407" s="477"/>
      <c r="AS407" s="477"/>
      <c r="AT407" s="477"/>
      <c r="AU407" s="477"/>
      <c r="AV407" s="477"/>
      <c r="AW407" s="477"/>
      <c r="AX407" s="477"/>
      <c r="AY407" s="477"/>
      <c r="AZ407" s="477"/>
      <c r="BA407" s="477"/>
      <c r="BB407" s="477"/>
      <c r="BC407" s="477"/>
    </row>
    <row r="408" spans="1:55" s="382" customFormat="1" x14ac:dyDescent="0.3">
      <c r="A408" s="381"/>
      <c r="AL408" s="477"/>
      <c r="AM408" s="477"/>
      <c r="AN408" s="477"/>
      <c r="AO408" s="477"/>
      <c r="AP408" s="477"/>
      <c r="AQ408" s="477"/>
      <c r="AR408" s="477"/>
      <c r="AS408" s="477"/>
      <c r="AT408" s="477"/>
      <c r="AU408" s="477"/>
      <c r="AV408" s="477"/>
      <c r="AW408" s="477"/>
      <c r="AX408" s="477"/>
      <c r="AY408" s="477"/>
      <c r="AZ408" s="477"/>
      <c r="BA408" s="477"/>
      <c r="BB408" s="477"/>
      <c r="BC408" s="477"/>
    </row>
    <row r="409" spans="1:55" s="382" customFormat="1" x14ac:dyDescent="0.3">
      <c r="A409" s="381"/>
      <c r="AL409" s="477"/>
      <c r="AM409" s="477"/>
      <c r="AN409" s="477"/>
      <c r="AO409" s="477"/>
      <c r="AP409" s="477"/>
      <c r="AQ409" s="477"/>
      <c r="AR409" s="477"/>
      <c r="AS409" s="477"/>
      <c r="AT409" s="477"/>
      <c r="AU409" s="477"/>
      <c r="AV409" s="477"/>
      <c r="AW409" s="477"/>
      <c r="AX409" s="477"/>
      <c r="AY409" s="477"/>
      <c r="AZ409" s="477"/>
      <c r="BA409" s="477"/>
      <c r="BB409" s="477"/>
      <c r="BC409" s="477"/>
    </row>
    <row r="410" spans="1:55" s="382" customFormat="1" x14ac:dyDescent="0.3">
      <c r="A410" s="381"/>
      <c r="AL410" s="477"/>
      <c r="AM410" s="477"/>
      <c r="AN410" s="477"/>
      <c r="AO410" s="477"/>
      <c r="AP410" s="477"/>
      <c r="AQ410" s="477"/>
      <c r="AR410" s="477"/>
      <c r="AS410" s="477"/>
      <c r="AT410" s="477"/>
      <c r="AU410" s="477"/>
      <c r="AV410" s="477"/>
      <c r="AW410" s="477"/>
      <c r="AX410" s="477"/>
      <c r="AY410" s="477"/>
      <c r="AZ410" s="477"/>
      <c r="BA410" s="477"/>
      <c r="BB410" s="477"/>
      <c r="BC410" s="477"/>
    </row>
    <row r="411" spans="1:55" s="382" customFormat="1" x14ac:dyDescent="0.3">
      <c r="A411" s="381"/>
      <c r="AL411" s="477"/>
      <c r="AM411" s="477"/>
      <c r="AN411" s="477"/>
      <c r="AO411" s="477"/>
      <c r="AP411" s="477"/>
      <c r="AQ411" s="477"/>
      <c r="AR411" s="477"/>
      <c r="AS411" s="477"/>
      <c r="AT411" s="477"/>
      <c r="AU411" s="477"/>
      <c r="AV411" s="477"/>
      <c r="AW411" s="477"/>
      <c r="AX411" s="477"/>
      <c r="AY411" s="477"/>
      <c r="AZ411" s="477"/>
      <c r="BA411" s="477"/>
      <c r="BB411" s="477"/>
      <c r="BC411" s="477"/>
    </row>
    <row r="412" spans="1:55" s="382" customFormat="1" x14ac:dyDescent="0.3">
      <c r="A412" s="381"/>
      <c r="AL412" s="477"/>
      <c r="AM412" s="477"/>
      <c r="AN412" s="477"/>
      <c r="AO412" s="477"/>
      <c r="AP412" s="477"/>
      <c r="AQ412" s="477"/>
      <c r="AR412" s="477"/>
      <c r="AS412" s="477"/>
      <c r="AT412" s="477"/>
      <c r="AU412" s="477"/>
      <c r="AV412" s="477"/>
      <c r="AW412" s="477"/>
      <c r="AX412" s="477"/>
      <c r="AY412" s="477"/>
      <c r="AZ412" s="477"/>
      <c r="BA412" s="477"/>
      <c r="BB412" s="477"/>
      <c r="BC412" s="477"/>
    </row>
    <row r="413" spans="1:55" s="382" customFormat="1" x14ac:dyDescent="0.3">
      <c r="A413" s="381"/>
      <c r="AL413" s="477"/>
      <c r="AM413" s="477"/>
      <c r="AN413" s="477"/>
      <c r="AO413" s="477"/>
      <c r="AP413" s="477"/>
      <c r="AQ413" s="477"/>
      <c r="AR413" s="477"/>
      <c r="AS413" s="477"/>
      <c r="AT413" s="477"/>
      <c r="AU413" s="477"/>
      <c r="AV413" s="477"/>
      <c r="AW413" s="477"/>
      <c r="AX413" s="477"/>
      <c r="AY413" s="477"/>
      <c r="AZ413" s="477"/>
      <c r="BA413" s="477"/>
      <c r="BB413" s="477"/>
      <c r="BC413" s="477"/>
    </row>
    <row r="414" spans="1:55" s="382" customFormat="1" x14ac:dyDescent="0.3">
      <c r="A414" s="381"/>
      <c r="AL414" s="477"/>
      <c r="AM414" s="477"/>
      <c r="AN414" s="477"/>
      <c r="AO414" s="477"/>
      <c r="AP414" s="477"/>
      <c r="AQ414" s="477"/>
      <c r="AR414" s="477"/>
      <c r="AS414" s="477"/>
      <c r="AT414" s="477"/>
      <c r="AU414" s="477"/>
      <c r="AV414" s="477"/>
      <c r="AW414" s="477"/>
      <c r="AX414" s="477"/>
      <c r="AY414" s="477"/>
      <c r="AZ414" s="477"/>
      <c r="BA414" s="477"/>
      <c r="BB414" s="477"/>
      <c r="BC414" s="477"/>
    </row>
    <row r="415" spans="1:55" s="382" customFormat="1" x14ac:dyDescent="0.3">
      <c r="A415" s="381"/>
      <c r="AL415" s="477"/>
      <c r="AM415" s="477"/>
      <c r="AN415" s="477"/>
      <c r="AO415" s="477"/>
      <c r="AP415" s="477"/>
      <c r="AQ415" s="477"/>
      <c r="AR415" s="477"/>
      <c r="AS415" s="477"/>
      <c r="AT415" s="477"/>
      <c r="AU415" s="477"/>
      <c r="AV415" s="477"/>
      <c r="AW415" s="477"/>
      <c r="AX415" s="477"/>
      <c r="AY415" s="477"/>
      <c r="AZ415" s="477"/>
      <c r="BA415" s="477"/>
      <c r="BB415" s="477"/>
      <c r="BC415" s="477"/>
    </row>
    <row r="416" spans="1:55" s="382" customFormat="1" x14ac:dyDescent="0.3">
      <c r="A416" s="381"/>
      <c r="AL416" s="477"/>
      <c r="AM416" s="477"/>
      <c r="AN416" s="477"/>
      <c r="AO416" s="477"/>
      <c r="AP416" s="477"/>
      <c r="AQ416" s="477"/>
      <c r="AR416" s="477"/>
      <c r="AS416" s="477"/>
      <c r="AT416" s="477"/>
      <c r="AU416" s="477"/>
      <c r="AV416" s="477"/>
      <c r="AW416" s="477"/>
      <c r="AX416" s="477"/>
      <c r="AY416" s="477"/>
      <c r="AZ416" s="477"/>
      <c r="BA416" s="477"/>
      <c r="BB416" s="477"/>
      <c r="BC416" s="477"/>
    </row>
    <row r="417" spans="1:55" s="382" customFormat="1" x14ac:dyDescent="0.3">
      <c r="A417" s="381"/>
      <c r="AL417" s="477"/>
      <c r="AM417" s="477"/>
      <c r="AN417" s="477"/>
      <c r="AO417" s="477"/>
      <c r="AP417" s="477"/>
      <c r="AQ417" s="477"/>
      <c r="AR417" s="477"/>
      <c r="AS417" s="477"/>
      <c r="AT417" s="477"/>
      <c r="AU417" s="477"/>
      <c r="AV417" s="477"/>
      <c r="AW417" s="477"/>
      <c r="AX417" s="477"/>
      <c r="AY417" s="477"/>
      <c r="AZ417" s="477"/>
      <c r="BA417" s="477"/>
      <c r="BB417" s="477"/>
      <c r="BC417" s="477"/>
    </row>
    <row r="418" spans="1:55" s="382" customFormat="1" x14ac:dyDescent="0.3">
      <c r="A418" s="381"/>
      <c r="AL418" s="477"/>
      <c r="AM418" s="477"/>
      <c r="AN418" s="477"/>
      <c r="AO418" s="477"/>
      <c r="AP418" s="477"/>
      <c r="AQ418" s="477"/>
      <c r="AR418" s="477"/>
      <c r="AS418" s="477"/>
      <c r="AT418" s="477"/>
      <c r="AU418" s="477"/>
      <c r="AV418" s="477"/>
      <c r="AW418" s="477"/>
      <c r="AX418" s="477"/>
      <c r="AY418" s="477"/>
      <c r="AZ418" s="477"/>
      <c r="BA418" s="477"/>
      <c r="BB418" s="477"/>
      <c r="BC418" s="477"/>
    </row>
    <row r="419" spans="1:55" s="382" customFormat="1" x14ac:dyDescent="0.3">
      <c r="A419" s="381"/>
      <c r="AL419" s="477"/>
      <c r="AM419" s="477"/>
      <c r="AN419" s="477"/>
      <c r="AO419" s="477"/>
      <c r="AP419" s="477"/>
      <c r="AQ419" s="477"/>
      <c r="AR419" s="477"/>
      <c r="AS419" s="477"/>
      <c r="AT419" s="477"/>
      <c r="AU419" s="477"/>
      <c r="AV419" s="477"/>
      <c r="AW419" s="477"/>
      <c r="AX419" s="477"/>
      <c r="AY419" s="477"/>
      <c r="AZ419" s="477"/>
      <c r="BA419" s="477"/>
      <c r="BB419" s="477"/>
      <c r="BC419" s="477"/>
    </row>
    <row r="420" spans="1:55" s="382" customFormat="1" x14ac:dyDescent="0.3">
      <c r="A420" s="381"/>
      <c r="AL420" s="477"/>
      <c r="AM420" s="477"/>
      <c r="AN420" s="477"/>
      <c r="AO420" s="477"/>
      <c r="AP420" s="477"/>
      <c r="AQ420" s="477"/>
      <c r="AR420" s="477"/>
      <c r="AS420" s="477"/>
      <c r="AT420" s="477"/>
      <c r="AU420" s="477"/>
      <c r="AV420" s="477"/>
      <c r="AW420" s="477"/>
      <c r="AX420" s="477"/>
      <c r="AY420" s="477"/>
      <c r="AZ420" s="477"/>
      <c r="BA420" s="477"/>
      <c r="BB420" s="477"/>
      <c r="BC420" s="477"/>
    </row>
    <row r="421" spans="1:55" s="382" customFormat="1" x14ac:dyDescent="0.3">
      <c r="A421" s="381"/>
      <c r="AL421" s="477"/>
      <c r="AM421" s="477"/>
      <c r="AN421" s="477"/>
      <c r="AO421" s="477"/>
      <c r="AP421" s="477"/>
      <c r="AQ421" s="477"/>
      <c r="AR421" s="477"/>
      <c r="AS421" s="477"/>
      <c r="AT421" s="477"/>
      <c r="AU421" s="477"/>
      <c r="AV421" s="477"/>
      <c r="AW421" s="477"/>
      <c r="AX421" s="477"/>
      <c r="AY421" s="477"/>
      <c r="AZ421" s="477"/>
      <c r="BA421" s="477"/>
      <c r="BB421" s="477"/>
      <c r="BC421" s="477"/>
    </row>
    <row r="422" spans="1:55" s="382" customFormat="1" x14ac:dyDescent="0.3">
      <c r="A422" s="381"/>
      <c r="AL422" s="477"/>
      <c r="AM422" s="477"/>
      <c r="AN422" s="477"/>
      <c r="AO422" s="477"/>
      <c r="AP422" s="477"/>
      <c r="AQ422" s="477"/>
      <c r="AR422" s="477"/>
      <c r="AS422" s="477"/>
      <c r="AT422" s="477"/>
      <c r="AU422" s="477"/>
      <c r="AV422" s="477"/>
      <c r="AW422" s="477"/>
      <c r="AX422" s="477"/>
      <c r="AY422" s="477"/>
      <c r="AZ422" s="477"/>
      <c r="BA422" s="477"/>
      <c r="BB422" s="477"/>
      <c r="BC422" s="477"/>
    </row>
    <row r="423" spans="1:55" s="382" customFormat="1" x14ac:dyDescent="0.3">
      <c r="A423" s="381"/>
      <c r="AL423" s="477"/>
      <c r="AM423" s="477"/>
      <c r="AN423" s="477"/>
      <c r="AO423" s="477"/>
      <c r="AP423" s="477"/>
      <c r="AQ423" s="477"/>
      <c r="AR423" s="477"/>
      <c r="AS423" s="477"/>
      <c r="AT423" s="477"/>
      <c r="AU423" s="477"/>
      <c r="AV423" s="477"/>
      <c r="AW423" s="477"/>
      <c r="AX423" s="477"/>
      <c r="AY423" s="477"/>
      <c r="AZ423" s="477"/>
      <c r="BA423" s="477"/>
      <c r="BB423" s="477"/>
      <c r="BC423" s="477"/>
    </row>
    <row r="424" spans="1:55" s="382" customFormat="1" x14ac:dyDescent="0.3">
      <c r="A424" s="381"/>
      <c r="AL424" s="477"/>
      <c r="AM424" s="477"/>
      <c r="AN424" s="477"/>
      <c r="AO424" s="477"/>
      <c r="AP424" s="477"/>
      <c r="AQ424" s="477"/>
      <c r="AR424" s="477"/>
      <c r="AS424" s="477"/>
      <c r="AT424" s="477"/>
      <c r="AU424" s="477"/>
      <c r="AV424" s="477"/>
      <c r="AW424" s="477"/>
      <c r="AX424" s="477"/>
      <c r="AY424" s="477"/>
      <c r="AZ424" s="477"/>
      <c r="BA424" s="477"/>
      <c r="BB424" s="477"/>
      <c r="BC424" s="477"/>
    </row>
    <row r="425" spans="1:55" s="382" customFormat="1" x14ac:dyDescent="0.3">
      <c r="A425" s="381"/>
      <c r="AL425" s="477"/>
      <c r="AM425" s="477"/>
      <c r="AN425" s="477"/>
      <c r="AO425" s="477"/>
      <c r="AP425" s="477"/>
      <c r="AQ425" s="477"/>
      <c r="AR425" s="477"/>
      <c r="AS425" s="477"/>
      <c r="AT425" s="477"/>
      <c r="AU425" s="477"/>
      <c r="AV425" s="477"/>
      <c r="AW425" s="477"/>
      <c r="AX425" s="477"/>
      <c r="AY425" s="477"/>
      <c r="AZ425" s="477"/>
      <c r="BA425" s="477"/>
      <c r="BB425" s="477"/>
      <c r="BC425" s="477"/>
    </row>
    <row r="426" spans="1:55" s="382" customFormat="1" x14ac:dyDescent="0.3">
      <c r="A426" s="381"/>
      <c r="AL426" s="477"/>
      <c r="AM426" s="477"/>
      <c r="AN426" s="477"/>
      <c r="AO426" s="477"/>
      <c r="AP426" s="477"/>
      <c r="AQ426" s="477"/>
      <c r="AR426" s="477"/>
      <c r="AS426" s="477"/>
      <c r="AT426" s="477"/>
      <c r="AU426" s="477"/>
      <c r="AV426" s="477"/>
      <c r="AW426" s="477"/>
      <c r="AX426" s="477"/>
      <c r="AY426" s="477"/>
      <c r="AZ426" s="477"/>
      <c r="BA426" s="477"/>
      <c r="BB426" s="477"/>
      <c r="BC426" s="477"/>
    </row>
    <row r="427" spans="1:55" s="382" customFormat="1" x14ac:dyDescent="0.3">
      <c r="A427" s="381"/>
      <c r="AL427" s="477"/>
      <c r="AM427" s="477"/>
      <c r="AN427" s="477"/>
      <c r="AO427" s="477"/>
      <c r="AP427" s="477"/>
      <c r="AQ427" s="477"/>
      <c r="AR427" s="477"/>
      <c r="AS427" s="477"/>
      <c r="AT427" s="477"/>
      <c r="AU427" s="477"/>
      <c r="AV427" s="477"/>
      <c r="AW427" s="477"/>
      <c r="AX427" s="477"/>
      <c r="AY427" s="477"/>
      <c r="AZ427" s="477"/>
      <c r="BA427" s="477"/>
      <c r="BB427" s="477"/>
      <c r="BC427" s="477"/>
    </row>
    <row r="428" spans="1:55" s="382" customFormat="1" x14ac:dyDescent="0.3">
      <c r="A428" s="381"/>
      <c r="AL428" s="477"/>
      <c r="AM428" s="477"/>
      <c r="AN428" s="477"/>
      <c r="AO428" s="477"/>
      <c r="AP428" s="477"/>
      <c r="AQ428" s="477"/>
      <c r="AR428" s="477"/>
      <c r="AS428" s="477"/>
      <c r="AT428" s="477"/>
      <c r="AU428" s="477"/>
      <c r="AV428" s="477"/>
      <c r="AW428" s="477"/>
      <c r="AX428" s="477"/>
      <c r="AY428" s="477"/>
      <c r="AZ428" s="477"/>
      <c r="BA428" s="477"/>
      <c r="BB428" s="477"/>
      <c r="BC428" s="477"/>
    </row>
    <row r="429" spans="1:55" s="382" customFormat="1" x14ac:dyDescent="0.3">
      <c r="A429" s="381"/>
      <c r="AL429" s="477"/>
      <c r="AM429" s="477"/>
      <c r="AN429" s="477"/>
      <c r="AO429" s="477"/>
      <c r="AP429" s="477"/>
      <c r="AQ429" s="477"/>
      <c r="AR429" s="477"/>
      <c r="AS429" s="477"/>
      <c r="AT429" s="477"/>
      <c r="AU429" s="477"/>
      <c r="AV429" s="477"/>
      <c r="AW429" s="477"/>
      <c r="AX429" s="477"/>
      <c r="AY429" s="477"/>
      <c r="AZ429" s="477"/>
      <c r="BA429" s="477"/>
      <c r="BB429" s="477"/>
      <c r="BC429" s="477"/>
    </row>
    <row r="430" spans="1:55" s="382" customFormat="1" x14ac:dyDescent="0.3">
      <c r="A430" s="381"/>
      <c r="AL430" s="477"/>
      <c r="AM430" s="477"/>
      <c r="AN430" s="477"/>
      <c r="AO430" s="477"/>
      <c r="AP430" s="477"/>
      <c r="AQ430" s="477"/>
      <c r="AR430" s="477"/>
      <c r="AS430" s="477"/>
      <c r="AT430" s="477"/>
      <c r="AU430" s="477"/>
      <c r="AV430" s="477"/>
      <c r="AW430" s="477"/>
      <c r="AX430" s="477"/>
      <c r="AY430" s="477"/>
      <c r="AZ430" s="477"/>
      <c r="BA430" s="477"/>
      <c r="BB430" s="477"/>
      <c r="BC430" s="477"/>
    </row>
    <row r="431" spans="1:55" s="382" customFormat="1" x14ac:dyDescent="0.3">
      <c r="A431" s="381"/>
      <c r="AL431" s="477"/>
      <c r="AM431" s="477"/>
      <c r="AN431" s="477"/>
      <c r="AO431" s="477"/>
      <c r="AP431" s="477"/>
      <c r="AQ431" s="477"/>
      <c r="AR431" s="477"/>
      <c r="AS431" s="477"/>
      <c r="AT431" s="477"/>
      <c r="AU431" s="477"/>
      <c r="AV431" s="477"/>
      <c r="AW431" s="477"/>
      <c r="AX431" s="477"/>
      <c r="AY431" s="477"/>
      <c r="AZ431" s="477"/>
      <c r="BA431" s="477"/>
      <c r="BB431" s="477"/>
      <c r="BC431" s="477"/>
    </row>
    <row r="432" spans="1:55" s="382" customFormat="1" x14ac:dyDescent="0.3">
      <c r="A432" s="381"/>
      <c r="AL432" s="477"/>
      <c r="AM432" s="477"/>
      <c r="AN432" s="477"/>
      <c r="AO432" s="477"/>
      <c r="AP432" s="477"/>
      <c r="AQ432" s="477"/>
      <c r="AR432" s="477"/>
      <c r="AS432" s="477"/>
      <c r="AT432" s="477"/>
      <c r="AU432" s="477"/>
      <c r="AV432" s="477"/>
      <c r="AW432" s="477"/>
      <c r="AX432" s="477"/>
      <c r="AY432" s="477"/>
      <c r="AZ432" s="477"/>
      <c r="BA432" s="477"/>
      <c r="BB432" s="477"/>
      <c r="BC432" s="477"/>
    </row>
  </sheetData>
  <mergeCells count="61">
    <mergeCell ref="A1:V1"/>
    <mergeCell ref="Y1:AD1"/>
    <mergeCell ref="AF1:AK1"/>
    <mergeCell ref="BE1:BG1"/>
    <mergeCell ref="Y2:Z2"/>
    <mergeCell ref="AA2:AB2"/>
    <mergeCell ref="AC2:AD2"/>
    <mergeCell ref="AF2:AG2"/>
    <mergeCell ref="AH2:AI2"/>
    <mergeCell ref="AJ2:AK2"/>
    <mergeCell ref="BE2:BE3"/>
    <mergeCell ref="BF2:BF3"/>
    <mergeCell ref="BG2:BG3"/>
    <mergeCell ref="AO2:AP2"/>
    <mergeCell ref="AQ2:AR2"/>
    <mergeCell ref="AS2:AT2"/>
    <mergeCell ref="B4:F5"/>
    <mergeCell ref="G4:K4"/>
    <mergeCell ref="L4:N4"/>
    <mergeCell ref="O4:V4"/>
    <mergeCell ref="G5:K5"/>
    <mergeCell ref="L5:N5"/>
    <mergeCell ref="O5:V5"/>
    <mergeCell ref="G6:J6"/>
    <mergeCell ref="K6:N6"/>
    <mergeCell ref="O6:S6"/>
    <mergeCell ref="T6:V6"/>
    <mergeCell ref="K7:N8"/>
    <mergeCell ref="O7:S7"/>
    <mergeCell ref="T7:V7"/>
    <mergeCell ref="G8:J8"/>
    <mergeCell ref="O8:R8"/>
    <mergeCell ref="S8:U9"/>
    <mergeCell ref="V8:V9"/>
    <mergeCell ref="J9:M9"/>
    <mergeCell ref="N9:R9"/>
    <mergeCell ref="J10:L10"/>
    <mergeCell ref="M10:Q12"/>
    <mergeCell ref="R10:T12"/>
    <mergeCell ref="V10:V12"/>
    <mergeCell ref="G24:G25"/>
    <mergeCell ref="K24:K25"/>
    <mergeCell ref="O24:O25"/>
    <mergeCell ref="A13:A14"/>
    <mergeCell ref="B13:F16"/>
    <mergeCell ref="G13:L16"/>
    <mergeCell ref="M13:Q16"/>
    <mergeCell ref="Z24:Z25"/>
    <mergeCell ref="AD24:AD25"/>
    <mergeCell ref="X13:X14"/>
    <mergeCell ref="V15:V16"/>
    <mergeCell ref="R16:U16"/>
    <mergeCell ref="R13:U15"/>
    <mergeCell ref="V13:V14"/>
    <mergeCell ref="AX2:AY2"/>
    <mergeCell ref="AZ2:BA2"/>
    <mergeCell ref="BB2:BC2"/>
    <mergeCell ref="AM1:AT1"/>
    <mergeCell ref="AM2:AN2"/>
    <mergeCell ref="AV1:BC1"/>
    <mergeCell ref="AV2:AW2"/>
  </mergeCells>
  <printOptions horizontalCentered="1"/>
  <pageMargins left="0.56000000000000005" right="0.61" top="0.68" bottom="0.75" header="0.38" footer="0.5"/>
  <pageSetup scale="81" fitToWidth="2" orientation="landscape" r:id="rId1"/>
  <headerFooter alignWithMargins="0">
    <oddFooter>&amp;L&amp;F - &amp;A&amp;R&amp;D, Page &amp;P of &amp;N</oddFooter>
  </headerFooter>
  <colBreaks count="1" manualBreakCount="1">
    <brk id="23" max="2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5"/>
  <sheetViews>
    <sheetView topLeftCell="A119" zoomScale="85" zoomScaleNormal="85" workbookViewId="0">
      <selection activeCell="C113" sqref="C113:C138"/>
    </sheetView>
  </sheetViews>
  <sheetFormatPr defaultColWidth="9.109375" defaultRowHeight="13.2" x14ac:dyDescent="0.25"/>
  <cols>
    <col min="1" max="1" width="33" style="41" customWidth="1"/>
    <col min="2" max="3" width="22.44140625" style="41" customWidth="1"/>
    <col min="4" max="4" width="10.44140625" style="41" customWidth="1"/>
    <col min="5" max="5" width="10.109375" style="41" bestFit="1" customWidth="1"/>
    <col min="6" max="29" width="9.109375" style="41"/>
    <col min="30" max="30" width="11.5546875" style="41" bestFit="1" customWidth="1"/>
    <col min="31" max="31" width="9.109375" style="41"/>
    <col min="32" max="32" width="11.5546875" style="41" bestFit="1" customWidth="1"/>
    <col min="33" max="43" width="9.109375" style="41"/>
    <col min="44" max="44" width="12.5546875" style="41" customWidth="1"/>
    <col min="45" max="45" width="10.6640625" style="41" customWidth="1"/>
    <col min="46" max="46" width="9.109375" style="41"/>
    <col min="47" max="50" width="10.6640625" style="41" customWidth="1"/>
    <col min="51" max="52" width="9.109375" style="41"/>
    <col min="53" max="53" width="9.109375" style="43"/>
    <col min="54" max="16384" width="9.109375" style="41"/>
  </cols>
  <sheetData>
    <row r="1" spans="1:32" x14ac:dyDescent="0.25">
      <c r="A1" s="40"/>
      <c r="E1" s="42"/>
      <c r="F1" s="42"/>
      <c r="Q1" s="572"/>
    </row>
    <row r="2" spans="1:32" ht="26.25" customHeight="1" x14ac:dyDescent="0.35">
      <c r="A2" s="713" t="s">
        <v>132</v>
      </c>
      <c r="B2" s="713" t="s">
        <v>63</v>
      </c>
      <c r="C2" s="44" t="s">
        <v>115</v>
      </c>
      <c r="D2" s="44"/>
      <c r="E2" s="44" t="s">
        <v>64</v>
      </c>
      <c r="F2" s="44" t="s">
        <v>65</v>
      </c>
      <c r="G2" s="722" t="s">
        <v>66</v>
      </c>
      <c r="H2" s="723"/>
      <c r="I2" s="722" t="s">
        <v>67</v>
      </c>
      <c r="J2" s="723"/>
      <c r="K2" s="720" t="s">
        <v>68</v>
      </c>
      <c r="L2" s="720"/>
      <c r="M2" s="720"/>
      <c r="N2" s="720"/>
      <c r="O2" s="720"/>
      <c r="P2" s="720"/>
      <c r="Q2" s="722" t="s">
        <v>69</v>
      </c>
      <c r="R2" s="723"/>
      <c r="S2" s="720" t="s">
        <v>70</v>
      </c>
      <c r="T2" s="721"/>
      <c r="U2" s="721"/>
      <c r="V2" s="721"/>
      <c r="W2" s="720" t="s">
        <v>71</v>
      </c>
      <c r="X2" s="721"/>
      <c r="Y2" s="721"/>
      <c r="Z2" s="721"/>
      <c r="AA2" s="722" t="s">
        <v>72</v>
      </c>
      <c r="AB2" s="723"/>
      <c r="AC2" s="720" t="s">
        <v>73</v>
      </c>
      <c r="AD2" s="720"/>
      <c r="AE2" s="720" t="s">
        <v>74</v>
      </c>
      <c r="AF2" s="720"/>
    </row>
    <row r="3" spans="1:32" ht="66" x14ac:dyDescent="0.25">
      <c r="A3" s="714"/>
      <c r="B3" s="714"/>
      <c r="C3" s="50" t="s">
        <v>77</v>
      </c>
      <c r="D3" s="50" t="s">
        <v>575</v>
      </c>
      <c r="E3" s="50" t="s">
        <v>78</v>
      </c>
      <c r="F3" s="50" t="s">
        <v>79</v>
      </c>
      <c r="G3" s="49" t="s">
        <v>80</v>
      </c>
      <c r="H3" s="51" t="s">
        <v>180</v>
      </c>
      <c r="I3" s="50" t="s">
        <v>80</v>
      </c>
      <c r="J3" s="51" t="s">
        <v>180</v>
      </c>
      <c r="K3" s="50" t="s">
        <v>80</v>
      </c>
      <c r="L3" s="51" t="s">
        <v>180</v>
      </c>
      <c r="M3" s="51" t="s">
        <v>177</v>
      </c>
      <c r="N3" s="51" t="s">
        <v>179</v>
      </c>
      <c r="O3" s="51" t="s">
        <v>81</v>
      </c>
      <c r="P3" s="51" t="s">
        <v>178</v>
      </c>
      <c r="Q3" s="50" t="s">
        <v>80</v>
      </c>
      <c r="R3" s="51" t="s">
        <v>180</v>
      </c>
      <c r="S3" s="46" t="s">
        <v>80</v>
      </c>
      <c r="T3" s="51" t="s">
        <v>180</v>
      </c>
      <c r="U3" s="46" t="s">
        <v>82</v>
      </c>
      <c r="V3" s="46" t="s">
        <v>83</v>
      </c>
      <c r="W3" s="46" t="s">
        <v>80</v>
      </c>
      <c r="X3" s="51" t="s">
        <v>180</v>
      </c>
      <c r="Y3" s="46" t="s">
        <v>82</v>
      </c>
      <c r="Z3" s="46" t="s">
        <v>83</v>
      </c>
      <c r="AA3" s="50" t="s">
        <v>80</v>
      </c>
      <c r="AB3" s="51" t="s">
        <v>180</v>
      </c>
      <c r="AC3" s="46" t="s">
        <v>80</v>
      </c>
      <c r="AD3" s="51" t="s">
        <v>180</v>
      </c>
      <c r="AE3" s="46" t="s">
        <v>80</v>
      </c>
      <c r="AF3" s="51" t="s">
        <v>180</v>
      </c>
    </row>
    <row r="4" spans="1:32" ht="26.4" x14ac:dyDescent="0.25">
      <c r="A4" s="53" t="s">
        <v>277</v>
      </c>
      <c r="B4" s="54" t="s">
        <v>116</v>
      </c>
      <c r="C4" s="55">
        <v>18</v>
      </c>
      <c r="D4" s="55">
        <v>2019</v>
      </c>
      <c r="E4" s="55">
        <v>35</v>
      </c>
      <c r="F4" s="55">
        <v>80</v>
      </c>
      <c r="G4" s="56">
        <v>2.1616121286957402</v>
      </c>
      <c r="H4" s="57">
        <v>24.7435700684061</v>
      </c>
      <c r="I4" s="57">
        <v>0.20377816992785899</v>
      </c>
      <c r="J4" s="57">
        <v>1.43117561899833</v>
      </c>
      <c r="K4" s="56">
        <v>4.48617777899743E-2</v>
      </c>
      <c r="L4" s="57">
        <v>1.8424816376977899</v>
      </c>
      <c r="M4" s="57">
        <v>1.73081120914338</v>
      </c>
      <c r="N4" s="57">
        <v>0.74864470383832205</v>
      </c>
      <c r="O4" s="57">
        <v>0.17276808832068599</v>
      </c>
      <c r="P4" s="57">
        <v>0.96643368402473595</v>
      </c>
      <c r="Q4" s="57">
        <v>4.1573748968915603E-3</v>
      </c>
      <c r="R4" s="57">
        <v>5.5605893792178597E-3</v>
      </c>
      <c r="S4" s="56">
        <v>3.2177137016076501E-3</v>
      </c>
      <c r="T4" s="57">
        <v>2.8955177636250901E-2</v>
      </c>
      <c r="U4" s="57">
        <v>7.9999583995993707E-3</v>
      </c>
      <c r="V4" s="57">
        <v>3.6749815874576097E-2</v>
      </c>
      <c r="W4" s="57">
        <v>2.9829222004164198E-3</v>
      </c>
      <c r="X4" s="57">
        <v>2.6845624045211201E-2</v>
      </c>
      <c r="Y4" s="57">
        <v>1.9999896010969099E-3</v>
      </c>
      <c r="Z4" s="57">
        <v>1.57499197860352E-2</v>
      </c>
      <c r="AA4" s="57">
        <v>283.485711676574</v>
      </c>
      <c r="AB4" s="57">
        <v>402.23348675368499</v>
      </c>
      <c r="AC4" s="56">
        <v>1.77E-2</v>
      </c>
      <c r="AD4" s="56">
        <f t="shared" ref="AD4:AD12" si="0">0.000049261*AB4</f>
        <v>1.9814423790973278E-2</v>
      </c>
      <c r="AE4" s="58">
        <v>3.2599999999999997E-2</v>
      </c>
      <c r="AF4" s="56">
        <f t="shared" ref="AF4:AF12" si="1">0.000021675*AB4</f>
        <v>8.7184108253861234E-3</v>
      </c>
    </row>
    <row r="5" spans="1:32" ht="26.4" x14ac:dyDescent="0.25">
      <c r="A5" s="53" t="s">
        <v>277</v>
      </c>
      <c r="B5" s="54" t="s">
        <v>116</v>
      </c>
      <c r="C5" s="55">
        <v>18</v>
      </c>
      <c r="D5" s="55">
        <v>2020</v>
      </c>
      <c r="E5" s="55">
        <v>35</v>
      </c>
      <c r="F5" s="55">
        <v>80</v>
      </c>
      <c r="G5" s="56">
        <v>2.0113150507712199</v>
      </c>
      <c r="H5" s="57">
        <v>22.790624326876198</v>
      </c>
      <c r="I5" s="57">
        <v>0.18898225286273301</v>
      </c>
      <c r="J5" s="57">
        <v>1.3211428895875701</v>
      </c>
      <c r="K5" s="56">
        <v>4.0785849067587199E-2</v>
      </c>
      <c r="L5" s="57">
        <v>1.6871738973232999</v>
      </c>
      <c r="M5" s="57">
        <v>1.6747324369310901</v>
      </c>
      <c r="N5" s="57">
        <v>0.72919559010325097</v>
      </c>
      <c r="O5" s="57">
        <v>0.16555320397414</v>
      </c>
      <c r="P5" s="57">
        <v>0.92805100264002705</v>
      </c>
      <c r="Q5" s="57">
        <v>4.1573748968915603E-3</v>
      </c>
      <c r="R5" s="57">
        <v>5.52953900904449E-3</v>
      </c>
      <c r="S5" s="56">
        <v>3.0828413074333399E-3</v>
      </c>
      <c r="T5" s="57">
        <v>2.86693325756671E-2</v>
      </c>
      <c r="U5" s="57">
        <v>7.9999583995993707E-3</v>
      </c>
      <c r="V5" s="57">
        <v>3.6749815874576097E-2</v>
      </c>
      <c r="W5" s="57">
        <v>2.8588455042299799E-3</v>
      </c>
      <c r="X5" s="57">
        <v>2.65885955719402E-2</v>
      </c>
      <c r="Y5" s="57">
        <v>1.9999896010969099E-3</v>
      </c>
      <c r="Z5" s="57">
        <v>1.57499197860352E-2</v>
      </c>
      <c r="AA5" s="57">
        <v>272.57403958478801</v>
      </c>
      <c r="AB5" s="57">
        <v>386.663124627716</v>
      </c>
      <c r="AC5" s="56">
        <v>1.77E-2</v>
      </c>
      <c r="AD5" s="56">
        <f t="shared" ref="AD5:AD7" si="2">0.000049261*AB5</f>
        <v>1.9047412182285919E-2</v>
      </c>
      <c r="AE5" s="58">
        <v>3.2599999999999997E-2</v>
      </c>
      <c r="AF5" s="56">
        <f t="shared" ref="AF5:AF7" si="3">0.000021675*AB5</f>
        <v>8.3809232263057452E-3</v>
      </c>
    </row>
    <row r="6" spans="1:32" x14ac:dyDescent="0.25">
      <c r="A6" s="53" t="s">
        <v>278</v>
      </c>
      <c r="B6" s="54" t="s">
        <v>116</v>
      </c>
      <c r="C6" s="55">
        <v>11</v>
      </c>
      <c r="D6" s="584">
        <v>2015</v>
      </c>
      <c r="E6" s="55">
        <v>35</v>
      </c>
      <c r="F6" s="55">
        <v>80</v>
      </c>
      <c r="G6" s="56">
        <v>3.0540067443121601</v>
      </c>
      <c r="H6" s="57">
        <v>32.183029189999999</v>
      </c>
      <c r="I6" s="57">
        <v>0.28811046660249001</v>
      </c>
      <c r="J6" s="57">
        <v>1.9003883589999999</v>
      </c>
      <c r="K6" s="56">
        <v>8.2025139740216704E-2</v>
      </c>
      <c r="L6" s="57">
        <v>2.492536673</v>
      </c>
      <c r="M6" s="57">
        <v>1.757790612</v>
      </c>
      <c r="N6" s="57">
        <v>0.75698741700000005</v>
      </c>
      <c r="O6" s="57">
        <v>0.18077990199999999</v>
      </c>
      <c r="P6" s="57">
        <v>0.98237260400000004</v>
      </c>
      <c r="Q6" s="57">
        <v>4.040465E-3</v>
      </c>
      <c r="R6" s="57">
        <v>5.7274889999999997E-3</v>
      </c>
      <c r="S6" s="56">
        <v>4.0699807541105604E-3</v>
      </c>
      <c r="T6" s="57">
        <v>3.0195842000000001E-2</v>
      </c>
      <c r="U6" s="57">
        <v>7.9999583995993707E-3</v>
      </c>
      <c r="V6" s="57">
        <v>3.6749815874576097E-2</v>
      </c>
      <c r="W6" s="57">
        <v>3.7351703299460101E-3</v>
      </c>
      <c r="X6" s="57">
        <v>2.7764032000000001E-2</v>
      </c>
      <c r="Y6" s="57">
        <v>1.9999896010969099E-3</v>
      </c>
      <c r="Z6" s="57">
        <v>1.57499197860352E-2</v>
      </c>
      <c r="AA6" s="57">
        <v>325.56318320819901</v>
      </c>
      <c r="AB6" s="57">
        <v>463.96295570000001</v>
      </c>
      <c r="AC6" s="56">
        <v>1.77E-2</v>
      </c>
      <c r="AD6" s="56">
        <f t="shared" si="2"/>
        <v>2.28552791607377E-2</v>
      </c>
      <c r="AE6" s="58">
        <v>3.2599999999999997E-2</v>
      </c>
      <c r="AF6" s="56">
        <f t="shared" si="3"/>
        <v>1.0056397064797501E-2</v>
      </c>
    </row>
    <row r="7" spans="1:32" x14ac:dyDescent="0.25">
      <c r="A7" s="53" t="s">
        <v>278</v>
      </c>
      <c r="B7" s="54" t="s">
        <v>116</v>
      </c>
      <c r="C7" s="55">
        <v>11</v>
      </c>
      <c r="D7" s="584">
        <v>2016</v>
      </c>
      <c r="E7" s="55">
        <v>35</v>
      </c>
      <c r="F7" s="55">
        <v>80</v>
      </c>
      <c r="G7" s="56">
        <v>2.78591454892655</v>
      </c>
      <c r="H7" s="57">
        <v>29.598076469999999</v>
      </c>
      <c r="I7" s="57">
        <v>0.26311917587438899</v>
      </c>
      <c r="J7" s="57">
        <v>1.7512240100000001</v>
      </c>
      <c r="K7" s="56">
        <v>7.0032754531890604E-2</v>
      </c>
      <c r="L7" s="57">
        <v>2.2616239509999998</v>
      </c>
      <c r="M7" s="57">
        <v>1.700597653</v>
      </c>
      <c r="N7" s="57">
        <v>0.73963658099999996</v>
      </c>
      <c r="O7" s="57">
        <v>0.172907107</v>
      </c>
      <c r="P7" s="57">
        <v>0.93951094499999999</v>
      </c>
      <c r="Q7" s="57">
        <v>4.0406579999999999E-3</v>
      </c>
      <c r="R7" s="57">
        <v>5.6783500000000004E-3</v>
      </c>
      <c r="S7" s="56">
        <v>3.80252254910592E-3</v>
      </c>
      <c r="T7" s="57">
        <v>2.9018414999999999E-2</v>
      </c>
      <c r="U7" s="57">
        <v>7.9999583995993707E-3</v>
      </c>
      <c r="V7" s="57">
        <v>3.6749815874576097E-2</v>
      </c>
      <c r="W7" s="57">
        <v>3.5004261561726001E-3</v>
      </c>
      <c r="X7" s="57">
        <v>2.6760717E-2</v>
      </c>
      <c r="Y7" s="57">
        <v>1.9999896010969099E-3</v>
      </c>
      <c r="Z7" s="57">
        <v>1.57499197860352E-2</v>
      </c>
      <c r="AA7" s="57">
        <v>315.17639938276602</v>
      </c>
      <c r="AB7" s="57">
        <v>449.98284840000002</v>
      </c>
      <c r="AC7" s="56">
        <v>1.77E-2</v>
      </c>
      <c r="AD7" s="56">
        <f t="shared" si="2"/>
        <v>2.2166605095032401E-2</v>
      </c>
      <c r="AE7" s="58">
        <v>3.2599999999999997E-2</v>
      </c>
      <c r="AF7" s="56">
        <f t="shared" si="3"/>
        <v>9.7533782390700017E-3</v>
      </c>
    </row>
    <row r="8" spans="1:32" ht="26.4" x14ac:dyDescent="0.25">
      <c r="A8" s="53" t="s">
        <v>279</v>
      </c>
      <c r="B8" s="54" t="s">
        <v>116</v>
      </c>
      <c r="C8" s="55">
        <v>18</v>
      </c>
      <c r="D8" s="584">
        <v>2015</v>
      </c>
      <c r="E8" s="55">
        <v>35</v>
      </c>
      <c r="F8" s="55">
        <v>80</v>
      </c>
      <c r="G8" s="56">
        <v>3.0540067443121601</v>
      </c>
      <c r="H8" s="57">
        <v>32.183029189999999</v>
      </c>
      <c r="I8" s="57">
        <v>0.28811046660249001</v>
      </c>
      <c r="J8" s="57">
        <v>1.9003883589999999</v>
      </c>
      <c r="K8" s="56">
        <v>8.2025139740216704E-2</v>
      </c>
      <c r="L8" s="57">
        <v>2.492536673</v>
      </c>
      <c r="M8" s="57">
        <v>1.757790612</v>
      </c>
      <c r="N8" s="57">
        <v>0.75698741700000005</v>
      </c>
      <c r="O8" s="57">
        <v>0.18077990199999999</v>
      </c>
      <c r="P8" s="57">
        <v>0.98237260400000004</v>
      </c>
      <c r="Q8" s="57">
        <v>4.040465E-3</v>
      </c>
      <c r="R8" s="57">
        <v>5.7274889999999997E-3</v>
      </c>
      <c r="S8" s="56">
        <v>4.0699807541105604E-3</v>
      </c>
      <c r="T8" s="57">
        <v>3.0195842000000001E-2</v>
      </c>
      <c r="U8" s="57">
        <v>7.9999583995993707E-3</v>
      </c>
      <c r="V8" s="57">
        <v>3.6749815874576097E-2</v>
      </c>
      <c r="W8" s="57">
        <v>3.7351703299460101E-3</v>
      </c>
      <c r="X8" s="57">
        <v>2.7764032000000001E-2</v>
      </c>
      <c r="Y8" s="57">
        <v>1.9999896010969099E-3</v>
      </c>
      <c r="Z8" s="57">
        <v>1.57499197860352E-2</v>
      </c>
      <c r="AA8" s="57">
        <v>325.56318320819901</v>
      </c>
      <c r="AB8" s="57">
        <v>463.96295570000001</v>
      </c>
      <c r="AC8" s="56">
        <v>1.77E-2</v>
      </c>
      <c r="AD8" s="56">
        <f t="shared" si="0"/>
        <v>2.28552791607377E-2</v>
      </c>
      <c r="AE8" s="58">
        <v>3.2599999999999997E-2</v>
      </c>
      <c r="AF8" s="56">
        <f t="shared" si="1"/>
        <v>1.0056397064797501E-2</v>
      </c>
    </row>
    <row r="9" spans="1:32" ht="26.4" x14ac:dyDescent="0.25">
      <c r="A9" s="53" t="s">
        <v>279</v>
      </c>
      <c r="B9" s="54" t="s">
        <v>116</v>
      </c>
      <c r="C9" s="55">
        <v>18</v>
      </c>
      <c r="D9" s="584">
        <v>2016</v>
      </c>
      <c r="E9" s="55">
        <v>35</v>
      </c>
      <c r="F9" s="55">
        <v>80</v>
      </c>
      <c r="G9" s="56">
        <v>2.78591454892655</v>
      </c>
      <c r="H9" s="57">
        <v>29.598076469999999</v>
      </c>
      <c r="I9" s="57">
        <v>0.26311917587438899</v>
      </c>
      <c r="J9" s="57">
        <v>1.7512240100000001</v>
      </c>
      <c r="K9" s="56">
        <v>7.0032754531890604E-2</v>
      </c>
      <c r="L9" s="57">
        <v>2.2616239509999998</v>
      </c>
      <c r="M9" s="57">
        <v>1.700597653</v>
      </c>
      <c r="N9" s="57">
        <v>0.73963658099999996</v>
      </c>
      <c r="O9" s="57">
        <v>0.172907107</v>
      </c>
      <c r="P9" s="57">
        <v>0.93951094499999999</v>
      </c>
      <c r="Q9" s="57">
        <v>4.0406579999999999E-3</v>
      </c>
      <c r="R9" s="57">
        <v>5.6783500000000004E-3</v>
      </c>
      <c r="S9" s="56">
        <v>3.80252254910592E-3</v>
      </c>
      <c r="T9" s="57">
        <v>2.9018414999999999E-2</v>
      </c>
      <c r="U9" s="57">
        <v>7.9999583995993707E-3</v>
      </c>
      <c r="V9" s="57">
        <v>3.6749815874576097E-2</v>
      </c>
      <c r="W9" s="57">
        <v>3.5004261561726001E-3</v>
      </c>
      <c r="X9" s="57">
        <v>2.6760717E-2</v>
      </c>
      <c r="Y9" s="57">
        <v>1.9999896010969099E-3</v>
      </c>
      <c r="Z9" s="57">
        <v>1.57499197860352E-2</v>
      </c>
      <c r="AA9" s="57">
        <v>315.17639938276602</v>
      </c>
      <c r="AB9" s="57">
        <v>449.98284840000002</v>
      </c>
      <c r="AC9" s="56">
        <v>1.77E-2</v>
      </c>
      <c r="AD9" s="56">
        <f t="shared" ref="AD9:AD10" si="4">0.000049261*AB9</f>
        <v>2.2166605095032401E-2</v>
      </c>
      <c r="AE9" s="58">
        <v>3.2599999999999997E-2</v>
      </c>
      <c r="AF9" s="56">
        <f t="shared" ref="AF9:AF10" si="5">0.000021675*AB9</f>
        <v>9.7533782390700017E-3</v>
      </c>
    </row>
    <row r="10" spans="1:32" ht="26.4" x14ac:dyDescent="0.25">
      <c r="A10" s="53" t="s">
        <v>279</v>
      </c>
      <c r="B10" s="54" t="s">
        <v>116</v>
      </c>
      <c r="C10" s="55">
        <v>18</v>
      </c>
      <c r="D10" s="55">
        <v>2018</v>
      </c>
      <c r="E10" s="55">
        <v>35</v>
      </c>
      <c r="F10" s="55">
        <v>80</v>
      </c>
      <c r="G10" s="56">
        <v>2.32750456732647</v>
      </c>
      <c r="H10" s="57">
        <v>26.8369689136582</v>
      </c>
      <c r="I10" s="57">
        <v>0.220058282293355</v>
      </c>
      <c r="J10" s="57">
        <v>1.55161540883006</v>
      </c>
      <c r="K10" s="56">
        <v>5.0036190968359602E-2</v>
      </c>
      <c r="L10" s="57">
        <v>2.0133398176820498</v>
      </c>
      <c r="M10" s="583">
        <v>1.7869157286703199</v>
      </c>
      <c r="N10" s="57">
        <v>0.76741159592388297</v>
      </c>
      <c r="O10" s="57">
        <v>0.18000166931502001</v>
      </c>
      <c r="P10" s="57">
        <v>1.00536046925614</v>
      </c>
      <c r="Q10" s="57">
        <v>4.1658076537366097E-3</v>
      </c>
      <c r="R10" s="57">
        <v>5.5961345195257002E-3</v>
      </c>
      <c r="S10" s="56">
        <v>3.3714411261341298E-3</v>
      </c>
      <c r="T10" s="57">
        <v>2.94067027811671E-2</v>
      </c>
      <c r="U10" s="57">
        <v>7.9999583995993707E-3</v>
      </c>
      <c r="V10" s="57">
        <v>3.6749815874576097E-2</v>
      </c>
      <c r="W10" s="57">
        <v>3.1223924561132399E-3</v>
      </c>
      <c r="X10" s="57">
        <v>2.72401786248915E-2</v>
      </c>
      <c r="Y10" s="57">
        <v>1.9999896010969099E-3</v>
      </c>
      <c r="Z10" s="57">
        <v>1.57499197860352E-2</v>
      </c>
      <c r="AA10" s="57">
        <v>293.35561440613401</v>
      </c>
      <c r="AB10" s="57">
        <v>416.36078579642702</v>
      </c>
      <c r="AC10" s="56">
        <v>1.77E-2</v>
      </c>
      <c r="AD10" s="56">
        <f t="shared" si="4"/>
        <v>2.0510348669117794E-2</v>
      </c>
      <c r="AE10" s="58">
        <v>3.2599999999999997E-2</v>
      </c>
      <c r="AF10" s="56">
        <f t="shared" si="5"/>
        <v>9.0246200321375571E-3</v>
      </c>
    </row>
    <row r="11" spans="1:32" ht="26.4" x14ac:dyDescent="0.25">
      <c r="A11" s="53" t="s">
        <v>283</v>
      </c>
      <c r="B11" s="54" t="s">
        <v>116</v>
      </c>
      <c r="C11" s="55">
        <v>12</v>
      </c>
      <c r="D11" s="55">
        <v>2017</v>
      </c>
      <c r="E11" s="55">
        <v>35</v>
      </c>
      <c r="F11" s="55">
        <v>80</v>
      </c>
      <c r="G11" s="56">
        <v>2.54395151100405</v>
      </c>
      <c r="H11" s="57">
        <v>29.2035058458045</v>
      </c>
      <c r="I11" s="57">
        <v>0.24044842409453401</v>
      </c>
      <c r="J11" s="57">
        <v>1.6865005225829499</v>
      </c>
      <c r="K11" s="56">
        <v>5.9325564772486503E-2</v>
      </c>
      <c r="L11" s="57">
        <v>2.2208930441863299</v>
      </c>
      <c r="M11" s="57">
        <v>1.8573383555076599</v>
      </c>
      <c r="N11" s="57">
        <v>0.788600376321418</v>
      </c>
      <c r="O11" s="57">
        <v>0.18886159007568001</v>
      </c>
      <c r="P11" s="57">
        <v>1.0510920664177701</v>
      </c>
      <c r="Q11" s="57">
        <v>4.1675187303667101E-3</v>
      </c>
      <c r="R11" s="583">
        <v>5.6402210252201896E-3</v>
      </c>
      <c r="S11" s="56">
        <v>3.5723855574965602E-3</v>
      </c>
      <c r="T11" s="57">
        <v>3.02383449279904E-2</v>
      </c>
      <c r="U11" s="57">
        <v>7.9999583995993707E-3</v>
      </c>
      <c r="V11" s="57">
        <v>3.6749815874576097E-2</v>
      </c>
      <c r="W11" s="57">
        <v>3.2987864500686401E-3</v>
      </c>
      <c r="X11" s="57">
        <v>2.7934761100422499E-2</v>
      </c>
      <c r="Y11" s="57">
        <v>1.9999896010969099E-3</v>
      </c>
      <c r="Z11" s="57">
        <v>1.57499197860352E-2</v>
      </c>
      <c r="AA11" s="57">
        <v>303.91339750798198</v>
      </c>
      <c r="AB11" s="57">
        <v>431.429592263568</v>
      </c>
      <c r="AC11" s="56">
        <v>1.77E-2</v>
      </c>
      <c r="AD11" s="56">
        <f t="shared" si="0"/>
        <v>2.1252653144495624E-2</v>
      </c>
      <c r="AE11" s="58">
        <v>3.2599999999999997E-2</v>
      </c>
      <c r="AF11" s="56">
        <f t="shared" si="1"/>
        <v>9.3512364123128373E-3</v>
      </c>
    </row>
    <row r="12" spans="1:32" ht="26.4" x14ac:dyDescent="0.25">
      <c r="A12" s="53" t="s">
        <v>283</v>
      </c>
      <c r="B12" s="54" t="s">
        <v>116</v>
      </c>
      <c r="C12" s="55">
        <v>12</v>
      </c>
      <c r="D12" s="55">
        <v>2018</v>
      </c>
      <c r="E12" s="55">
        <v>35</v>
      </c>
      <c r="F12" s="55">
        <v>80</v>
      </c>
      <c r="G12" s="56">
        <v>2.32750456732647</v>
      </c>
      <c r="H12" s="57">
        <v>26.8369689136582</v>
      </c>
      <c r="I12" s="57">
        <v>0.220058282293355</v>
      </c>
      <c r="J12" s="57">
        <v>1.55161540883006</v>
      </c>
      <c r="K12" s="56">
        <v>5.0036190968359602E-2</v>
      </c>
      <c r="L12" s="57">
        <v>2.0133398176820498</v>
      </c>
      <c r="M12" s="583">
        <v>1.7869157286703199</v>
      </c>
      <c r="N12" s="57">
        <v>0.76741159592388297</v>
      </c>
      <c r="O12" s="57">
        <v>0.18000166931502001</v>
      </c>
      <c r="P12" s="57">
        <v>1.00536046925614</v>
      </c>
      <c r="Q12" s="57">
        <v>4.1658076537366097E-3</v>
      </c>
      <c r="R12" s="57">
        <v>5.5961345195257002E-3</v>
      </c>
      <c r="S12" s="56">
        <v>3.3714411261341298E-3</v>
      </c>
      <c r="T12" s="57">
        <v>2.94067027811671E-2</v>
      </c>
      <c r="U12" s="57">
        <v>7.9999583995993707E-3</v>
      </c>
      <c r="V12" s="57">
        <v>3.6749815874576097E-2</v>
      </c>
      <c r="W12" s="57">
        <v>3.1223924561132399E-3</v>
      </c>
      <c r="X12" s="57">
        <v>2.72401786248915E-2</v>
      </c>
      <c r="Y12" s="57">
        <v>1.9999896010969099E-3</v>
      </c>
      <c r="Z12" s="57">
        <v>1.57499197860352E-2</v>
      </c>
      <c r="AA12" s="57">
        <v>293.35561440613401</v>
      </c>
      <c r="AB12" s="57">
        <v>416.36078579642702</v>
      </c>
      <c r="AC12" s="56">
        <v>1.77E-2</v>
      </c>
      <c r="AD12" s="56">
        <f t="shared" si="0"/>
        <v>2.0510348669117794E-2</v>
      </c>
      <c r="AE12" s="58">
        <v>3.2599999999999997E-2</v>
      </c>
      <c r="AF12" s="56">
        <f t="shared" si="1"/>
        <v>9.0246200321375571E-3</v>
      </c>
    </row>
    <row r="13" spans="1:32" x14ac:dyDescent="0.25">
      <c r="A13" s="53" t="s">
        <v>280</v>
      </c>
      <c r="B13" s="54" t="s">
        <v>116</v>
      </c>
      <c r="C13" s="55">
        <v>18</v>
      </c>
      <c r="D13" s="55">
        <v>2015</v>
      </c>
      <c r="E13" s="55">
        <v>35</v>
      </c>
      <c r="F13" s="55">
        <v>80</v>
      </c>
      <c r="G13" s="56">
        <v>3.0540067443121601</v>
      </c>
      <c r="H13" s="57">
        <v>32.183029189999999</v>
      </c>
      <c r="I13" s="57">
        <v>0.28811046660249001</v>
      </c>
      <c r="J13" s="57">
        <v>1.9003883589999999</v>
      </c>
      <c r="K13" s="56">
        <v>8.2025139740216704E-2</v>
      </c>
      <c r="L13" s="57">
        <v>2.492536673</v>
      </c>
      <c r="M13" s="57">
        <v>1.757790612</v>
      </c>
      <c r="N13" s="57">
        <v>0.75698741700000005</v>
      </c>
      <c r="O13" s="57">
        <v>0.18077990199999999</v>
      </c>
      <c r="P13" s="57">
        <v>0.98237260400000004</v>
      </c>
      <c r="Q13" s="57">
        <v>4.040465E-3</v>
      </c>
      <c r="R13" s="57">
        <v>5.7274889999999997E-3</v>
      </c>
      <c r="S13" s="56">
        <v>4.0699807541105604E-3</v>
      </c>
      <c r="T13" s="57">
        <v>3.0195842000000001E-2</v>
      </c>
      <c r="U13" s="57">
        <v>7.9999583995993707E-3</v>
      </c>
      <c r="V13" s="57">
        <v>3.6749815874576097E-2</v>
      </c>
      <c r="W13" s="57">
        <v>3.7351703299460101E-3</v>
      </c>
      <c r="X13" s="57">
        <v>2.7764032000000001E-2</v>
      </c>
      <c r="Y13" s="57">
        <v>1.9999896010969099E-3</v>
      </c>
      <c r="Z13" s="57">
        <v>1.57499197860352E-2</v>
      </c>
      <c r="AA13" s="57">
        <v>325.56318320819901</v>
      </c>
      <c r="AB13" s="57">
        <v>463.96295570000001</v>
      </c>
      <c r="AC13" s="56">
        <v>1.77E-2</v>
      </c>
      <c r="AD13" s="56">
        <f t="shared" ref="AD13:AD15" si="6">0.000049261*AB13</f>
        <v>2.28552791607377E-2</v>
      </c>
      <c r="AE13" s="58">
        <v>3.2599999999999997E-2</v>
      </c>
      <c r="AF13" s="56">
        <f t="shared" ref="AF13:AF15" si="7">0.000021675*AB13</f>
        <v>1.0056397064797501E-2</v>
      </c>
    </row>
    <row r="14" spans="1:32" x14ac:dyDescent="0.25">
      <c r="A14" s="53" t="s">
        <v>280</v>
      </c>
      <c r="B14" s="54" t="s">
        <v>116</v>
      </c>
      <c r="C14" s="55">
        <v>18</v>
      </c>
      <c r="D14" s="55">
        <v>2016</v>
      </c>
      <c r="E14" s="55">
        <v>35</v>
      </c>
      <c r="F14" s="55">
        <v>80</v>
      </c>
      <c r="G14" s="56">
        <v>2.78591454892655</v>
      </c>
      <c r="H14" s="57">
        <v>29.598076469999999</v>
      </c>
      <c r="I14" s="57">
        <v>0.26311917587438899</v>
      </c>
      <c r="J14" s="57">
        <v>1.7512240100000001</v>
      </c>
      <c r="K14" s="56">
        <v>7.0032754531890604E-2</v>
      </c>
      <c r="L14" s="57">
        <v>2.2616239509999998</v>
      </c>
      <c r="M14" s="57">
        <v>1.700597653</v>
      </c>
      <c r="N14" s="57">
        <v>0.73963658099999996</v>
      </c>
      <c r="O14" s="57">
        <v>0.172907107</v>
      </c>
      <c r="P14" s="57">
        <v>0.93951094499999999</v>
      </c>
      <c r="Q14" s="57">
        <v>4.0406579999999999E-3</v>
      </c>
      <c r="R14" s="57">
        <v>5.6783500000000004E-3</v>
      </c>
      <c r="S14" s="56">
        <v>3.80252254910592E-3</v>
      </c>
      <c r="T14" s="57">
        <v>2.9018414999999999E-2</v>
      </c>
      <c r="U14" s="57">
        <v>7.9999583995993707E-3</v>
      </c>
      <c r="V14" s="57">
        <v>3.6749815874576097E-2</v>
      </c>
      <c r="W14" s="57">
        <v>3.5004261561726001E-3</v>
      </c>
      <c r="X14" s="57">
        <v>2.6760717E-2</v>
      </c>
      <c r="Y14" s="57">
        <v>1.9999896010969099E-3</v>
      </c>
      <c r="Z14" s="57">
        <v>1.57499197860352E-2</v>
      </c>
      <c r="AA14" s="57">
        <v>315.17639938276602</v>
      </c>
      <c r="AB14" s="57">
        <v>449.98284840000002</v>
      </c>
      <c r="AC14" s="56">
        <v>1.77E-2</v>
      </c>
      <c r="AD14" s="56">
        <f t="shared" si="6"/>
        <v>2.2166605095032401E-2</v>
      </c>
      <c r="AE14" s="58">
        <v>3.2599999999999997E-2</v>
      </c>
      <c r="AF14" s="56">
        <f t="shared" si="7"/>
        <v>9.7533782390700017E-3</v>
      </c>
    </row>
    <row r="15" spans="1:32" x14ac:dyDescent="0.25">
      <c r="A15" s="53" t="s">
        <v>280</v>
      </c>
      <c r="B15" s="54" t="s">
        <v>116</v>
      </c>
      <c r="C15" s="55">
        <v>18</v>
      </c>
      <c r="D15" s="55">
        <v>2018</v>
      </c>
      <c r="E15" s="55">
        <v>35</v>
      </c>
      <c r="F15" s="55">
        <v>80</v>
      </c>
      <c r="G15" s="56">
        <v>2.32750456732647</v>
      </c>
      <c r="H15" s="57">
        <v>26.8369689136582</v>
      </c>
      <c r="I15" s="57">
        <v>0.220058282293355</v>
      </c>
      <c r="J15" s="57">
        <v>1.55161540883006</v>
      </c>
      <c r="K15" s="56">
        <v>5.0036190968359602E-2</v>
      </c>
      <c r="L15" s="57">
        <v>2.0133398176820498</v>
      </c>
      <c r="M15" s="583">
        <v>1.7869157286703199</v>
      </c>
      <c r="N15" s="57">
        <v>0.76741159592388297</v>
      </c>
      <c r="O15" s="57">
        <v>0.18000166931502001</v>
      </c>
      <c r="P15" s="57">
        <v>1.00536046925614</v>
      </c>
      <c r="Q15" s="57">
        <v>4.1658076537366097E-3</v>
      </c>
      <c r="R15" s="57">
        <v>5.5961345195257002E-3</v>
      </c>
      <c r="S15" s="56">
        <v>3.3714411261341298E-3</v>
      </c>
      <c r="T15" s="57">
        <v>2.94067027811671E-2</v>
      </c>
      <c r="U15" s="57">
        <v>7.9999583995993707E-3</v>
      </c>
      <c r="V15" s="57">
        <v>3.6749815874576097E-2</v>
      </c>
      <c r="W15" s="57">
        <v>3.1223924561132399E-3</v>
      </c>
      <c r="X15" s="57">
        <v>2.72401786248915E-2</v>
      </c>
      <c r="Y15" s="57">
        <v>1.9999896010969099E-3</v>
      </c>
      <c r="Z15" s="57">
        <v>1.57499197860352E-2</v>
      </c>
      <c r="AA15" s="57">
        <v>293.35561440613401</v>
      </c>
      <c r="AB15" s="57">
        <v>416.36078579642702</v>
      </c>
      <c r="AC15" s="56">
        <v>1.77E-2</v>
      </c>
      <c r="AD15" s="56">
        <f t="shared" si="6"/>
        <v>2.0510348669117794E-2</v>
      </c>
      <c r="AE15" s="58">
        <v>3.2599999999999997E-2</v>
      </c>
      <c r="AF15" s="56">
        <f t="shared" si="7"/>
        <v>9.0246200321375571E-3</v>
      </c>
    </row>
    <row r="16" spans="1:32" x14ac:dyDescent="0.25">
      <c r="A16" s="53" t="s">
        <v>281</v>
      </c>
      <c r="B16" s="54" t="s">
        <v>116</v>
      </c>
      <c r="C16" s="55">
        <v>18</v>
      </c>
      <c r="D16" s="55">
        <v>2015</v>
      </c>
      <c r="E16" s="55">
        <v>35</v>
      </c>
      <c r="F16" s="55">
        <v>80</v>
      </c>
      <c r="G16" s="56">
        <v>3.0540067443121601</v>
      </c>
      <c r="H16" s="57">
        <v>32.183029189999999</v>
      </c>
      <c r="I16" s="57">
        <v>0.28811046660249001</v>
      </c>
      <c r="J16" s="57">
        <v>1.9003883589999999</v>
      </c>
      <c r="K16" s="56">
        <v>8.2025139740216704E-2</v>
      </c>
      <c r="L16" s="57">
        <v>2.492536673</v>
      </c>
      <c r="M16" s="57">
        <v>1.757790612</v>
      </c>
      <c r="N16" s="57">
        <v>0.75698741700000005</v>
      </c>
      <c r="O16" s="57">
        <v>0.18077990199999999</v>
      </c>
      <c r="P16" s="57">
        <v>0.98237260400000004</v>
      </c>
      <c r="Q16" s="57">
        <v>4.040465E-3</v>
      </c>
      <c r="R16" s="57">
        <v>5.7274889999999997E-3</v>
      </c>
      <c r="S16" s="56">
        <v>4.0699807541105604E-3</v>
      </c>
      <c r="T16" s="57">
        <v>3.0195842000000001E-2</v>
      </c>
      <c r="U16" s="57">
        <v>7.9999583995993707E-3</v>
      </c>
      <c r="V16" s="57">
        <v>3.6749815874576097E-2</v>
      </c>
      <c r="W16" s="57">
        <v>3.7351703299460101E-3</v>
      </c>
      <c r="X16" s="57">
        <v>2.7764032000000001E-2</v>
      </c>
      <c r="Y16" s="57">
        <v>1.9999896010969099E-3</v>
      </c>
      <c r="Z16" s="57">
        <v>1.57499197860352E-2</v>
      </c>
      <c r="AA16" s="57">
        <v>325.56318320819901</v>
      </c>
      <c r="AB16" s="57">
        <v>463.96295570000001</v>
      </c>
      <c r="AC16" s="56">
        <v>1.77E-2</v>
      </c>
      <c r="AD16" s="56">
        <f t="shared" ref="AD16:AD18" si="8">0.000049261*AB16</f>
        <v>2.28552791607377E-2</v>
      </c>
      <c r="AE16" s="58">
        <v>3.2599999999999997E-2</v>
      </c>
      <c r="AF16" s="56">
        <f t="shared" ref="AF16:AF18" si="9">0.000021675*AB16</f>
        <v>1.0056397064797501E-2</v>
      </c>
    </row>
    <row r="17" spans="1:68" x14ac:dyDescent="0.25">
      <c r="A17" s="53" t="s">
        <v>281</v>
      </c>
      <c r="B17" s="54" t="s">
        <v>116</v>
      </c>
      <c r="C17" s="55">
        <v>18</v>
      </c>
      <c r="D17" s="55">
        <v>2016</v>
      </c>
      <c r="E17" s="55">
        <v>35</v>
      </c>
      <c r="F17" s="55">
        <v>80</v>
      </c>
      <c r="G17" s="56">
        <v>2.78591454892655</v>
      </c>
      <c r="H17" s="57">
        <v>29.598076469999999</v>
      </c>
      <c r="I17" s="57">
        <v>0.26311917587438899</v>
      </c>
      <c r="J17" s="57">
        <v>1.7512240100000001</v>
      </c>
      <c r="K17" s="56">
        <v>7.0032754531890604E-2</v>
      </c>
      <c r="L17" s="57">
        <v>2.2616239509999998</v>
      </c>
      <c r="M17" s="57">
        <v>1.700597653</v>
      </c>
      <c r="N17" s="57">
        <v>0.73963658099999996</v>
      </c>
      <c r="O17" s="57">
        <v>0.172907107</v>
      </c>
      <c r="P17" s="57">
        <v>0.93951094499999999</v>
      </c>
      <c r="Q17" s="57">
        <v>4.0406579999999999E-3</v>
      </c>
      <c r="R17" s="57">
        <v>5.6783500000000004E-3</v>
      </c>
      <c r="S17" s="56">
        <v>3.80252254910592E-3</v>
      </c>
      <c r="T17" s="57">
        <v>2.9018414999999999E-2</v>
      </c>
      <c r="U17" s="57">
        <v>7.9999583995993707E-3</v>
      </c>
      <c r="V17" s="57">
        <v>3.6749815874576097E-2</v>
      </c>
      <c r="W17" s="57">
        <v>3.5004261561726001E-3</v>
      </c>
      <c r="X17" s="57">
        <v>2.6760717E-2</v>
      </c>
      <c r="Y17" s="57">
        <v>1.9999896010969099E-3</v>
      </c>
      <c r="Z17" s="57">
        <v>1.57499197860352E-2</v>
      </c>
      <c r="AA17" s="57">
        <v>315.17639938276602</v>
      </c>
      <c r="AB17" s="57">
        <v>449.98284840000002</v>
      </c>
      <c r="AC17" s="56">
        <v>1.77E-2</v>
      </c>
      <c r="AD17" s="56">
        <f t="shared" si="8"/>
        <v>2.2166605095032401E-2</v>
      </c>
      <c r="AE17" s="58">
        <v>3.2599999999999997E-2</v>
      </c>
      <c r="AF17" s="56">
        <f t="shared" si="9"/>
        <v>9.7533782390700017E-3</v>
      </c>
    </row>
    <row r="18" spans="1:68" x14ac:dyDescent="0.25">
      <c r="A18" s="53" t="s">
        <v>281</v>
      </c>
      <c r="B18" s="54" t="s">
        <v>116</v>
      </c>
      <c r="C18" s="55">
        <v>18</v>
      </c>
      <c r="D18" s="55">
        <v>2018</v>
      </c>
      <c r="E18" s="55">
        <v>35</v>
      </c>
      <c r="F18" s="55">
        <v>80</v>
      </c>
      <c r="G18" s="56">
        <v>2.32750456732647</v>
      </c>
      <c r="H18" s="57">
        <v>26.8369689136582</v>
      </c>
      <c r="I18" s="57">
        <v>0.220058282293355</v>
      </c>
      <c r="J18" s="57">
        <v>1.55161540883006</v>
      </c>
      <c r="K18" s="56">
        <v>5.0036190968359602E-2</v>
      </c>
      <c r="L18" s="57">
        <v>2.0133398176820498</v>
      </c>
      <c r="M18" s="583">
        <v>1.7869157286703199</v>
      </c>
      <c r="N18" s="57">
        <v>0.76741159592388297</v>
      </c>
      <c r="O18" s="57">
        <v>0.18000166931502001</v>
      </c>
      <c r="P18" s="57">
        <v>1.00536046925614</v>
      </c>
      <c r="Q18" s="57">
        <v>4.1658076537366097E-3</v>
      </c>
      <c r="R18" s="57">
        <v>5.5961345195257002E-3</v>
      </c>
      <c r="S18" s="56">
        <v>3.3714411261341298E-3</v>
      </c>
      <c r="T18" s="57">
        <v>2.94067027811671E-2</v>
      </c>
      <c r="U18" s="57">
        <v>7.9999583995993707E-3</v>
      </c>
      <c r="V18" s="57">
        <v>3.6749815874576097E-2</v>
      </c>
      <c r="W18" s="57">
        <v>3.1223924561132399E-3</v>
      </c>
      <c r="X18" s="57">
        <v>2.72401786248915E-2</v>
      </c>
      <c r="Y18" s="57">
        <v>1.9999896010969099E-3</v>
      </c>
      <c r="Z18" s="57">
        <v>1.57499197860352E-2</v>
      </c>
      <c r="AA18" s="57">
        <v>293.35561440613401</v>
      </c>
      <c r="AB18" s="57">
        <v>416.36078579642702</v>
      </c>
      <c r="AC18" s="56">
        <v>1.77E-2</v>
      </c>
      <c r="AD18" s="56">
        <f t="shared" si="8"/>
        <v>2.0510348669117794E-2</v>
      </c>
      <c r="AE18" s="58">
        <v>3.2599999999999997E-2</v>
      </c>
      <c r="AF18" s="56">
        <f t="shared" si="9"/>
        <v>9.0246200321375571E-3</v>
      </c>
    </row>
    <row r="19" spans="1:68" x14ac:dyDescent="0.25">
      <c r="A19" s="53" t="s">
        <v>282</v>
      </c>
      <c r="B19" s="54" t="s">
        <v>116</v>
      </c>
      <c r="C19" s="55">
        <v>12</v>
      </c>
      <c r="D19" s="55">
        <v>2017</v>
      </c>
      <c r="E19" s="55">
        <v>35</v>
      </c>
      <c r="F19" s="55">
        <v>80</v>
      </c>
      <c r="G19" s="56">
        <v>2.54395151100405</v>
      </c>
      <c r="H19" s="57">
        <v>29.2035058458045</v>
      </c>
      <c r="I19" s="57">
        <v>0.24044842409453401</v>
      </c>
      <c r="J19" s="57">
        <v>1.6865005225829499</v>
      </c>
      <c r="K19" s="56">
        <v>5.9325564772486503E-2</v>
      </c>
      <c r="L19" s="57">
        <v>2.2208930441863299</v>
      </c>
      <c r="M19" s="57">
        <v>1.8573383555076599</v>
      </c>
      <c r="N19" s="57">
        <v>0.788600376321418</v>
      </c>
      <c r="O19" s="57">
        <v>0.18886159007568001</v>
      </c>
      <c r="P19" s="57">
        <v>1.0510920664177701</v>
      </c>
      <c r="Q19" s="57">
        <v>4.1675187303667101E-3</v>
      </c>
      <c r="R19" s="583">
        <v>5.6402210252201896E-3</v>
      </c>
      <c r="S19" s="56">
        <v>3.5723855574965602E-3</v>
      </c>
      <c r="T19" s="57">
        <v>3.02383449279904E-2</v>
      </c>
      <c r="U19" s="57">
        <v>7.9999583995993707E-3</v>
      </c>
      <c r="V19" s="57">
        <v>3.6749815874576097E-2</v>
      </c>
      <c r="W19" s="57">
        <v>3.2987864500686401E-3</v>
      </c>
      <c r="X19" s="57">
        <v>2.7934761100422499E-2</v>
      </c>
      <c r="Y19" s="57">
        <v>1.9999896010969099E-3</v>
      </c>
      <c r="Z19" s="57">
        <v>1.57499197860352E-2</v>
      </c>
      <c r="AA19" s="57">
        <v>303.91339750798198</v>
      </c>
      <c r="AB19" s="57">
        <v>431.429592263568</v>
      </c>
      <c r="AC19" s="56">
        <v>1.77E-2</v>
      </c>
      <c r="AD19" s="56">
        <f t="shared" ref="AD19:AD20" si="10">0.000049261*AB19</f>
        <v>2.1252653144495624E-2</v>
      </c>
      <c r="AE19" s="58">
        <v>3.2599999999999997E-2</v>
      </c>
      <c r="AF19" s="56">
        <f t="shared" ref="AF19:AF20" si="11">0.000021675*AB19</f>
        <v>9.3512364123128373E-3</v>
      </c>
    </row>
    <row r="20" spans="1:68" x14ac:dyDescent="0.25">
      <c r="A20" s="53" t="s">
        <v>282</v>
      </c>
      <c r="B20" s="54" t="s">
        <v>116</v>
      </c>
      <c r="C20" s="55">
        <v>12</v>
      </c>
      <c r="D20" s="55">
        <v>2018</v>
      </c>
      <c r="E20" s="55">
        <v>35</v>
      </c>
      <c r="F20" s="55">
        <v>80</v>
      </c>
      <c r="G20" s="56">
        <v>2.32750456732647</v>
      </c>
      <c r="H20" s="57">
        <v>26.8369689136582</v>
      </c>
      <c r="I20" s="57">
        <v>0.220058282293355</v>
      </c>
      <c r="J20" s="57">
        <v>1.55161540883006</v>
      </c>
      <c r="K20" s="56">
        <v>5.0036190968359602E-2</v>
      </c>
      <c r="L20" s="57">
        <v>2.0133398176820498</v>
      </c>
      <c r="M20" s="583">
        <v>1.7869157286703199</v>
      </c>
      <c r="N20" s="57">
        <v>0.76741159592388297</v>
      </c>
      <c r="O20" s="57">
        <v>0.18000166931502001</v>
      </c>
      <c r="P20" s="57">
        <v>1.00536046925614</v>
      </c>
      <c r="Q20" s="57">
        <v>4.1658076537366097E-3</v>
      </c>
      <c r="R20" s="57">
        <v>5.5961345195257002E-3</v>
      </c>
      <c r="S20" s="56">
        <v>3.3714411261341298E-3</v>
      </c>
      <c r="T20" s="57">
        <v>2.94067027811671E-2</v>
      </c>
      <c r="U20" s="57">
        <v>7.9999583995993707E-3</v>
      </c>
      <c r="V20" s="57">
        <v>3.6749815874576097E-2</v>
      </c>
      <c r="W20" s="57">
        <v>3.1223924561132399E-3</v>
      </c>
      <c r="X20" s="57">
        <v>2.72401786248915E-2</v>
      </c>
      <c r="Y20" s="57">
        <v>1.9999896010969099E-3</v>
      </c>
      <c r="Z20" s="57">
        <v>1.57499197860352E-2</v>
      </c>
      <c r="AA20" s="57">
        <v>293.35561440613401</v>
      </c>
      <c r="AB20" s="57">
        <v>416.36078579642702</v>
      </c>
      <c r="AC20" s="56">
        <v>1.77E-2</v>
      </c>
      <c r="AD20" s="56">
        <f t="shared" si="10"/>
        <v>2.0510348669117794E-2</v>
      </c>
      <c r="AE20" s="58">
        <v>3.2599999999999997E-2</v>
      </c>
      <c r="AF20" s="56">
        <f t="shared" si="11"/>
        <v>9.0246200321375571E-3</v>
      </c>
    </row>
    <row r="21" spans="1:68" x14ac:dyDescent="0.25">
      <c r="A21" s="154"/>
      <c r="B21" s="50"/>
      <c r="C21" s="50"/>
      <c r="D21" s="50"/>
      <c r="E21" s="50"/>
      <c r="F21" s="50"/>
      <c r="G21" s="154"/>
      <c r="H21" s="176"/>
      <c r="I21" s="50"/>
      <c r="J21" s="176"/>
      <c r="K21" s="50"/>
      <c r="L21" s="176"/>
      <c r="M21" s="176"/>
      <c r="N21" s="176"/>
      <c r="O21" s="176"/>
      <c r="P21" s="176"/>
      <c r="Q21" s="50"/>
      <c r="R21" s="176"/>
      <c r="S21" s="155"/>
      <c r="T21" s="176"/>
      <c r="U21" s="153"/>
      <c r="V21" s="153"/>
      <c r="W21" s="153"/>
      <c r="X21" s="176"/>
      <c r="Y21" s="153"/>
      <c r="Z21" s="153"/>
      <c r="AA21" s="50"/>
      <c r="AB21" s="176"/>
      <c r="AC21" s="155"/>
      <c r="AD21" s="51"/>
      <c r="AE21" s="155"/>
      <c r="AF21" s="51"/>
    </row>
    <row r="22" spans="1:68" x14ac:dyDescent="0.25">
      <c r="A22" s="53" t="s">
        <v>171</v>
      </c>
      <c r="B22" s="54" t="s">
        <v>116</v>
      </c>
      <c r="C22" s="55">
        <v>8</v>
      </c>
      <c r="D22" s="55">
        <v>2016</v>
      </c>
      <c r="E22" s="55">
        <v>35</v>
      </c>
      <c r="F22" s="55">
        <v>80</v>
      </c>
      <c r="G22" s="56">
        <v>2.78591454892655</v>
      </c>
      <c r="H22" s="57">
        <v>29.598076469999999</v>
      </c>
      <c r="I22" s="57">
        <v>0.26311917587438899</v>
      </c>
      <c r="J22" s="57">
        <v>1.7512240100000001</v>
      </c>
      <c r="K22" s="56">
        <v>7.0032754531890604E-2</v>
      </c>
      <c r="L22" s="57">
        <v>2.2616239509999998</v>
      </c>
      <c r="M22" s="57">
        <v>1.700597653</v>
      </c>
      <c r="N22" s="57">
        <v>0.73963658099999996</v>
      </c>
      <c r="O22" s="57">
        <v>0.172907107</v>
      </c>
      <c r="P22" s="57">
        <v>0.93951094499999999</v>
      </c>
      <c r="Q22" s="57">
        <v>4.0406579999999999E-3</v>
      </c>
      <c r="R22" s="57">
        <v>5.6783500000000004E-3</v>
      </c>
      <c r="S22" s="56">
        <v>3.80252254910592E-3</v>
      </c>
      <c r="T22" s="57">
        <v>2.9018414999999999E-2</v>
      </c>
      <c r="U22" s="57">
        <v>7.9999583995993707E-3</v>
      </c>
      <c r="V22" s="57">
        <v>3.6749815874576097E-2</v>
      </c>
      <c r="W22" s="57">
        <v>3.5004261561726001E-3</v>
      </c>
      <c r="X22" s="57">
        <v>2.6760717E-2</v>
      </c>
      <c r="Y22" s="57">
        <v>1.9999896010969099E-3</v>
      </c>
      <c r="Z22" s="57">
        <v>1.57499197860352E-2</v>
      </c>
      <c r="AA22" s="57">
        <v>315.17639938276602</v>
      </c>
      <c r="AB22" s="57">
        <v>449.98284840000002</v>
      </c>
      <c r="AC22" s="56">
        <v>1.77E-2</v>
      </c>
      <c r="AD22" s="56">
        <f t="shared" ref="AD22" si="12">0.000049261*AB22</f>
        <v>2.2166605095032401E-2</v>
      </c>
      <c r="AE22" s="58">
        <v>3.2599999999999997E-2</v>
      </c>
      <c r="AF22" s="56">
        <f t="shared" ref="AF22" si="13">0.000021675*AB22</f>
        <v>9.7533782390700017E-3</v>
      </c>
    </row>
    <row r="23" spans="1:68" ht="26.4" x14ac:dyDescent="0.25">
      <c r="A23" s="116" t="s">
        <v>172</v>
      </c>
      <c r="B23" s="54" t="s">
        <v>116</v>
      </c>
      <c r="C23" s="55">
        <v>8</v>
      </c>
      <c r="D23" s="55">
        <v>2018</v>
      </c>
      <c r="E23" s="55">
        <v>35</v>
      </c>
      <c r="F23" s="55">
        <v>80</v>
      </c>
      <c r="G23" s="56">
        <v>2.8082560143994</v>
      </c>
      <c r="H23" s="57">
        <v>35.060122650583402</v>
      </c>
      <c r="I23" s="57">
        <v>0.27414161195450698</v>
      </c>
      <c r="J23" s="57">
        <v>2.06351210778536</v>
      </c>
      <c r="K23" s="56">
        <v>8.1265864082634295E-2</v>
      </c>
      <c r="L23" s="57">
        <v>2.75129753611178</v>
      </c>
      <c r="M23" s="57">
        <v>1.81682541240836</v>
      </c>
      <c r="N23" s="57">
        <v>0.776334339054355</v>
      </c>
      <c r="O23" s="57">
        <v>0.18951497471603801</v>
      </c>
      <c r="P23" s="57">
        <v>1.0295913073014999</v>
      </c>
      <c r="Q23" s="57">
        <v>4.0476558453484204E-3</v>
      </c>
      <c r="R23" s="57">
        <v>5.7814879785758402E-3</v>
      </c>
      <c r="S23" s="56">
        <v>4.0272852426158096E-3</v>
      </c>
      <c r="T23" s="57">
        <v>3.1824712112575003E-2</v>
      </c>
      <c r="U23" s="57">
        <v>7.9999583995993707E-3</v>
      </c>
      <c r="V23" s="57">
        <v>3.6749815874576097E-2</v>
      </c>
      <c r="W23" s="57">
        <v>3.6950177518926802E-3</v>
      </c>
      <c r="X23" s="57">
        <v>2.91735476277423E-2</v>
      </c>
      <c r="Y23" s="57">
        <v>1.9999896010969099E-3</v>
      </c>
      <c r="Z23" s="57">
        <v>1.57499197860352E-2</v>
      </c>
      <c r="AA23" s="57">
        <v>362.60211892888702</v>
      </c>
      <c r="AB23" s="57">
        <v>477.81709852149498</v>
      </c>
      <c r="AC23" s="56">
        <v>1.77E-2</v>
      </c>
      <c r="AD23" s="56">
        <f t="shared" ref="AD23:AD29" si="14">0.000049261*AB23</f>
        <v>2.3537748090267364E-2</v>
      </c>
      <c r="AE23" s="58">
        <v>3.2599999999999997E-2</v>
      </c>
      <c r="AF23" s="56">
        <f t="shared" ref="AF23:AF29" si="15">0.000021675*AB23</f>
        <v>1.0356685610453404E-2</v>
      </c>
    </row>
    <row r="24" spans="1:68" ht="26.4" x14ac:dyDescent="0.25">
      <c r="A24" s="53" t="s">
        <v>658</v>
      </c>
      <c r="B24" s="54" t="s">
        <v>116</v>
      </c>
      <c r="C24" s="55">
        <v>11</v>
      </c>
      <c r="D24" s="55">
        <v>2015</v>
      </c>
      <c r="E24" s="55">
        <v>35</v>
      </c>
      <c r="F24" s="55">
        <v>80</v>
      </c>
      <c r="G24" s="56">
        <v>3.0540067443121601</v>
      </c>
      <c r="H24" s="57">
        <v>32.183029189999999</v>
      </c>
      <c r="I24" s="57">
        <v>0.28811046660249001</v>
      </c>
      <c r="J24" s="57">
        <v>1.9003883589999999</v>
      </c>
      <c r="K24" s="56">
        <v>8.2025139740216704E-2</v>
      </c>
      <c r="L24" s="57">
        <v>2.492536673</v>
      </c>
      <c r="M24" s="57">
        <v>1.757790612</v>
      </c>
      <c r="N24" s="57">
        <v>0.75698741700000005</v>
      </c>
      <c r="O24" s="57">
        <v>0.18077990199999999</v>
      </c>
      <c r="P24" s="57">
        <v>0.98237260400000004</v>
      </c>
      <c r="Q24" s="57">
        <v>4.040465E-3</v>
      </c>
      <c r="R24" s="57">
        <v>5.7274889999999997E-3</v>
      </c>
      <c r="S24" s="56">
        <v>4.0699807541105604E-3</v>
      </c>
      <c r="T24" s="57">
        <v>3.0195842000000001E-2</v>
      </c>
      <c r="U24" s="57">
        <v>7.9999583995993707E-3</v>
      </c>
      <c r="V24" s="57">
        <v>3.6749815874576097E-2</v>
      </c>
      <c r="W24" s="57">
        <v>3.7351703299460101E-3</v>
      </c>
      <c r="X24" s="57">
        <v>2.7764032000000001E-2</v>
      </c>
      <c r="Y24" s="57">
        <v>1.9999896010969099E-3</v>
      </c>
      <c r="Z24" s="57">
        <v>1.57499197860352E-2</v>
      </c>
      <c r="AA24" s="57">
        <v>325.56318320819901</v>
      </c>
      <c r="AB24" s="57">
        <v>463.96295570000001</v>
      </c>
      <c r="AC24" s="56">
        <v>1.77E-2</v>
      </c>
      <c r="AD24" s="56">
        <f t="shared" si="14"/>
        <v>2.28552791607377E-2</v>
      </c>
      <c r="AE24" s="58">
        <v>3.2599999999999997E-2</v>
      </c>
      <c r="AF24" s="56">
        <f t="shared" si="15"/>
        <v>1.0056397064797501E-2</v>
      </c>
    </row>
    <row r="25" spans="1:68" ht="26.4" x14ac:dyDescent="0.25">
      <c r="A25" s="53" t="s">
        <v>174</v>
      </c>
      <c r="B25" s="54" t="s">
        <v>116</v>
      </c>
      <c r="C25" s="55">
        <v>16</v>
      </c>
      <c r="D25" s="55">
        <v>2015</v>
      </c>
      <c r="E25" s="55">
        <v>35</v>
      </c>
      <c r="F25" s="55">
        <v>80</v>
      </c>
      <c r="G25" s="56">
        <v>3.0540067443121601</v>
      </c>
      <c r="H25" s="57">
        <v>32.183029189999999</v>
      </c>
      <c r="I25" s="57">
        <v>0.28811046660249001</v>
      </c>
      <c r="J25" s="57">
        <v>1.9003883589999999</v>
      </c>
      <c r="K25" s="56">
        <v>8.2025139740216704E-2</v>
      </c>
      <c r="L25" s="57">
        <v>2.492536673</v>
      </c>
      <c r="M25" s="57">
        <v>1.757790612</v>
      </c>
      <c r="N25" s="57">
        <v>0.75698741700000005</v>
      </c>
      <c r="O25" s="57">
        <v>0.18077990199999999</v>
      </c>
      <c r="P25" s="57">
        <v>0.98237260400000004</v>
      </c>
      <c r="Q25" s="57">
        <v>4.040465E-3</v>
      </c>
      <c r="R25" s="57">
        <v>5.7274889999999997E-3</v>
      </c>
      <c r="S25" s="56">
        <v>4.0699807541105604E-3</v>
      </c>
      <c r="T25" s="57">
        <v>3.0195842000000001E-2</v>
      </c>
      <c r="U25" s="57">
        <v>7.9999583995993707E-3</v>
      </c>
      <c r="V25" s="57">
        <v>3.6749815874576097E-2</v>
      </c>
      <c r="W25" s="57">
        <v>3.7351703299460101E-3</v>
      </c>
      <c r="X25" s="57">
        <v>2.7764032000000001E-2</v>
      </c>
      <c r="Y25" s="57">
        <v>1.9999896010969099E-3</v>
      </c>
      <c r="Z25" s="57">
        <v>1.57499197860352E-2</v>
      </c>
      <c r="AA25" s="57">
        <v>325.56318320819901</v>
      </c>
      <c r="AB25" s="57">
        <v>463.96295570000001</v>
      </c>
      <c r="AC25" s="56">
        <v>1.77E-2</v>
      </c>
      <c r="AD25" s="56">
        <f t="shared" si="14"/>
        <v>2.28552791607377E-2</v>
      </c>
      <c r="AE25" s="58">
        <v>3.2599999999999997E-2</v>
      </c>
      <c r="AF25" s="56">
        <f t="shared" si="15"/>
        <v>1.0056397064797501E-2</v>
      </c>
    </row>
    <row r="26" spans="1:68" ht="26.4" x14ac:dyDescent="0.25">
      <c r="A26" s="53" t="s">
        <v>173</v>
      </c>
      <c r="B26" s="54" t="s">
        <v>116</v>
      </c>
      <c r="C26" s="55">
        <v>11</v>
      </c>
      <c r="D26" s="55">
        <v>2016</v>
      </c>
      <c r="E26" s="55">
        <v>35</v>
      </c>
      <c r="F26" s="55">
        <v>80</v>
      </c>
      <c r="G26" s="56">
        <v>2.78591454892655</v>
      </c>
      <c r="H26" s="57">
        <v>29.598076469999999</v>
      </c>
      <c r="I26" s="57">
        <v>0.26311917587438899</v>
      </c>
      <c r="J26" s="57">
        <v>1.7512240100000001</v>
      </c>
      <c r="K26" s="56">
        <v>7.0032754531890604E-2</v>
      </c>
      <c r="L26" s="57">
        <v>2.2616239509999998</v>
      </c>
      <c r="M26" s="57">
        <v>1.700597653</v>
      </c>
      <c r="N26" s="57">
        <v>0.73963658099999996</v>
      </c>
      <c r="O26" s="57">
        <v>0.172907107</v>
      </c>
      <c r="P26" s="57">
        <v>0.93951094499999999</v>
      </c>
      <c r="Q26" s="57">
        <v>4.0406579999999999E-3</v>
      </c>
      <c r="R26" s="57">
        <v>5.6783500000000004E-3</v>
      </c>
      <c r="S26" s="56">
        <v>3.80252254910592E-3</v>
      </c>
      <c r="T26" s="57">
        <v>2.9018414999999999E-2</v>
      </c>
      <c r="U26" s="57">
        <v>7.9999583995993707E-3</v>
      </c>
      <c r="V26" s="57">
        <v>3.6749815874576097E-2</v>
      </c>
      <c r="W26" s="57">
        <v>3.5004261561726001E-3</v>
      </c>
      <c r="X26" s="57">
        <v>2.6760717E-2</v>
      </c>
      <c r="Y26" s="57">
        <v>1.9999896010969099E-3</v>
      </c>
      <c r="Z26" s="57">
        <v>1.57499197860352E-2</v>
      </c>
      <c r="AA26" s="57">
        <v>315.17639938276602</v>
      </c>
      <c r="AB26" s="57">
        <v>449.98284840000002</v>
      </c>
      <c r="AC26" s="56">
        <v>1.77E-2</v>
      </c>
      <c r="AD26" s="56">
        <f t="shared" si="14"/>
        <v>2.2166605095032401E-2</v>
      </c>
      <c r="AE26" s="58">
        <v>3.2599999999999997E-2</v>
      </c>
      <c r="AF26" s="56">
        <f t="shared" si="15"/>
        <v>9.7533782390700017E-3</v>
      </c>
    </row>
    <row r="27" spans="1:68" ht="26.4" x14ac:dyDescent="0.25">
      <c r="A27" s="53" t="s">
        <v>175</v>
      </c>
      <c r="B27" s="54" t="s">
        <v>116</v>
      </c>
      <c r="C27" s="55">
        <v>11</v>
      </c>
      <c r="D27" s="55">
        <v>2017</v>
      </c>
      <c r="E27" s="55">
        <v>35</v>
      </c>
      <c r="F27" s="55">
        <v>80</v>
      </c>
      <c r="G27" s="56">
        <v>2.54395151100405</v>
      </c>
      <c r="H27" s="57">
        <v>29.2035058458045</v>
      </c>
      <c r="I27" s="57">
        <v>0.24044842409453401</v>
      </c>
      <c r="J27" s="57">
        <v>1.6865005225829499</v>
      </c>
      <c r="K27" s="56">
        <v>5.9325564772486503E-2</v>
      </c>
      <c r="L27" s="57">
        <v>2.2208930441863299</v>
      </c>
      <c r="M27" s="57">
        <v>1.8573383555076599</v>
      </c>
      <c r="N27" s="57">
        <v>0.788600376321418</v>
      </c>
      <c r="O27" s="57">
        <v>0.18886159007568001</v>
      </c>
      <c r="P27" s="57">
        <v>1.0510920664177701</v>
      </c>
      <c r="Q27" s="57">
        <v>4.1675187303667101E-3</v>
      </c>
      <c r="R27" s="583">
        <v>5.6402210252201896E-3</v>
      </c>
      <c r="S27" s="56">
        <v>3.5723855574965602E-3</v>
      </c>
      <c r="T27" s="57">
        <v>3.02383449279904E-2</v>
      </c>
      <c r="U27" s="57">
        <v>7.9999583995993707E-3</v>
      </c>
      <c r="V27" s="57">
        <v>3.6749815874576097E-2</v>
      </c>
      <c r="W27" s="57">
        <v>3.2987864500686401E-3</v>
      </c>
      <c r="X27" s="57">
        <v>2.7934761100422499E-2</v>
      </c>
      <c r="Y27" s="57">
        <v>1.9999896010969099E-3</v>
      </c>
      <c r="Z27" s="57">
        <v>1.57499197860352E-2</v>
      </c>
      <c r="AA27" s="57">
        <v>303.91339750798198</v>
      </c>
      <c r="AB27" s="57">
        <v>431.429592263568</v>
      </c>
      <c r="AC27" s="56">
        <v>1.77E-2</v>
      </c>
      <c r="AD27" s="56">
        <f t="shared" si="14"/>
        <v>2.1252653144495624E-2</v>
      </c>
      <c r="AE27" s="58">
        <v>3.2599999999999997E-2</v>
      </c>
      <c r="AF27" s="56">
        <f t="shared" si="15"/>
        <v>9.3512364123128373E-3</v>
      </c>
    </row>
    <row r="28" spans="1:68" ht="26.4" x14ac:dyDescent="0.25">
      <c r="A28" s="53" t="s">
        <v>176</v>
      </c>
      <c r="B28" s="54" t="s">
        <v>116</v>
      </c>
      <c r="C28" s="55">
        <v>11</v>
      </c>
      <c r="D28" s="55">
        <v>2018</v>
      </c>
      <c r="E28" s="55">
        <v>35</v>
      </c>
      <c r="F28" s="55">
        <v>80</v>
      </c>
      <c r="G28" s="56">
        <v>2.32750456732647</v>
      </c>
      <c r="H28" s="57">
        <v>26.8369689136582</v>
      </c>
      <c r="I28" s="57">
        <v>0.220058282293355</v>
      </c>
      <c r="J28" s="57">
        <v>1.55161540883006</v>
      </c>
      <c r="K28" s="56">
        <v>5.0036190968359602E-2</v>
      </c>
      <c r="L28" s="57">
        <v>2.0133398176820498</v>
      </c>
      <c r="M28" s="583">
        <v>1.7869157286703199</v>
      </c>
      <c r="N28" s="57">
        <v>0.76741159592388297</v>
      </c>
      <c r="O28" s="57">
        <v>0.18000166931502001</v>
      </c>
      <c r="P28" s="57">
        <v>1.00536046925614</v>
      </c>
      <c r="Q28" s="57">
        <v>4.1658076537366097E-3</v>
      </c>
      <c r="R28" s="57">
        <v>5.5961345195257002E-3</v>
      </c>
      <c r="S28" s="56">
        <v>3.3714411261341298E-3</v>
      </c>
      <c r="T28" s="57">
        <v>2.94067027811671E-2</v>
      </c>
      <c r="U28" s="57">
        <v>7.9999583995993707E-3</v>
      </c>
      <c r="V28" s="57">
        <v>3.6749815874576097E-2</v>
      </c>
      <c r="W28" s="57">
        <v>3.1223924561132399E-3</v>
      </c>
      <c r="X28" s="57">
        <v>2.72401786248915E-2</v>
      </c>
      <c r="Y28" s="57">
        <v>1.9999896010969099E-3</v>
      </c>
      <c r="Z28" s="57">
        <v>1.57499197860352E-2</v>
      </c>
      <c r="AA28" s="57">
        <v>293.35561440613401</v>
      </c>
      <c r="AB28" s="57">
        <v>416.36078579642702</v>
      </c>
      <c r="AC28" s="56">
        <v>1.77E-2</v>
      </c>
      <c r="AD28" s="56">
        <f t="shared" si="14"/>
        <v>2.0510348669117794E-2</v>
      </c>
      <c r="AE28" s="58">
        <v>3.2599999999999997E-2</v>
      </c>
      <c r="AF28" s="56">
        <f t="shared" si="15"/>
        <v>9.0246200321375571E-3</v>
      </c>
    </row>
    <row r="29" spans="1:68" ht="26.4" x14ac:dyDescent="0.25">
      <c r="A29" s="53" t="s">
        <v>626</v>
      </c>
      <c r="B29" s="54" t="s">
        <v>116</v>
      </c>
      <c r="C29" s="55">
        <v>6</v>
      </c>
      <c r="D29" s="55">
        <v>2019</v>
      </c>
      <c r="E29" s="55">
        <v>35</v>
      </c>
      <c r="F29" s="55">
        <v>80</v>
      </c>
      <c r="G29" s="56">
        <v>2.1616121286957402</v>
      </c>
      <c r="H29" s="57">
        <v>24.7435700684061</v>
      </c>
      <c r="I29" s="57">
        <v>0.20377816992785899</v>
      </c>
      <c r="J29" s="57">
        <v>1.43117561899833</v>
      </c>
      <c r="K29" s="56">
        <v>4.48617777899743E-2</v>
      </c>
      <c r="L29" s="57">
        <v>1.8424816376977899</v>
      </c>
      <c r="M29" s="57">
        <v>1.73081120914338</v>
      </c>
      <c r="N29" s="57">
        <v>0.74864470383832205</v>
      </c>
      <c r="O29" s="57">
        <v>0.17276808832068599</v>
      </c>
      <c r="P29" s="57">
        <v>0.96643368402473595</v>
      </c>
      <c r="Q29" s="57">
        <v>4.1573748968915603E-3</v>
      </c>
      <c r="R29" s="57">
        <v>5.5605893792178597E-3</v>
      </c>
      <c r="S29" s="56">
        <v>3.2177137016076501E-3</v>
      </c>
      <c r="T29" s="57">
        <v>2.8955177636250901E-2</v>
      </c>
      <c r="U29" s="57">
        <v>7.9999583995993707E-3</v>
      </c>
      <c r="V29" s="57">
        <v>3.6749815874576097E-2</v>
      </c>
      <c r="W29" s="57">
        <v>2.9829222004164198E-3</v>
      </c>
      <c r="X29" s="57">
        <v>2.6845624045211201E-2</v>
      </c>
      <c r="Y29" s="57">
        <v>1.9999896010969099E-3</v>
      </c>
      <c r="Z29" s="57">
        <v>1.57499197860352E-2</v>
      </c>
      <c r="AA29" s="57">
        <v>283.485711676574</v>
      </c>
      <c r="AB29" s="57">
        <v>402.23348675368499</v>
      </c>
      <c r="AC29" s="56">
        <v>1.77E-2</v>
      </c>
      <c r="AD29" s="56">
        <f t="shared" si="14"/>
        <v>1.9814423790973278E-2</v>
      </c>
      <c r="AE29" s="58">
        <v>3.2599999999999997E-2</v>
      </c>
      <c r="AF29" s="56">
        <f t="shared" si="15"/>
        <v>8.7184108253861234E-3</v>
      </c>
    </row>
    <row r="30" spans="1:68" x14ac:dyDescent="0.25">
      <c r="A30" s="65"/>
      <c r="B30" s="65"/>
      <c r="C30" s="66"/>
      <c r="D30" s="66"/>
      <c r="E30" s="67"/>
      <c r="F30" s="67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</row>
    <row r="31" spans="1:68" ht="26.4" x14ac:dyDescent="0.25">
      <c r="A31" s="68" t="s">
        <v>625</v>
      </c>
      <c r="B31" s="42"/>
      <c r="C31" s="42"/>
      <c r="D31" s="42"/>
    </row>
    <row r="32" spans="1:68" x14ac:dyDescent="0.25">
      <c r="A32" s="68" t="s">
        <v>89</v>
      </c>
      <c r="B32" s="42"/>
      <c r="C32" s="42"/>
      <c r="D32" s="42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10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</row>
    <row r="33" spans="1:54" x14ac:dyDescent="0.25">
      <c r="A33" s="68" t="s">
        <v>90</v>
      </c>
      <c r="B33" s="42"/>
      <c r="C33" s="42"/>
      <c r="D33" s="42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2"/>
      <c r="AT33" s="72"/>
      <c r="AU33" s="72"/>
      <c r="AV33" s="72"/>
      <c r="AW33" s="72"/>
      <c r="AX33" s="72"/>
      <c r="AY33" s="72"/>
      <c r="AZ33" s="72"/>
      <c r="BA33" s="73"/>
      <c r="BB33" s="72"/>
    </row>
    <row r="34" spans="1:54" ht="39.6" hidden="1" x14ac:dyDescent="0.25">
      <c r="A34" s="68" t="s">
        <v>91</v>
      </c>
      <c r="B34" s="42"/>
      <c r="C34" s="42"/>
      <c r="D34" s="42"/>
      <c r="AB34" s="70"/>
      <c r="AC34" s="71" t="s">
        <v>92</v>
      </c>
      <c r="AD34" s="70"/>
      <c r="AE34" s="70"/>
      <c r="AF34" s="70"/>
      <c r="AG34" s="70" t="e">
        <f>#REF!/60</f>
        <v>#REF!</v>
      </c>
      <c r="AH34" s="70" t="e">
        <f>#REF!/60</f>
        <v>#REF!</v>
      </c>
      <c r="AI34" s="70" t="e">
        <f>#REF!/60</f>
        <v>#REF!</v>
      </c>
      <c r="AJ34" s="70" t="e">
        <f>#REF!/60</f>
        <v>#REF!</v>
      </c>
      <c r="AK34" s="70" t="e">
        <f>#REF!/60</f>
        <v>#REF!</v>
      </c>
      <c r="AL34" s="70" t="e">
        <f>#REF!/60</f>
        <v>#REF!</v>
      </c>
      <c r="AM34" s="70" t="e">
        <f>#REF!/60</f>
        <v>#REF!</v>
      </c>
      <c r="AN34" s="70" t="e">
        <f>#REF!/60</f>
        <v>#REF!</v>
      </c>
      <c r="AO34" s="70" t="e">
        <f>#REF!/60</f>
        <v>#REF!</v>
      </c>
      <c r="AP34" s="70" t="e">
        <f>#REF!/60</f>
        <v>#REF!</v>
      </c>
      <c r="AQ34" s="70"/>
      <c r="AR34" s="70"/>
      <c r="AS34" s="70" t="e">
        <f>#REF!/60</f>
        <v>#REF!</v>
      </c>
      <c r="AT34" s="70" t="e">
        <f>#REF!/60</f>
        <v>#REF!</v>
      </c>
      <c r="AU34" s="70" t="e">
        <f>#REF!/60</f>
        <v>#REF!</v>
      </c>
      <c r="AV34" s="70" t="e">
        <f>#REF!/60</f>
        <v>#REF!</v>
      </c>
      <c r="AW34" s="70" t="e">
        <f>#REF!/60</f>
        <v>#REF!</v>
      </c>
      <c r="AX34" s="70" t="e">
        <f>#REF!/60</f>
        <v>#REF!</v>
      </c>
      <c r="AY34" s="70" t="e">
        <f>#REF!/60</f>
        <v>#REF!</v>
      </c>
      <c r="AZ34" s="70" t="e">
        <f>#REF!/60</f>
        <v>#REF!</v>
      </c>
      <c r="BA34" s="70" t="e">
        <f>#REF!/60</f>
        <v>#REF!</v>
      </c>
      <c r="BB34" s="70" t="e">
        <f>#REF!/60</f>
        <v>#REF!</v>
      </c>
    </row>
    <row r="35" spans="1:54" hidden="1" x14ac:dyDescent="0.25">
      <c r="A35" s="68"/>
      <c r="B35" s="42"/>
      <c r="C35" s="42"/>
      <c r="D35" s="42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2"/>
      <c r="AT35" s="72"/>
      <c r="AU35" s="72"/>
      <c r="AV35" s="72"/>
      <c r="AW35" s="72"/>
      <c r="AX35" s="72"/>
      <c r="AY35" s="72"/>
      <c r="AZ35" s="72"/>
      <c r="BA35" s="73"/>
      <c r="BB35" s="72"/>
    </row>
    <row r="36" spans="1:54" hidden="1" x14ac:dyDescent="0.25">
      <c r="A36" s="42"/>
      <c r="B36" s="42"/>
      <c r="C36" s="42"/>
      <c r="D36" s="42"/>
      <c r="AG36" s="718" t="s">
        <v>75</v>
      </c>
      <c r="AH36" s="718"/>
      <c r="AI36" s="718"/>
      <c r="AJ36" s="718"/>
      <c r="AK36" s="718"/>
      <c r="AL36" s="719"/>
      <c r="AM36" s="719"/>
      <c r="AN36" s="719"/>
      <c r="AO36" s="719"/>
      <c r="AP36" s="719"/>
      <c r="AQ36" s="47"/>
      <c r="AR36" s="69"/>
      <c r="AS36" s="718" t="s">
        <v>76</v>
      </c>
      <c r="AT36" s="718"/>
      <c r="AU36" s="718"/>
      <c r="AV36" s="718"/>
      <c r="AW36" s="718"/>
      <c r="AX36" s="719"/>
      <c r="AY36" s="719"/>
      <c r="AZ36" s="719"/>
      <c r="BA36" s="719"/>
      <c r="BB36" s="719"/>
    </row>
    <row r="37" spans="1:54" ht="66" hidden="1" x14ac:dyDescent="0.25">
      <c r="A37" s="42"/>
      <c r="B37" s="42"/>
      <c r="C37" s="42"/>
      <c r="D37" s="42"/>
      <c r="AG37" s="74" t="s">
        <v>66</v>
      </c>
      <c r="AH37" s="74" t="s">
        <v>84</v>
      </c>
      <c r="AI37" s="74" t="s">
        <v>85</v>
      </c>
      <c r="AJ37" s="74" t="s">
        <v>69</v>
      </c>
      <c r="AK37" s="74" t="s">
        <v>70</v>
      </c>
      <c r="AL37" s="74" t="s">
        <v>71</v>
      </c>
      <c r="AM37" s="75" t="s">
        <v>86</v>
      </c>
      <c r="AN37" s="75" t="s">
        <v>87</v>
      </c>
      <c r="AO37" s="75" t="s">
        <v>72</v>
      </c>
      <c r="AP37" s="75" t="s">
        <v>73</v>
      </c>
      <c r="AQ37" s="75"/>
      <c r="AR37" s="52"/>
      <c r="AS37" s="74" t="s">
        <v>66</v>
      </c>
      <c r="AT37" s="74" t="s">
        <v>84</v>
      </c>
      <c r="AU37" s="74" t="s">
        <v>85</v>
      </c>
      <c r="AV37" s="74" t="s">
        <v>69</v>
      </c>
      <c r="AW37" s="74" t="s">
        <v>70</v>
      </c>
      <c r="AX37" s="74" t="s">
        <v>71</v>
      </c>
      <c r="AY37" s="75" t="s">
        <v>86</v>
      </c>
      <c r="AZ37" s="75" t="s">
        <v>87</v>
      </c>
      <c r="BA37" s="76" t="s">
        <v>72</v>
      </c>
      <c r="BB37" s="74" t="s">
        <v>73</v>
      </c>
    </row>
    <row r="38" spans="1:54" hidden="1" x14ac:dyDescent="0.25">
      <c r="A38" s="42" t="s">
        <v>93</v>
      </c>
      <c r="B38" s="42"/>
      <c r="C38" s="42"/>
      <c r="D38" s="42"/>
      <c r="AB38" s="77" t="s">
        <v>39</v>
      </c>
      <c r="AC38" s="78" t="s">
        <v>40</v>
      </c>
      <c r="AD38" s="78" t="s">
        <v>41</v>
      </c>
      <c r="AE38" s="78"/>
      <c r="AF38" s="78"/>
      <c r="AR38" s="43"/>
    </row>
    <row r="39" spans="1:54" hidden="1" x14ac:dyDescent="0.25">
      <c r="A39" s="42" t="s">
        <v>94</v>
      </c>
      <c r="B39" s="42"/>
      <c r="C39" s="42"/>
      <c r="D39" s="42"/>
      <c r="AB39" s="77"/>
      <c r="AC39" s="78" t="s">
        <v>42</v>
      </c>
      <c r="AD39" s="78">
        <v>13.25</v>
      </c>
      <c r="AE39" s="78"/>
      <c r="AF39" s="78"/>
      <c r="AG39" s="41" t="e">
        <f>AG$34*$AD39</f>
        <v>#REF!</v>
      </c>
      <c r="AH39" s="41" t="e">
        <f t="shared" ref="AH39:AP47" si="16">AH$34*$AD39</f>
        <v>#REF!</v>
      </c>
      <c r="AI39" s="41" t="e">
        <f t="shared" si="16"/>
        <v>#REF!</v>
      </c>
      <c r="AJ39" s="41" t="e">
        <f t="shared" si="16"/>
        <v>#REF!</v>
      </c>
      <c r="AK39" s="41" t="e">
        <f t="shared" si="16"/>
        <v>#REF!</v>
      </c>
      <c r="AL39" s="41" t="e">
        <f t="shared" si="16"/>
        <v>#REF!</v>
      </c>
      <c r="AM39" s="41" t="e">
        <f t="shared" si="16"/>
        <v>#REF!</v>
      </c>
      <c r="AN39" s="41" t="e">
        <f t="shared" si="16"/>
        <v>#REF!</v>
      </c>
      <c r="AO39" s="41" t="e">
        <f t="shared" si="16"/>
        <v>#REF!</v>
      </c>
      <c r="AP39" s="41" t="e">
        <f t="shared" si="16"/>
        <v>#REF!</v>
      </c>
      <c r="AR39" s="43"/>
      <c r="AS39" s="41" t="e">
        <f>AS$34*$AD39</f>
        <v>#REF!</v>
      </c>
      <c r="AT39" s="41" t="e">
        <f t="shared" ref="AT39:BB47" si="17">AT$34*$AD39</f>
        <v>#REF!</v>
      </c>
      <c r="AU39" s="41" t="e">
        <f t="shared" si="17"/>
        <v>#REF!</v>
      </c>
      <c r="AV39" s="41" t="e">
        <f t="shared" si="17"/>
        <v>#REF!</v>
      </c>
      <c r="AW39" s="41" t="e">
        <f t="shared" si="17"/>
        <v>#REF!</v>
      </c>
      <c r="AX39" s="41" t="e">
        <f t="shared" si="17"/>
        <v>#REF!</v>
      </c>
      <c r="AY39" s="41" t="e">
        <f t="shared" si="17"/>
        <v>#REF!</v>
      </c>
      <c r="AZ39" s="41" t="e">
        <f t="shared" si="17"/>
        <v>#REF!</v>
      </c>
      <c r="BA39" s="41" t="e">
        <f t="shared" si="17"/>
        <v>#REF!</v>
      </c>
      <c r="BB39" s="41" t="e">
        <f t="shared" si="17"/>
        <v>#REF!</v>
      </c>
    </row>
    <row r="40" spans="1:54" hidden="1" x14ac:dyDescent="0.25">
      <c r="A40" s="42" t="s">
        <v>95</v>
      </c>
      <c r="B40" s="42"/>
      <c r="C40" s="42"/>
      <c r="D40" s="42"/>
      <c r="AB40" s="77"/>
      <c r="AC40" s="78" t="s">
        <v>43</v>
      </c>
      <c r="AD40" s="78">
        <v>20.298999999999999</v>
      </c>
      <c r="AE40" s="78"/>
      <c r="AF40" s="78"/>
      <c r="AG40" s="41" t="e">
        <f t="shared" ref="AG40:AG47" si="18">AG$34*$AD40</f>
        <v>#REF!</v>
      </c>
      <c r="AH40" s="41" t="e">
        <f t="shared" si="16"/>
        <v>#REF!</v>
      </c>
      <c r="AI40" s="41" t="e">
        <f t="shared" si="16"/>
        <v>#REF!</v>
      </c>
      <c r="AJ40" s="41" t="e">
        <f t="shared" si="16"/>
        <v>#REF!</v>
      </c>
      <c r="AK40" s="41" t="e">
        <f t="shared" si="16"/>
        <v>#REF!</v>
      </c>
      <c r="AL40" s="41" t="e">
        <f t="shared" si="16"/>
        <v>#REF!</v>
      </c>
      <c r="AM40" s="41" t="e">
        <f t="shared" si="16"/>
        <v>#REF!</v>
      </c>
      <c r="AN40" s="41" t="e">
        <f t="shared" si="16"/>
        <v>#REF!</v>
      </c>
      <c r="AO40" s="41" t="e">
        <f t="shared" si="16"/>
        <v>#REF!</v>
      </c>
      <c r="AP40" s="41" t="e">
        <f t="shared" si="16"/>
        <v>#REF!</v>
      </c>
      <c r="AR40" s="43"/>
      <c r="AS40" s="41" t="e">
        <f t="shared" ref="AS40:AS47" si="19">AS$34*$AD40</f>
        <v>#REF!</v>
      </c>
      <c r="AT40" s="41" t="e">
        <f t="shared" si="17"/>
        <v>#REF!</v>
      </c>
      <c r="AU40" s="41" t="e">
        <f t="shared" si="17"/>
        <v>#REF!</v>
      </c>
      <c r="AV40" s="41" t="e">
        <f t="shared" si="17"/>
        <v>#REF!</v>
      </c>
      <c r="AW40" s="41" t="e">
        <f t="shared" si="17"/>
        <v>#REF!</v>
      </c>
      <c r="AX40" s="41" t="e">
        <f t="shared" si="17"/>
        <v>#REF!</v>
      </c>
      <c r="AY40" s="41" t="e">
        <f t="shared" si="17"/>
        <v>#REF!</v>
      </c>
      <c r="AZ40" s="41" t="e">
        <f t="shared" si="17"/>
        <v>#REF!</v>
      </c>
      <c r="BA40" s="41" t="e">
        <f t="shared" si="17"/>
        <v>#REF!</v>
      </c>
      <c r="BB40" s="41" t="e">
        <f t="shared" si="17"/>
        <v>#REF!</v>
      </c>
    </row>
    <row r="41" spans="1:54" hidden="1" x14ac:dyDescent="0.25">
      <c r="A41" s="42" t="s">
        <v>96</v>
      </c>
      <c r="B41" s="42"/>
      <c r="C41" s="42"/>
      <c r="D41" s="42"/>
      <c r="AB41" s="77"/>
      <c r="AC41" s="78" t="s">
        <v>44</v>
      </c>
      <c r="AD41" s="78">
        <v>21.68</v>
      </c>
      <c r="AE41" s="78"/>
      <c r="AF41" s="78"/>
      <c r="AG41" s="41" t="e">
        <f t="shared" si="18"/>
        <v>#REF!</v>
      </c>
      <c r="AH41" s="41" t="e">
        <f t="shared" si="16"/>
        <v>#REF!</v>
      </c>
      <c r="AI41" s="41" t="e">
        <f t="shared" si="16"/>
        <v>#REF!</v>
      </c>
      <c r="AJ41" s="41" t="e">
        <f t="shared" si="16"/>
        <v>#REF!</v>
      </c>
      <c r="AK41" s="41" t="e">
        <f t="shared" si="16"/>
        <v>#REF!</v>
      </c>
      <c r="AL41" s="41" t="e">
        <f t="shared" si="16"/>
        <v>#REF!</v>
      </c>
      <c r="AM41" s="41" t="e">
        <f t="shared" si="16"/>
        <v>#REF!</v>
      </c>
      <c r="AN41" s="41" t="e">
        <f t="shared" si="16"/>
        <v>#REF!</v>
      </c>
      <c r="AO41" s="41" t="e">
        <f t="shared" si="16"/>
        <v>#REF!</v>
      </c>
      <c r="AP41" s="41" t="e">
        <f t="shared" si="16"/>
        <v>#REF!</v>
      </c>
      <c r="AR41" s="43"/>
      <c r="AS41" s="41" t="e">
        <f t="shared" si="19"/>
        <v>#REF!</v>
      </c>
      <c r="AT41" s="41" t="e">
        <f t="shared" si="17"/>
        <v>#REF!</v>
      </c>
      <c r="AU41" s="41" t="e">
        <f t="shared" si="17"/>
        <v>#REF!</v>
      </c>
      <c r="AV41" s="41" t="e">
        <f t="shared" si="17"/>
        <v>#REF!</v>
      </c>
      <c r="AW41" s="41" t="e">
        <f t="shared" si="17"/>
        <v>#REF!</v>
      </c>
      <c r="AX41" s="41" t="e">
        <f t="shared" si="17"/>
        <v>#REF!</v>
      </c>
      <c r="AY41" s="41" t="e">
        <f t="shared" si="17"/>
        <v>#REF!</v>
      </c>
      <c r="AZ41" s="41" t="e">
        <f t="shared" si="17"/>
        <v>#REF!</v>
      </c>
      <c r="BA41" s="41" t="e">
        <f t="shared" si="17"/>
        <v>#REF!</v>
      </c>
      <c r="BB41" s="41" t="e">
        <f t="shared" si="17"/>
        <v>#REF!</v>
      </c>
    </row>
    <row r="42" spans="1:54" hidden="1" x14ac:dyDescent="0.25">
      <c r="A42" s="42" t="s">
        <v>97</v>
      </c>
      <c r="B42" s="42"/>
      <c r="C42" s="42"/>
      <c r="D42" s="42"/>
      <c r="AB42" s="77"/>
      <c r="AC42" s="78" t="s">
        <v>45</v>
      </c>
      <c r="AD42" s="78">
        <v>9.3046500000000005</v>
      </c>
      <c r="AE42" s="78"/>
      <c r="AF42" s="78"/>
      <c r="AG42" s="41" t="e">
        <f t="shared" si="18"/>
        <v>#REF!</v>
      </c>
      <c r="AH42" s="41" t="e">
        <f t="shared" si="16"/>
        <v>#REF!</v>
      </c>
      <c r="AI42" s="41" t="e">
        <f t="shared" si="16"/>
        <v>#REF!</v>
      </c>
      <c r="AJ42" s="41" t="e">
        <f t="shared" si="16"/>
        <v>#REF!</v>
      </c>
      <c r="AK42" s="41" t="e">
        <f t="shared" si="16"/>
        <v>#REF!</v>
      </c>
      <c r="AL42" s="41" t="e">
        <f t="shared" si="16"/>
        <v>#REF!</v>
      </c>
      <c r="AM42" s="41" t="e">
        <f t="shared" si="16"/>
        <v>#REF!</v>
      </c>
      <c r="AN42" s="41" t="e">
        <f t="shared" si="16"/>
        <v>#REF!</v>
      </c>
      <c r="AO42" s="41" t="e">
        <f t="shared" si="16"/>
        <v>#REF!</v>
      </c>
      <c r="AP42" s="41" t="e">
        <f t="shared" si="16"/>
        <v>#REF!</v>
      </c>
      <c r="AR42" s="43"/>
      <c r="AS42" s="41" t="e">
        <f t="shared" si="19"/>
        <v>#REF!</v>
      </c>
      <c r="AT42" s="41" t="e">
        <f t="shared" si="17"/>
        <v>#REF!</v>
      </c>
      <c r="AU42" s="41" t="e">
        <f t="shared" si="17"/>
        <v>#REF!</v>
      </c>
      <c r="AV42" s="41" t="e">
        <f t="shared" si="17"/>
        <v>#REF!</v>
      </c>
      <c r="AW42" s="41" t="e">
        <f t="shared" si="17"/>
        <v>#REF!</v>
      </c>
      <c r="AX42" s="41" t="e">
        <f t="shared" si="17"/>
        <v>#REF!</v>
      </c>
      <c r="AY42" s="41" t="e">
        <f t="shared" si="17"/>
        <v>#REF!</v>
      </c>
      <c r="AZ42" s="41" t="e">
        <f t="shared" si="17"/>
        <v>#REF!</v>
      </c>
      <c r="BA42" s="41" t="e">
        <f t="shared" si="17"/>
        <v>#REF!</v>
      </c>
      <c r="BB42" s="41" t="e">
        <f t="shared" si="17"/>
        <v>#REF!</v>
      </c>
    </row>
    <row r="43" spans="1:54" hidden="1" x14ac:dyDescent="0.25">
      <c r="A43" s="42" t="s">
        <v>98</v>
      </c>
      <c r="B43" s="42"/>
      <c r="C43" s="42"/>
      <c r="D43" s="42"/>
      <c r="AB43" s="77"/>
      <c r="AC43" s="78" t="s">
        <v>46</v>
      </c>
      <c r="AD43" s="78">
        <v>5.0347999999999997</v>
      </c>
      <c r="AE43" s="78"/>
      <c r="AF43" s="78"/>
      <c r="AG43" s="41" t="e">
        <f t="shared" si="18"/>
        <v>#REF!</v>
      </c>
      <c r="AH43" s="41" t="e">
        <f t="shared" si="16"/>
        <v>#REF!</v>
      </c>
      <c r="AI43" s="41" t="e">
        <f t="shared" si="16"/>
        <v>#REF!</v>
      </c>
      <c r="AJ43" s="41" t="e">
        <f t="shared" si="16"/>
        <v>#REF!</v>
      </c>
      <c r="AK43" s="41" t="e">
        <f t="shared" si="16"/>
        <v>#REF!</v>
      </c>
      <c r="AL43" s="41" t="e">
        <f t="shared" si="16"/>
        <v>#REF!</v>
      </c>
      <c r="AM43" s="41" t="e">
        <f t="shared" si="16"/>
        <v>#REF!</v>
      </c>
      <c r="AN43" s="41" t="e">
        <f t="shared" si="16"/>
        <v>#REF!</v>
      </c>
      <c r="AO43" s="41" t="e">
        <f t="shared" si="16"/>
        <v>#REF!</v>
      </c>
      <c r="AP43" s="41" t="e">
        <f t="shared" si="16"/>
        <v>#REF!</v>
      </c>
      <c r="AR43" s="43"/>
      <c r="AS43" s="41" t="e">
        <f t="shared" si="19"/>
        <v>#REF!</v>
      </c>
      <c r="AT43" s="41" t="e">
        <f t="shared" si="17"/>
        <v>#REF!</v>
      </c>
      <c r="AU43" s="41" t="e">
        <f t="shared" si="17"/>
        <v>#REF!</v>
      </c>
      <c r="AV43" s="41" t="e">
        <f t="shared" si="17"/>
        <v>#REF!</v>
      </c>
      <c r="AW43" s="41" t="e">
        <f t="shared" si="17"/>
        <v>#REF!</v>
      </c>
      <c r="AX43" s="41" t="e">
        <f t="shared" si="17"/>
        <v>#REF!</v>
      </c>
      <c r="AY43" s="41" t="e">
        <f t="shared" si="17"/>
        <v>#REF!</v>
      </c>
      <c r="AZ43" s="41" t="e">
        <f t="shared" si="17"/>
        <v>#REF!</v>
      </c>
      <c r="BA43" s="41" t="e">
        <f t="shared" si="17"/>
        <v>#REF!</v>
      </c>
      <c r="BB43" s="41" t="e">
        <f t="shared" si="17"/>
        <v>#REF!</v>
      </c>
    </row>
    <row r="44" spans="1:54" hidden="1" x14ac:dyDescent="0.25">
      <c r="A44" s="42" t="s">
        <v>99</v>
      </c>
      <c r="B44" s="42"/>
      <c r="C44" s="42"/>
      <c r="D44" s="42"/>
      <c r="AB44" s="77"/>
      <c r="AC44" s="78" t="s">
        <v>47</v>
      </c>
      <c r="AD44" s="78">
        <v>0</v>
      </c>
      <c r="AE44" s="78"/>
      <c r="AF44" s="78"/>
      <c r="AG44" s="41" t="e">
        <f t="shared" si="18"/>
        <v>#REF!</v>
      </c>
      <c r="AH44" s="41" t="e">
        <f t="shared" si="16"/>
        <v>#REF!</v>
      </c>
      <c r="AI44" s="41" t="e">
        <f t="shared" si="16"/>
        <v>#REF!</v>
      </c>
      <c r="AJ44" s="41" t="e">
        <f t="shared" si="16"/>
        <v>#REF!</v>
      </c>
      <c r="AK44" s="41" t="e">
        <f t="shared" si="16"/>
        <v>#REF!</v>
      </c>
      <c r="AL44" s="41" t="e">
        <f t="shared" si="16"/>
        <v>#REF!</v>
      </c>
      <c r="AM44" s="41" t="e">
        <f t="shared" si="16"/>
        <v>#REF!</v>
      </c>
      <c r="AN44" s="41" t="e">
        <f t="shared" si="16"/>
        <v>#REF!</v>
      </c>
      <c r="AO44" s="41" t="e">
        <f t="shared" si="16"/>
        <v>#REF!</v>
      </c>
      <c r="AP44" s="41" t="e">
        <f t="shared" si="16"/>
        <v>#REF!</v>
      </c>
      <c r="AR44" s="43"/>
      <c r="AS44" s="41" t="e">
        <f t="shared" si="19"/>
        <v>#REF!</v>
      </c>
      <c r="AT44" s="41" t="e">
        <f t="shared" si="17"/>
        <v>#REF!</v>
      </c>
      <c r="AU44" s="41" t="e">
        <f t="shared" si="17"/>
        <v>#REF!</v>
      </c>
      <c r="AV44" s="41" t="e">
        <f t="shared" si="17"/>
        <v>#REF!</v>
      </c>
      <c r="AW44" s="41" t="e">
        <f t="shared" si="17"/>
        <v>#REF!</v>
      </c>
      <c r="AX44" s="41" t="e">
        <f t="shared" si="17"/>
        <v>#REF!</v>
      </c>
      <c r="AY44" s="41" t="e">
        <f t="shared" si="17"/>
        <v>#REF!</v>
      </c>
      <c r="AZ44" s="41" t="e">
        <f t="shared" si="17"/>
        <v>#REF!</v>
      </c>
      <c r="BA44" s="41" t="e">
        <f t="shared" si="17"/>
        <v>#REF!</v>
      </c>
      <c r="BB44" s="41" t="e">
        <f t="shared" si="17"/>
        <v>#REF!</v>
      </c>
    </row>
    <row r="45" spans="1:54" hidden="1" x14ac:dyDescent="0.25">
      <c r="A45" s="42" t="s">
        <v>0</v>
      </c>
      <c r="B45" s="42"/>
      <c r="C45" s="42"/>
      <c r="D45" s="42"/>
      <c r="AB45" s="77"/>
      <c r="AC45" s="78" t="s">
        <v>48</v>
      </c>
      <c r="AD45" s="78">
        <v>0</v>
      </c>
      <c r="AE45" s="78"/>
      <c r="AF45" s="78"/>
      <c r="AG45" s="41" t="e">
        <f t="shared" si="18"/>
        <v>#REF!</v>
      </c>
      <c r="AH45" s="41" t="e">
        <f t="shared" si="16"/>
        <v>#REF!</v>
      </c>
      <c r="AI45" s="41" t="e">
        <f t="shared" si="16"/>
        <v>#REF!</v>
      </c>
      <c r="AJ45" s="41" t="e">
        <f t="shared" si="16"/>
        <v>#REF!</v>
      </c>
      <c r="AK45" s="41" t="e">
        <f t="shared" si="16"/>
        <v>#REF!</v>
      </c>
      <c r="AL45" s="41" t="e">
        <f t="shared" si="16"/>
        <v>#REF!</v>
      </c>
      <c r="AM45" s="41" t="e">
        <f t="shared" si="16"/>
        <v>#REF!</v>
      </c>
      <c r="AN45" s="41" t="e">
        <f t="shared" si="16"/>
        <v>#REF!</v>
      </c>
      <c r="AO45" s="41" t="e">
        <f t="shared" si="16"/>
        <v>#REF!</v>
      </c>
      <c r="AP45" s="41" t="e">
        <f t="shared" si="16"/>
        <v>#REF!</v>
      </c>
      <c r="AR45" s="43"/>
      <c r="AS45" s="41" t="e">
        <f t="shared" si="19"/>
        <v>#REF!</v>
      </c>
      <c r="AT45" s="41" t="e">
        <f t="shared" si="17"/>
        <v>#REF!</v>
      </c>
      <c r="AU45" s="41" t="e">
        <f t="shared" si="17"/>
        <v>#REF!</v>
      </c>
      <c r="AV45" s="41" t="e">
        <f t="shared" si="17"/>
        <v>#REF!</v>
      </c>
      <c r="AW45" s="41" t="e">
        <f t="shared" si="17"/>
        <v>#REF!</v>
      </c>
      <c r="AX45" s="41" t="e">
        <f t="shared" si="17"/>
        <v>#REF!</v>
      </c>
      <c r="AY45" s="41" t="e">
        <f t="shared" si="17"/>
        <v>#REF!</v>
      </c>
      <c r="AZ45" s="41" t="e">
        <f t="shared" si="17"/>
        <v>#REF!</v>
      </c>
      <c r="BA45" s="41" t="e">
        <f t="shared" si="17"/>
        <v>#REF!</v>
      </c>
      <c r="BB45" s="41" t="e">
        <f t="shared" si="17"/>
        <v>#REF!</v>
      </c>
    </row>
    <row r="46" spans="1:54" hidden="1" x14ac:dyDescent="0.25">
      <c r="A46" s="42" t="s">
        <v>70</v>
      </c>
      <c r="B46" s="42">
        <f>(0.016*(0.03/2)^0.65*(2/3)^1.5)-0.00047</f>
        <v>9.8123053326417428E-5</v>
      </c>
      <c r="C46" s="42"/>
      <c r="D46" s="42"/>
      <c r="AB46" s="77"/>
      <c r="AC46" s="78" t="s">
        <v>49</v>
      </c>
      <c r="AD46" s="78">
        <v>0</v>
      </c>
      <c r="AE46" s="78"/>
      <c r="AF46" s="78"/>
      <c r="AG46" s="41" t="e">
        <f t="shared" si="18"/>
        <v>#REF!</v>
      </c>
      <c r="AH46" s="41" t="e">
        <f t="shared" si="16"/>
        <v>#REF!</v>
      </c>
      <c r="AI46" s="41" t="e">
        <f t="shared" si="16"/>
        <v>#REF!</v>
      </c>
      <c r="AJ46" s="41" t="e">
        <f t="shared" si="16"/>
        <v>#REF!</v>
      </c>
      <c r="AK46" s="41" t="e">
        <f t="shared" si="16"/>
        <v>#REF!</v>
      </c>
      <c r="AL46" s="41" t="e">
        <f t="shared" si="16"/>
        <v>#REF!</v>
      </c>
      <c r="AM46" s="41" t="e">
        <f t="shared" si="16"/>
        <v>#REF!</v>
      </c>
      <c r="AN46" s="41" t="e">
        <f t="shared" si="16"/>
        <v>#REF!</v>
      </c>
      <c r="AO46" s="41" t="e">
        <f t="shared" si="16"/>
        <v>#REF!</v>
      </c>
      <c r="AP46" s="41" t="e">
        <f t="shared" si="16"/>
        <v>#REF!</v>
      </c>
      <c r="AR46" s="43"/>
      <c r="AS46" s="41" t="e">
        <f t="shared" si="19"/>
        <v>#REF!</v>
      </c>
      <c r="AT46" s="41" t="e">
        <f t="shared" si="17"/>
        <v>#REF!</v>
      </c>
      <c r="AU46" s="41" t="e">
        <f t="shared" si="17"/>
        <v>#REF!</v>
      </c>
      <c r="AV46" s="41" t="e">
        <f t="shared" si="17"/>
        <v>#REF!</v>
      </c>
      <c r="AW46" s="41" t="e">
        <f t="shared" si="17"/>
        <v>#REF!</v>
      </c>
      <c r="AX46" s="41" t="e">
        <f t="shared" si="17"/>
        <v>#REF!</v>
      </c>
      <c r="AY46" s="41" t="e">
        <f t="shared" si="17"/>
        <v>#REF!</v>
      </c>
      <c r="AZ46" s="41" t="e">
        <f t="shared" si="17"/>
        <v>#REF!</v>
      </c>
      <c r="BA46" s="41" t="e">
        <f t="shared" si="17"/>
        <v>#REF!</v>
      </c>
      <c r="BB46" s="41" t="e">
        <f t="shared" si="17"/>
        <v>#REF!</v>
      </c>
    </row>
    <row r="47" spans="1:54" hidden="1" x14ac:dyDescent="0.25">
      <c r="A47" s="42"/>
      <c r="B47" s="42"/>
      <c r="C47" s="42"/>
      <c r="D47" s="42"/>
      <c r="AB47" s="77"/>
      <c r="AC47" s="78" t="s">
        <v>50</v>
      </c>
      <c r="AD47" s="78">
        <v>0</v>
      </c>
      <c r="AE47" s="78"/>
      <c r="AF47" s="78"/>
      <c r="AG47" s="41" t="e">
        <f t="shared" si="18"/>
        <v>#REF!</v>
      </c>
      <c r="AH47" s="41" t="e">
        <f t="shared" si="16"/>
        <v>#REF!</v>
      </c>
      <c r="AI47" s="41" t="e">
        <f t="shared" si="16"/>
        <v>#REF!</v>
      </c>
      <c r="AJ47" s="41" t="e">
        <f t="shared" si="16"/>
        <v>#REF!</v>
      </c>
      <c r="AK47" s="41" t="e">
        <f t="shared" si="16"/>
        <v>#REF!</v>
      </c>
      <c r="AL47" s="41" t="e">
        <f t="shared" si="16"/>
        <v>#REF!</v>
      </c>
      <c r="AM47" s="41" t="e">
        <f t="shared" si="16"/>
        <v>#REF!</v>
      </c>
      <c r="AN47" s="41" t="e">
        <f t="shared" si="16"/>
        <v>#REF!</v>
      </c>
      <c r="AO47" s="41" t="e">
        <f t="shared" si="16"/>
        <v>#REF!</v>
      </c>
      <c r="AP47" s="41" t="e">
        <f t="shared" si="16"/>
        <v>#REF!</v>
      </c>
      <c r="AR47" s="43"/>
      <c r="AS47" s="41" t="e">
        <f t="shared" si="19"/>
        <v>#REF!</v>
      </c>
      <c r="AT47" s="41" t="e">
        <f t="shared" si="17"/>
        <v>#REF!</v>
      </c>
      <c r="AU47" s="41" t="e">
        <f t="shared" si="17"/>
        <v>#REF!</v>
      </c>
      <c r="AV47" s="41" t="e">
        <f t="shared" si="17"/>
        <v>#REF!</v>
      </c>
      <c r="AW47" s="41" t="e">
        <f t="shared" si="17"/>
        <v>#REF!</v>
      </c>
      <c r="AX47" s="41" t="e">
        <f t="shared" si="17"/>
        <v>#REF!</v>
      </c>
      <c r="AY47" s="41" t="e">
        <f t="shared" si="17"/>
        <v>#REF!</v>
      </c>
      <c r="AZ47" s="41" t="e">
        <f t="shared" si="17"/>
        <v>#REF!</v>
      </c>
      <c r="BA47" s="41" t="e">
        <f t="shared" si="17"/>
        <v>#REF!</v>
      </c>
      <c r="BB47" s="41" t="e">
        <f t="shared" si="17"/>
        <v>#REF!</v>
      </c>
    </row>
    <row r="48" spans="1:54" hidden="1" x14ac:dyDescent="0.25">
      <c r="A48" s="42"/>
      <c r="B48" s="42"/>
      <c r="C48" s="42"/>
      <c r="D48" s="42"/>
      <c r="AB48" s="77"/>
      <c r="AC48" s="78"/>
      <c r="AD48" s="78"/>
      <c r="AE48" s="78"/>
      <c r="AF48" s="78"/>
      <c r="AR48" s="43"/>
    </row>
    <row r="49" spans="1:54" hidden="1" x14ac:dyDescent="0.25">
      <c r="A49" s="42"/>
      <c r="B49" s="42"/>
      <c r="C49" s="42"/>
      <c r="D49" s="42"/>
      <c r="AB49" s="77" t="s">
        <v>51</v>
      </c>
      <c r="AC49" s="78" t="s">
        <v>40</v>
      </c>
      <c r="AD49" s="78" t="s">
        <v>41</v>
      </c>
      <c r="AE49" s="78"/>
      <c r="AF49" s="78"/>
      <c r="AR49" s="43"/>
    </row>
    <row r="50" spans="1:54" hidden="1" x14ac:dyDescent="0.25">
      <c r="A50" s="42" t="s">
        <v>100</v>
      </c>
      <c r="B50" s="42"/>
      <c r="C50" s="42"/>
      <c r="D50" s="42"/>
      <c r="AB50" s="77"/>
      <c r="AC50" s="78" t="s">
        <v>42</v>
      </c>
      <c r="AD50" s="78">
        <v>0</v>
      </c>
      <c r="AE50" s="78"/>
      <c r="AF50" s="78"/>
      <c r="AG50" s="41" t="e">
        <f t="shared" ref="AG50:AP58" si="20">AG$34*$AD50</f>
        <v>#REF!</v>
      </c>
      <c r="AH50" s="41" t="e">
        <f t="shared" si="20"/>
        <v>#REF!</v>
      </c>
      <c r="AI50" s="41" t="e">
        <f t="shared" si="20"/>
        <v>#REF!</v>
      </c>
      <c r="AJ50" s="41" t="e">
        <f t="shared" si="20"/>
        <v>#REF!</v>
      </c>
      <c r="AK50" s="41" t="e">
        <f t="shared" si="20"/>
        <v>#REF!</v>
      </c>
      <c r="AL50" s="41" t="e">
        <f t="shared" si="20"/>
        <v>#REF!</v>
      </c>
      <c r="AM50" s="41" t="e">
        <f t="shared" si="20"/>
        <v>#REF!</v>
      </c>
      <c r="AN50" s="41" t="e">
        <f t="shared" si="20"/>
        <v>#REF!</v>
      </c>
      <c r="AO50" s="41" t="e">
        <f t="shared" si="20"/>
        <v>#REF!</v>
      </c>
      <c r="AP50" s="41" t="e">
        <f t="shared" si="20"/>
        <v>#REF!</v>
      </c>
      <c r="AR50" s="43"/>
      <c r="AS50" s="41" t="e">
        <f t="shared" ref="AS50:BB58" si="21">AS$34*$AD50</f>
        <v>#REF!</v>
      </c>
      <c r="AT50" s="41" t="e">
        <f t="shared" si="21"/>
        <v>#REF!</v>
      </c>
      <c r="AU50" s="41" t="e">
        <f t="shared" si="21"/>
        <v>#REF!</v>
      </c>
      <c r="AV50" s="41" t="e">
        <f t="shared" si="21"/>
        <v>#REF!</v>
      </c>
      <c r="AW50" s="41" t="e">
        <f t="shared" si="21"/>
        <v>#REF!</v>
      </c>
      <c r="AX50" s="41" t="e">
        <f t="shared" si="21"/>
        <v>#REF!</v>
      </c>
      <c r="AY50" s="41" t="e">
        <f t="shared" si="21"/>
        <v>#REF!</v>
      </c>
      <c r="AZ50" s="41" t="e">
        <f t="shared" si="21"/>
        <v>#REF!</v>
      </c>
      <c r="BA50" s="41" t="e">
        <f t="shared" si="21"/>
        <v>#REF!</v>
      </c>
      <c r="BB50" s="41" t="e">
        <f t="shared" si="21"/>
        <v>#REF!</v>
      </c>
    </row>
    <row r="51" spans="1:54" hidden="1" x14ac:dyDescent="0.25">
      <c r="A51" s="42" t="s">
        <v>101</v>
      </c>
      <c r="B51" s="42"/>
      <c r="C51" s="42"/>
      <c r="D51" s="42"/>
      <c r="AB51" s="77"/>
      <c r="AC51" s="78" t="s">
        <v>43</v>
      </c>
      <c r="AD51" s="78">
        <v>6.2010000000000005</v>
      </c>
      <c r="AE51" s="78"/>
      <c r="AF51" s="78"/>
      <c r="AG51" s="41" t="e">
        <f t="shared" si="20"/>
        <v>#REF!</v>
      </c>
      <c r="AH51" s="41" t="e">
        <f t="shared" si="20"/>
        <v>#REF!</v>
      </c>
      <c r="AI51" s="41" t="e">
        <f t="shared" si="20"/>
        <v>#REF!</v>
      </c>
      <c r="AJ51" s="41" t="e">
        <f t="shared" si="20"/>
        <v>#REF!</v>
      </c>
      <c r="AK51" s="41" t="e">
        <f t="shared" si="20"/>
        <v>#REF!</v>
      </c>
      <c r="AL51" s="41" t="e">
        <f t="shared" si="20"/>
        <v>#REF!</v>
      </c>
      <c r="AM51" s="41" t="e">
        <f t="shared" si="20"/>
        <v>#REF!</v>
      </c>
      <c r="AN51" s="41" t="e">
        <f t="shared" si="20"/>
        <v>#REF!</v>
      </c>
      <c r="AO51" s="41" t="e">
        <f t="shared" si="20"/>
        <v>#REF!</v>
      </c>
      <c r="AP51" s="41" t="e">
        <f t="shared" si="20"/>
        <v>#REF!</v>
      </c>
      <c r="AR51" s="43"/>
      <c r="AS51" s="41" t="e">
        <f t="shared" si="21"/>
        <v>#REF!</v>
      </c>
      <c r="AT51" s="41" t="e">
        <f t="shared" si="21"/>
        <v>#REF!</v>
      </c>
      <c r="AU51" s="41" t="e">
        <f t="shared" si="21"/>
        <v>#REF!</v>
      </c>
      <c r="AV51" s="41" t="e">
        <f t="shared" si="21"/>
        <v>#REF!</v>
      </c>
      <c r="AW51" s="41" t="e">
        <f t="shared" si="21"/>
        <v>#REF!</v>
      </c>
      <c r="AX51" s="41" t="e">
        <f t="shared" si="21"/>
        <v>#REF!</v>
      </c>
      <c r="AY51" s="41" t="e">
        <f t="shared" si="21"/>
        <v>#REF!</v>
      </c>
      <c r="AZ51" s="41" t="e">
        <f t="shared" si="21"/>
        <v>#REF!</v>
      </c>
      <c r="BA51" s="41" t="e">
        <f t="shared" si="21"/>
        <v>#REF!</v>
      </c>
      <c r="BB51" s="41" t="e">
        <f t="shared" si="21"/>
        <v>#REF!</v>
      </c>
    </row>
    <row r="52" spans="1:54" hidden="1" x14ac:dyDescent="0.25">
      <c r="A52" s="42" t="s">
        <v>102</v>
      </c>
      <c r="B52" s="42"/>
      <c r="C52" s="42"/>
      <c r="D52" s="42"/>
      <c r="AB52" s="77"/>
      <c r="AC52" s="78" t="s">
        <v>44</v>
      </c>
      <c r="AD52" s="78">
        <v>0</v>
      </c>
      <c r="AE52" s="78"/>
      <c r="AF52" s="78"/>
      <c r="AG52" s="41" t="e">
        <f t="shared" si="20"/>
        <v>#REF!</v>
      </c>
      <c r="AH52" s="41" t="e">
        <f t="shared" si="20"/>
        <v>#REF!</v>
      </c>
      <c r="AI52" s="41" t="e">
        <f t="shared" si="20"/>
        <v>#REF!</v>
      </c>
      <c r="AJ52" s="41" t="e">
        <f t="shared" si="20"/>
        <v>#REF!</v>
      </c>
      <c r="AK52" s="41" t="e">
        <f t="shared" si="20"/>
        <v>#REF!</v>
      </c>
      <c r="AL52" s="41" t="e">
        <f t="shared" si="20"/>
        <v>#REF!</v>
      </c>
      <c r="AM52" s="41" t="e">
        <f t="shared" si="20"/>
        <v>#REF!</v>
      </c>
      <c r="AN52" s="41" t="e">
        <f t="shared" si="20"/>
        <v>#REF!</v>
      </c>
      <c r="AO52" s="41" t="e">
        <f t="shared" si="20"/>
        <v>#REF!</v>
      </c>
      <c r="AP52" s="41" t="e">
        <f t="shared" si="20"/>
        <v>#REF!</v>
      </c>
      <c r="AR52" s="43"/>
      <c r="AS52" s="41" t="e">
        <f t="shared" si="21"/>
        <v>#REF!</v>
      </c>
      <c r="AT52" s="41" t="e">
        <f t="shared" si="21"/>
        <v>#REF!</v>
      </c>
      <c r="AU52" s="41" t="e">
        <f t="shared" si="21"/>
        <v>#REF!</v>
      </c>
      <c r="AV52" s="41" t="e">
        <f t="shared" si="21"/>
        <v>#REF!</v>
      </c>
      <c r="AW52" s="41" t="e">
        <f t="shared" si="21"/>
        <v>#REF!</v>
      </c>
      <c r="AX52" s="41" t="e">
        <f t="shared" si="21"/>
        <v>#REF!</v>
      </c>
      <c r="AY52" s="41" t="e">
        <f t="shared" si="21"/>
        <v>#REF!</v>
      </c>
      <c r="AZ52" s="41" t="e">
        <f t="shared" si="21"/>
        <v>#REF!</v>
      </c>
      <c r="BA52" s="41" t="e">
        <f t="shared" si="21"/>
        <v>#REF!</v>
      </c>
      <c r="BB52" s="41" t="e">
        <f t="shared" si="21"/>
        <v>#REF!</v>
      </c>
    </row>
    <row r="53" spans="1:54" hidden="1" x14ac:dyDescent="0.25">
      <c r="A53" s="42" t="s">
        <v>103</v>
      </c>
      <c r="B53" s="42"/>
      <c r="C53" s="42"/>
      <c r="D53" s="42"/>
      <c r="AB53" s="77"/>
      <c r="AC53" s="78" t="s">
        <v>45</v>
      </c>
      <c r="AD53" s="78">
        <v>9.8037500000000009</v>
      </c>
      <c r="AE53" s="78"/>
      <c r="AF53" s="78"/>
      <c r="AG53" s="41" t="e">
        <f t="shared" si="20"/>
        <v>#REF!</v>
      </c>
      <c r="AH53" s="41" t="e">
        <f t="shared" si="20"/>
        <v>#REF!</v>
      </c>
      <c r="AI53" s="41" t="e">
        <f t="shared" si="20"/>
        <v>#REF!</v>
      </c>
      <c r="AJ53" s="41" t="e">
        <f t="shared" si="20"/>
        <v>#REF!</v>
      </c>
      <c r="AK53" s="41" t="e">
        <f t="shared" si="20"/>
        <v>#REF!</v>
      </c>
      <c r="AL53" s="41" t="e">
        <f t="shared" si="20"/>
        <v>#REF!</v>
      </c>
      <c r="AM53" s="41" t="e">
        <f t="shared" si="20"/>
        <v>#REF!</v>
      </c>
      <c r="AN53" s="41" t="e">
        <f t="shared" si="20"/>
        <v>#REF!</v>
      </c>
      <c r="AO53" s="41" t="e">
        <f t="shared" si="20"/>
        <v>#REF!</v>
      </c>
      <c r="AP53" s="41" t="e">
        <f t="shared" si="20"/>
        <v>#REF!</v>
      </c>
      <c r="AR53" s="43"/>
      <c r="AS53" s="41" t="e">
        <f t="shared" si="21"/>
        <v>#REF!</v>
      </c>
      <c r="AT53" s="41" t="e">
        <f t="shared" si="21"/>
        <v>#REF!</v>
      </c>
      <c r="AU53" s="41" t="e">
        <f t="shared" si="21"/>
        <v>#REF!</v>
      </c>
      <c r="AV53" s="41" t="e">
        <f t="shared" si="21"/>
        <v>#REF!</v>
      </c>
      <c r="AW53" s="41" t="e">
        <f t="shared" si="21"/>
        <v>#REF!</v>
      </c>
      <c r="AX53" s="41" t="e">
        <f t="shared" si="21"/>
        <v>#REF!</v>
      </c>
      <c r="AY53" s="41" t="e">
        <f t="shared" si="21"/>
        <v>#REF!</v>
      </c>
      <c r="AZ53" s="41" t="e">
        <f t="shared" si="21"/>
        <v>#REF!</v>
      </c>
      <c r="BA53" s="41" t="e">
        <f t="shared" si="21"/>
        <v>#REF!</v>
      </c>
      <c r="BB53" s="41" t="e">
        <f t="shared" si="21"/>
        <v>#REF!</v>
      </c>
    </row>
    <row r="54" spans="1:54" hidden="1" x14ac:dyDescent="0.25">
      <c r="A54" s="42" t="s">
        <v>104</v>
      </c>
      <c r="B54" s="42"/>
      <c r="C54" s="42"/>
      <c r="D54" s="42"/>
      <c r="AB54" s="77"/>
      <c r="AC54" s="78" t="s">
        <v>46</v>
      </c>
      <c r="AD54" s="78">
        <v>7.2451999999999996</v>
      </c>
      <c r="AE54" s="78"/>
      <c r="AF54" s="78"/>
      <c r="AG54" s="41" t="e">
        <f t="shared" si="20"/>
        <v>#REF!</v>
      </c>
      <c r="AH54" s="41" t="e">
        <f t="shared" si="20"/>
        <v>#REF!</v>
      </c>
      <c r="AI54" s="41" t="e">
        <f t="shared" si="20"/>
        <v>#REF!</v>
      </c>
      <c r="AJ54" s="41" t="e">
        <f t="shared" si="20"/>
        <v>#REF!</v>
      </c>
      <c r="AK54" s="41" t="e">
        <f t="shared" si="20"/>
        <v>#REF!</v>
      </c>
      <c r="AL54" s="41" t="e">
        <f t="shared" si="20"/>
        <v>#REF!</v>
      </c>
      <c r="AM54" s="41" t="e">
        <f t="shared" si="20"/>
        <v>#REF!</v>
      </c>
      <c r="AN54" s="41" t="e">
        <f t="shared" si="20"/>
        <v>#REF!</v>
      </c>
      <c r="AO54" s="41" t="e">
        <f t="shared" si="20"/>
        <v>#REF!</v>
      </c>
      <c r="AP54" s="41" t="e">
        <f t="shared" si="20"/>
        <v>#REF!</v>
      </c>
      <c r="AR54" s="43"/>
      <c r="AS54" s="41" t="e">
        <f t="shared" si="21"/>
        <v>#REF!</v>
      </c>
      <c r="AT54" s="41" t="e">
        <f t="shared" si="21"/>
        <v>#REF!</v>
      </c>
      <c r="AU54" s="41" t="e">
        <f t="shared" si="21"/>
        <v>#REF!</v>
      </c>
      <c r="AV54" s="41" t="e">
        <f t="shared" si="21"/>
        <v>#REF!</v>
      </c>
      <c r="AW54" s="41" t="e">
        <f t="shared" si="21"/>
        <v>#REF!</v>
      </c>
      <c r="AX54" s="41" t="e">
        <f t="shared" si="21"/>
        <v>#REF!</v>
      </c>
      <c r="AY54" s="41" t="e">
        <f t="shared" si="21"/>
        <v>#REF!</v>
      </c>
      <c r="AZ54" s="41" t="e">
        <f t="shared" si="21"/>
        <v>#REF!</v>
      </c>
      <c r="BA54" s="41" t="e">
        <f t="shared" si="21"/>
        <v>#REF!</v>
      </c>
      <c r="BB54" s="41" t="e">
        <f t="shared" si="21"/>
        <v>#REF!</v>
      </c>
    </row>
    <row r="55" spans="1:54" hidden="1" x14ac:dyDescent="0.25">
      <c r="A55" s="42" t="s">
        <v>96</v>
      </c>
      <c r="B55" s="42"/>
      <c r="C55" s="42"/>
      <c r="D55" s="42"/>
      <c r="AB55" s="77"/>
      <c r="AC55" s="78" t="s">
        <v>47</v>
      </c>
      <c r="AD55" s="78">
        <v>3.6</v>
      </c>
      <c r="AE55" s="78"/>
      <c r="AF55" s="78"/>
      <c r="AG55" s="41" t="e">
        <f t="shared" si="20"/>
        <v>#REF!</v>
      </c>
      <c r="AH55" s="41" t="e">
        <f t="shared" si="20"/>
        <v>#REF!</v>
      </c>
      <c r="AI55" s="41" t="e">
        <f t="shared" si="20"/>
        <v>#REF!</v>
      </c>
      <c r="AJ55" s="41" t="e">
        <f t="shared" si="20"/>
        <v>#REF!</v>
      </c>
      <c r="AK55" s="41" t="e">
        <f t="shared" si="20"/>
        <v>#REF!</v>
      </c>
      <c r="AL55" s="41" t="e">
        <f t="shared" si="20"/>
        <v>#REF!</v>
      </c>
      <c r="AM55" s="41" t="e">
        <f t="shared" si="20"/>
        <v>#REF!</v>
      </c>
      <c r="AN55" s="41" t="e">
        <f t="shared" si="20"/>
        <v>#REF!</v>
      </c>
      <c r="AO55" s="41" t="e">
        <f t="shared" si="20"/>
        <v>#REF!</v>
      </c>
      <c r="AP55" s="41" t="e">
        <f t="shared" si="20"/>
        <v>#REF!</v>
      </c>
      <c r="AR55" s="43"/>
      <c r="AS55" s="41" t="e">
        <f t="shared" si="21"/>
        <v>#REF!</v>
      </c>
      <c r="AT55" s="41" t="e">
        <f t="shared" si="21"/>
        <v>#REF!</v>
      </c>
      <c r="AU55" s="41" t="e">
        <f t="shared" si="21"/>
        <v>#REF!</v>
      </c>
      <c r="AV55" s="41" t="e">
        <f t="shared" si="21"/>
        <v>#REF!</v>
      </c>
      <c r="AW55" s="41" t="e">
        <f t="shared" si="21"/>
        <v>#REF!</v>
      </c>
      <c r="AX55" s="41" t="e">
        <f t="shared" si="21"/>
        <v>#REF!</v>
      </c>
      <c r="AY55" s="41" t="e">
        <f t="shared" si="21"/>
        <v>#REF!</v>
      </c>
      <c r="AZ55" s="41" t="e">
        <f t="shared" si="21"/>
        <v>#REF!</v>
      </c>
      <c r="BA55" s="41" t="e">
        <f t="shared" si="21"/>
        <v>#REF!</v>
      </c>
      <c r="BB55" s="41" t="e">
        <f t="shared" si="21"/>
        <v>#REF!</v>
      </c>
    </row>
    <row r="56" spans="1:54" hidden="1" x14ac:dyDescent="0.25">
      <c r="A56" s="42" t="s">
        <v>105</v>
      </c>
      <c r="B56" s="42"/>
      <c r="C56" s="42"/>
      <c r="D56" s="42"/>
      <c r="AB56" s="77"/>
      <c r="AC56" s="78" t="s">
        <v>48</v>
      </c>
      <c r="AD56" s="78">
        <v>6.1984000000000004</v>
      </c>
      <c r="AE56" s="78"/>
      <c r="AF56" s="78"/>
      <c r="AG56" s="41" t="e">
        <f t="shared" si="20"/>
        <v>#REF!</v>
      </c>
      <c r="AH56" s="41" t="e">
        <f t="shared" si="20"/>
        <v>#REF!</v>
      </c>
      <c r="AI56" s="41" t="e">
        <f t="shared" si="20"/>
        <v>#REF!</v>
      </c>
      <c r="AJ56" s="41" t="e">
        <f t="shared" si="20"/>
        <v>#REF!</v>
      </c>
      <c r="AK56" s="41" t="e">
        <f t="shared" si="20"/>
        <v>#REF!</v>
      </c>
      <c r="AL56" s="41" t="e">
        <f t="shared" si="20"/>
        <v>#REF!</v>
      </c>
      <c r="AM56" s="41" t="e">
        <f t="shared" si="20"/>
        <v>#REF!</v>
      </c>
      <c r="AN56" s="41" t="e">
        <f t="shared" si="20"/>
        <v>#REF!</v>
      </c>
      <c r="AO56" s="41" t="e">
        <f t="shared" si="20"/>
        <v>#REF!</v>
      </c>
      <c r="AP56" s="41" t="e">
        <f t="shared" si="20"/>
        <v>#REF!</v>
      </c>
      <c r="AR56" s="43"/>
      <c r="AS56" s="41" t="e">
        <f t="shared" si="21"/>
        <v>#REF!</v>
      </c>
      <c r="AT56" s="41" t="e">
        <f t="shared" si="21"/>
        <v>#REF!</v>
      </c>
      <c r="AU56" s="41" t="e">
        <f t="shared" si="21"/>
        <v>#REF!</v>
      </c>
      <c r="AV56" s="41" t="e">
        <f t="shared" si="21"/>
        <v>#REF!</v>
      </c>
      <c r="AW56" s="41" t="e">
        <f t="shared" si="21"/>
        <v>#REF!</v>
      </c>
      <c r="AX56" s="41" t="e">
        <f t="shared" si="21"/>
        <v>#REF!</v>
      </c>
      <c r="AY56" s="41" t="e">
        <f t="shared" si="21"/>
        <v>#REF!</v>
      </c>
      <c r="AZ56" s="41" t="e">
        <f t="shared" si="21"/>
        <v>#REF!</v>
      </c>
      <c r="BA56" s="41" t="e">
        <f t="shared" si="21"/>
        <v>#REF!</v>
      </c>
      <c r="BB56" s="41" t="e">
        <f t="shared" si="21"/>
        <v>#REF!</v>
      </c>
    </row>
    <row r="57" spans="1:54" hidden="1" x14ac:dyDescent="0.25">
      <c r="A57" s="42" t="s">
        <v>106</v>
      </c>
      <c r="B57" s="42"/>
      <c r="C57" s="42"/>
      <c r="D57" s="42"/>
      <c r="AB57" s="77"/>
      <c r="AC57" s="78" t="s">
        <v>49</v>
      </c>
      <c r="AD57" s="78">
        <v>5.1995100000000001</v>
      </c>
      <c r="AE57" s="78"/>
      <c r="AF57" s="78"/>
      <c r="AG57" s="41" t="e">
        <f t="shared" si="20"/>
        <v>#REF!</v>
      </c>
      <c r="AH57" s="41" t="e">
        <f t="shared" si="20"/>
        <v>#REF!</v>
      </c>
      <c r="AI57" s="41" t="e">
        <f t="shared" si="20"/>
        <v>#REF!</v>
      </c>
      <c r="AJ57" s="41" t="e">
        <f t="shared" si="20"/>
        <v>#REF!</v>
      </c>
      <c r="AK57" s="41" t="e">
        <f t="shared" si="20"/>
        <v>#REF!</v>
      </c>
      <c r="AL57" s="41" t="e">
        <f t="shared" si="20"/>
        <v>#REF!</v>
      </c>
      <c r="AM57" s="41" t="e">
        <f t="shared" si="20"/>
        <v>#REF!</v>
      </c>
      <c r="AN57" s="41" t="e">
        <f t="shared" si="20"/>
        <v>#REF!</v>
      </c>
      <c r="AO57" s="41" t="e">
        <f t="shared" si="20"/>
        <v>#REF!</v>
      </c>
      <c r="AP57" s="41" t="e">
        <f t="shared" si="20"/>
        <v>#REF!</v>
      </c>
      <c r="AR57" s="43"/>
      <c r="AS57" s="41" t="e">
        <f t="shared" si="21"/>
        <v>#REF!</v>
      </c>
      <c r="AT57" s="41" t="e">
        <f t="shared" si="21"/>
        <v>#REF!</v>
      </c>
      <c r="AU57" s="41" t="e">
        <f t="shared" si="21"/>
        <v>#REF!</v>
      </c>
      <c r="AV57" s="41" t="e">
        <f t="shared" si="21"/>
        <v>#REF!</v>
      </c>
      <c r="AW57" s="41" t="e">
        <f t="shared" si="21"/>
        <v>#REF!</v>
      </c>
      <c r="AX57" s="41" t="e">
        <f t="shared" si="21"/>
        <v>#REF!</v>
      </c>
      <c r="AY57" s="41" t="e">
        <f t="shared" si="21"/>
        <v>#REF!</v>
      </c>
      <c r="AZ57" s="41" t="e">
        <f t="shared" si="21"/>
        <v>#REF!</v>
      </c>
      <c r="BA57" s="41" t="e">
        <f t="shared" si="21"/>
        <v>#REF!</v>
      </c>
      <c r="BB57" s="41" t="e">
        <f t="shared" si="21"/>
        <v>#REF!</v>
      </c>
    </row>
    <row r="58" spans="1:54" hidden="1" x14ac:dyDescent="0.25">
      <c r="A58" s="42" t="s">
        <v>0</v>
      </c>
      <c r="B58" s="42"/>
      <c r="C58" s="42"/>
      <c r="D58" s="42"/>
      <c r="AB58" s="77"/>
      <c r="AC58" s="78" t="s">
        <v>50</v>
      </c>
      <c r="AD58" s="78">
        <v>17.71416</v>
      </c>
      <c r="AE58" s="78"/>
      <c r="AF58" s="78"/>
      <c r="AG58" s="41" t="e">
        <f t="shared" si="20"/>
        <v>#REF!</v>
      </c>
      <c r="AH58" s="41" t="e">
        <f t="shared" si="20"/>
        <v>#REF!</v>
      </c>
      <c r="AI58" s="41" t="e">
        <f t="shared" si="20"/>
        <v>#REF!</v>
      </c>
      <c r="AJ58" s="41" t="e">
        <f t="shared" si="20"/>
        <v>#REF!</v>
      </c>
      <c r="AK58" s="41" t="e">
        <f t="shared" si="20"/>
        <v>#REF!</v>
      </c>
      <c r="AL58" s="41" t="e">
        <f t="shared" si="20"/>
        <v>#REF!</v>
      </c>
      <c r="AM58" s="41" t="e">
        <f t="shared" si="20"/>
        <v>#REF!</v>
      </c>
      <c r="AN58" s="41" t="e">
        <f t="shared" si="20"/>
        <v>#REF!</v>
      </c>
      <c r="AO58" s="41" t="e">
        <f t="shared" si="20"/>
        <v>#REF!</v>
      </c>
      <c r="AP58" s="41" t="e">
        <f t="shared" si="20"/>
        <v>#REF!</v>
      </c>
      <c r="AR58" s="43"/>
      <c r="AS58" s="41" t="e">
        <f t="shared" si="21"/>
        <v>#REF!</v>
      </c>
      <c r="AT58" s="41" t="e">
        <f t="shared" si="21"/>
        <v>#REF!</v>
      </c>
      <c r="AU58" s="41" t="e">
        <f t="shared" si="21"/>
        <v>#REF!</v>
      </c>
      <c r="AV58" s="41" t="e">
        <f t="shared" si="21"/>
        <v>#REF!</v>
      </c>
      <c r="AW58" s="41" t="e">
        <f t="shared" si="21"/>
        <v>#REF!</v>
      </c>
      <c r="AX58" s="41" t="e">
        <f t="shared" si="21"/>
        <v>#REF!</v>
      </c>
      <c r="AY58" s="41" t="e">
        <f t="shared" si="21"/>
        <v>#REF!</v>
      </c>
      <c r="AZ58" s="41" t="e">
        <f t="shared" si="21"/>
        <v>#REF!</v>
      </c>
      <c r="BA58" s="41" t="e">
        <f t="shared" si="21"/>
        <v>#REF!</v>
      </c>
      <c r="BB58" s="41" t="e">
        <f t="shared" si="21"/>
        <v>#REF!</v>
      </c>
    </row>
    <row r="59" spans="1:54" hidden="1" x14ac:dyDescent="0.25">
      <c r="A59" s="42" t="s">
        <v>70</v>
      </c>
      <c r="B59" s="42">
        <f>0.39*1.5*(8.5/12)^0.9*(2/3)^0.45</f>
        <v>0.35737873826145539</v>
      </c>
      <c r="C59" s="42"/>
      <c r="D59" s="42"/>
      <c r="AB59" s="77"/>
      <c r="AC59" s="78"/>
      <c r="AD59" s="78"/>
      <c r="AE59" s="78"/>
      <c r="AF59" s="78"/>
      <c r="AR59" s="43"/>
    </row>
    <row r="60" spans="1:54" hidden="1" x14ac:dyDescent="0.25">
      <c r="A60" s="42" t="s">
        <v>71</v>
      </c>
      <c r="B60" s="42">
        <f>0.39*0.15*(8.5/12)^0.9*(2/3)^0.45</f>
        <v>3.5737873826145544E-2</v>
      </c>
      <c r="C60" s="42"/>
      <c r="D60" s="42"/>
      <c r="AB60" s="77" t="s">
        <v>52</v>
      </c>
      <c r="AC60" s="78" t="s">
        <v>40</v>
      </c>
      <c r="AD60" s="78" t="s">
        <v>41</v>
      </c>
      <c r="AE60" s="78"/>
      <c r="AF60" s="78"/>
      <c r="AR60" s="43"/>
    </row>
    <row r="61" spans="1:54" hidden="1" x14ac:dyDescent="0.25">
      <c r="AB61" s="77"/>
      <c r="AC61" s="78" t="s">
        <v>42</v>
      </c>
      <c r="AD61" s="78">
        <v>0</v>
      </c>
      <c r="AE61" s="78"/>
      <c r="AF61" s="78"/>
      <c r="AG61" s="41" t="e">
        <f t="shared" ref="AG61:AP69" si="22">AG$34*$AD61</f>
        <v>#REF!</v>
      </c>
      <c r="AH61" s="41" t="e">
        <f t="shared" si="22"/>
        <v>#REF!</v>
      </c>
      <c r="AI61" s="41" t="e">
        <f t="shared" si="22"/>
        <v>#REF!</v>
      </c>
      <c r="AJ61" s="41" t="e">
        <f t="shared" si="22"/>
        <v>#REF!</v>
      </c>
      <c r="AK61" s="41" t="e">
        <f t="shared" si="22"/>
        <v>#REF!</v>
      </c>
      <c r="AL61" s="41" t="e">
        <f t="shared" si="22"/>
        <v>#REF!</v>
      </c>
      <c r="AM61" s="41" t="e">
        <f t="shared" si="22"/>
        <v>#REF!</v>
      </c>
      <c r="AN61" s="41" t="e">
        <f t="shared" si="22"/>
        <v>#REF!</v>
      </c>
      <c r="AO61" s="41" t="e">
        <f t="shared" si="22"/>
        <v>#REF!</v>
      </c>
      <c r="AP61" s="41" t="e">
        <f t="shared" si="22"/>
        <v>#REF!</v>
      </c>
      <c r="AR61" s="43"/>
      <c r="AS61" s="41" t="e">
        <f t="shared" ref="AS61:BB69" si="23">AS$34*$AD61</f>
        <v>#REF!</v>
      </c>
      <c r="AT61" s="41" t="e">
        <f t="shared" si="23"/>
        <v>#REF!</v>
      </c>
      <c r="AU61" s="41" t="e">
        <f t="shared" si="23"/>
        <v>#REF!</v>
      </c>
      <c r="AV61" s="41" t="e">
        <f t="shared" si="23"/>
        <v>#REF!</v>
      </c>
      <c r="AW61" s="41" t="e">
        <f t="shared" si="23"/>
        <v>#REF!</v>
      </c>
      <c r="AX61" s="41" t="e">
        <f t="shared" si="23"/>
        <v>#REF!</v>
      </c>
      <c r="AY61" s="41" t="e">
        <f t="shared" si="23"/>
        <v>#REF!</v>
      </c>
      <c r="AZ61" s="41" t="e">
        <f t="shared" si="23"/>
        <v>#REF!</v>
      </c>
      <c r="BA61" s="41" t="e">
        <f t="shared" si="23"/>
        <v>#REF!</v>
      </c>
      <c r="BB61" s="41" t="e">
        <f t="shared" si="23"/>
        <v>#REF!</v>
      </c>
    </row>
    <row r="62" spans="1:54" hidden="1" x14ac:dyDescent="0.25">
      <c r="AB62" s="77"/>
      <c r="AC62" s="78" t="s">
        <v>43</v>
      </c>
      <c r="AD62" s="78">
        <v>0</v>
      </c>
      <c r="AE62" s="78"/>
      <c r="AF62" s="78"/>
      <c r="AG62" s="41" t="e">
        <f t="shared" si="22"/>
        <v>#REF!</v>
      </c>
      <c r="AH62" s="41" t="e">
        <f t="shared" si="22"/>
        <v>#REF!</v>
      </c>
      <c r="AI62" s="41" t="e">
        <f t="shared" si="22"/>
        <v>#REF!</v>
      </c>
      <c r="AJ62" s="41" t="e">
        <f t="shared" si="22"/>
        <v>#REF!</v>
      </c>
      <c r="AK62" s="41" t="e">
        <f t="shared" si="22"/>
        <v>#REF!</v>
      </c>
      <c r="AL62" s="41" t="e">
        <f t="shared" si="22"/>
        <v>#REF!</v>
      </c>
      <c r="AM62" s="41" t="e">
        <f t="shared" si="22"/>
        <v>#REF!</v>
      </c>
      <c r="AN62" s="41" t="e">
        <f t="shared" si="22"/>
        <v>#REF!</v>
      </c>
      <c r="AO62" s="41" t="e">
        <f t="shared" si="22"/>
        <v>#REF!</v>
      </c>
      <c r="AP62" s="41" t="e">
        <f t="shared" si="22"/>
        <v>#REF!</v>
      </c>
      <c r="AR62" s="43"/>
      <c r="AS62" s="41" t="e">
        <f t="shared" si="23"/>
        <v>#REF!</v>
      </c>
      <c r="AT62" s="41" t="e">
        <f t="shared" si="23"/>
        <v>#REF!</v>
      </c>
      <c r="AU62" s="41" t="e">
        <f t="shared" si="23"/>
        <v>#REF!</v>
      </c>
      <c r="AV62" s="41" t="e">
        <f t="shared" si="23"/>
        <v>#REF!</v>
      </c>
      <c r="AW62" s="41" t="e">
        <f t="shared" si="23"/>
        <v>#REF!</v>
      </c>
      <c r="AX62" s="41" t="e">
        <f t="shared" si="23"/>
        <v>#REF!</v>
      </c>
      <c r="AY62" s="41" t="e">
        <f t="shared" si="23"/>
        <v>#REF!</v>
      </c>
      <c r="AZ62" s="41" t="e">
        <f t="shared" si="23"/>
        <v>#REF!</v>
      </c>
      <c r="BA62" s="41" t="e">
        <f t="shared" si="23"/>
        <v>#REF!</v>
      </c>
      <c r="BB62" s="41" t="e">
        <f t="shared" si="23"/>
        <v>#REF!</v>
      </c>
    </row>
    <row r="63" spans="1:54" hidden="1" x14ac:dyDescent="0.25">
      <c r="AB63" s="77"/>
      <c r="AC63" s="78" t="s">
        <v>44</v>
      </c>
      <c r="AD63" s="78">
        <v>0</v>
      </c>
      <c r="AE63" s="78"/>
      <c r="AF63" s="78"/>
      <c r="AG63" s="41" t="e">
        <f t="shared" si="22"/>
        <v>#REF!</v>
      </c>
      <c r="AH63" s="41" t="e">
        <f t="shared" si="22"/>
        <v>#REF!</v>
      </c>
      <c r="AI63" s="41" t="e">
        <f t="shared" si="22"/>
        <v>#REF!</v>
      </c>
      <c r="AJ63" s="41" t="e">
        <f t="shared" si="22"/>
        <v>#REF!</v>
      </c>
      <c r="AK63" s="41" t="e">
        <f t="shared" si="22"/>
        <v>#REF!</v>
      </c>
      <c r="AL63" s="41" t="e">
        <f t="shared" si="22"/>
        <v>#REF!</v>
      </c>
      <c r="AM63" s="41" t="e">
        <f t="shared" si="22"/>
        <v>#REF!</v>
      </c>
      <c r="AN63" s="41" t="e">
        <f t="shared" si="22"/>
        <v>#REF!</v>
      </c>
      <c r="AO63" s="41" t="e">
        <f t="shared" si="22"/>
        <v>#REF!</v>
      </c>
      <c r="AP63" s="41" t="e">
        <f t="shared" si="22"/>
        <v>#REF!</v>
      </c>
      <c r="AR63" s="43"/>
      <c r="AS63" s="41" t="e">
        <f t="shared" si="23"/>
        <v>#REF!</v>
      </c>
      <c r="AT63" s="41" t="e">
        <f t="shared" si="23"/>
        <v>#REF!</v>
      </c>
      <c r="AU63" s="41" t="e">
        <f t="shared" si="23"/>
        <v>#REF!</v>
      </c>
      <c r="AV63" s="41" t="e">
        <f t="shared" si="23"/>
        <v>#REF!</v>
      </c>
      <c r="AW63" s="41" t="e">
        <f t="shared" si="23"/>
        <v>#REF!</v>
      </c>
      <c r="AX63" s="41" t="e">
        <f t="shared" si="23"/>
        <v>#REF!</v>
      </c>
      <c r="AY63" s="41" t="e">
        <f t="shared" si="23"/>
        <v>#REF!</v>
      </c>
      <c r="AZ63" s="41" t="e">
        <f t="shared" si="23"/>
        <v>#REF!</v>
      </c>
      <c r="BA63" s="41" t="e">
        <f t="shared" si="23"/>
        <v>#REF!</v>
      </c>
      <c r="BB63" s="41" t="e">
        <f t="shared" si="23"/>
        <v>#REF!</v>
      </c>
    </row>
    <row r="64" spans="1:54" hidden="1" x14ac:dyDescent="0.25">
      <c r="AB64" s="77"/>
      <c r="AC64" s="78" t="s">
        <v>45</v>
      </c>
      <c r="AD64" s="78">
        <v>16.541599999999999</v>
      </c>
      <c r="AE64" s="78"/>
      <c r="AF64" s="78"/>
      <c r="AG64" s="41" t="e">
        <f t="shared" si="22"/>
        <v>#REF!</v>
      </c>
      <c r="AH64" s="41" t="e">
        <f t="shared" si="22"/>
        <v>#REF!</v>
      </c>
      <c r="AI64" s="41" t="e">
        <f t="shared" si="22"/>
        <v>#REF!</v>
      </c>
      <c r="AJ64" s="41" t="e">
        <f t="shared" si="22"/>
        <v>#REF!</v>
      </c>
      <c r="AK64" s="41" t="e">
        <f t="shared" si="22"/>
        <v>#REF!</v>
      </c>
      <c r="AL64" s="41" t="e">
        <f t="shared" si="22"/>
        <v>#REF!</v>
      </c>
      <c r="AM64" s="41" t="e">
        <f t="shared" si="22"/>
        <v>#REF!</v>
      </c>
      <c r="AN64" s="41" t="e">
        <f t="shared" si="22"/>
        <v>#REF!</v>
      </c>
      <c r="AO64" s="41" t="e">
        <f t="shared" si="22"/>
        <v>#REF!</v>
      </c>
      <c r="AP64" s="41" t="e">
        <f t="shared" si="22"/>
        <v>#REF!</v>
      </c>
      <c r="AR64" s="43"/>
      <c r="AS64" s="41" t="e">
        <f t="shared" si="23"/>
        <v>#REF!</v>
      </c>
      <c r="AT64" s="41" t="e">
        <f t="shared" si="23"/>
        <v>#REF!</v>
      </c>
      <c r="AU64" s="41" t="e">
        <f t="shared" si="23"/>
        <v>#REF!</v>
      </c>
      <c r="AV64" s="41" t="e">
        <f t="shared" si="23"/>
        <v>#REF!</v>
      </c>
      <c r="AW64" s="41" t="e">
        <f t="shared" si="23"/>
        <v>#REF!</v>
      </c>
      <c r="AX64" s="41" t="e">
        <f t="shared" si="23"/>
        <v>#REF!</v>
      </c>
      <c r="AY64" s="41" t="e">
        <f t="shared" si="23"/>
        <v>#REF!</v>
      </c>
      <c r="AZ64" s="41" t="e">
        <f t="shared" si="23"/>
        <v>#REF!</v>
      </c>
      <c r="BA64" s="41" t="e">
        <f t="shared" si="23"/>
        <v>#REF!</v>
      </c>
      <c r="BB64" s="41" t="e">
        <f t="shared" si="23"/>
        <v>#REF!</v>
      </c>
    </row>
    <row r="65" spans="28:54" hidden="1" x14ac:dyDescent="0.25">
      <c r="AB65" s="77"/>
      <c r="AC65" s="78" t="s">
        <v>46</v>
      </c>
      <c r="AD65" s="78">
        <v>0</v>
      </c>
      <c r="AE65" s="78"/>
      <c r="AF65" s="78"/>
      <c r="AG65" s="41" t="e">
        <f t="shared" si="22"/>
        <v>#REF!</v>
      </c>
      <c r="AH65" s="41" t="e">
        <f t="shared" si="22"/>
        <v>#REF!</v>
      </c>
      <c r="AI65" s="41" t="e">
        <f t="shared" si="22"/>
        <v>#REF!</v>
      </c>
      <c r="AJ65" s="41" t="e">
        <f t="shared" si="22"/>
        <v>#REF!</v>
      </c>
      <c r="AK65" s="41" t="e">
        <f t="shared" si="22"/>
        <v>#REF!</v>
      </c>
      <c r="AL65" s="41" t="e">
        <f t="shared" si="22"/>
        <v>#REF!</v>
      </c>
      <c r="AM65" s="41" t="e">
        <f t="shared" si="22"/>
        <v>#REF!</v>
      </c>
      <c r="AN65" s="41" t="e">
        <f t="shared" si="22"/>
        <v>#REF!</v>
      </c>
      <c r="AO65" s="41" t="e">
        <f t="shared" si="22"/>
        <v>#REF!</v>
      </c>
      <c r="AP65" s="41" t="e">
        <f t="shared" si="22"/>
        <v>#REF!</v>
      </c>
      <c r="AR65" s="43"/>
      <c r="AS65" s="41" t="e">
        <f t="shared" si="23"/>
        <v>#REF!</v>
      </c>
      <c r="AT65" s="41" t="e">
        <f t="shared" si="23"/>
        <v>#REF!</v>
      </c>
      <c r="AU65" s="41" t="e">
        <f t="shared" si="23"/>
        <v>#REF!</v>
      </c>
      <c r="AV65" s="41" t="e">
        <f t="shared" si="23"/>
        <v>#REF!</v>
      </c>
      <c r="AW65" s="41" t="e">
        <f t="shared" si="23"/>
        <v>#REF!</v>
      </c>
      <c r="AX65" s="41" t="e">
        <f t="shared" si="23"/>
        <v>#REF!</v>
      </c>
      <c r="AY65" s="41" t="e">
        <f t="shared" si="23"/>
        <v>#REF!</v>
      </c>
      <c r="AZ65" s="41" t="e">
        <f t="shared" si="23"/>
        <v>#REF!</v>
      </c>
      <c r="BA65" s="41" t="e">
        <f t="shared" si="23"/>
        <v>#REF!</v>
      </c>
      <c r="BB65" s="41" t="e">
        <f t="shared" si="23"/>
        <v>#REF!</v>
      </c>
    </row>
    <row r="66" spans="28:54" hidden="1" x14ac:dyDescent="0.25">
      <c r="AB66" s="77"/>
      <c r="AC66" s="78" t="s">
        <v>47</v>
      </c>
      <c r="AD66" s="78">
        <v>0</v>
      </c>
      <c r="AE66" s="78"/>
      <c r="AF66" s="78"/>
      <c r="AG66" s="41" t="e">
        <f t="shared" si="22"/>
        <v>#REF!</v>
      </c>
      <c r="AH66" s="41" t="e">
        <f t="shared" si="22"/>
        <v>#REF!</v>
      </c>
      <c r="AI66" s="41" t="e">
        <f t="shared" si="22"/>
        <v>#REF!</v>
      </c>
      <c r="AJ66" s="41" t="e">
        <f t="shared" si="22"/>
        <v>#REF!</v>
      </c>
      <c r="AK66" s="41" t="e">
        <f t="shared" si="22"/>
        <v>#REF!</v>
      </c>
      <c r="AL66" s="41" t="e">
        <f t="shared" si="22"/>
        <v>#REF!</v>
      </c>
      <c r="AM66" s="41" t="e">
        <f t="shared" si="22"/>
        <v>#REF!</v>
      </c>
      <c r="AN66" s="41" t="e">
        <f t="shared" si="22"/>
        <v>#REF!</v>
      </c>
      <c r="AO66" s="41" t="e">
        <f t="shared" si="22"/>
        <v>#REF!</v>
      </c>
      <c r="AP66" s="41" t="e">
        <f t="shared" si="22"/>
        <v>#REF!</v>
      </c>
      <c r="AR66" s="43"/>
      <c r="AS66" s="41" t="e">
        <f t="shared" si="23"/>
        <v>#REF!</v>
      </c>
      <c r="AT66" s="41" t="e">
        <f t="shared" si="23"/>
        <v>#REF!</v>
      </c>
      <c r="AU66" s="41" t="e">
        <f t="shared" si="23"/>
        <v>#REF!</v>
      </c>
      <c r="AV66" s="41" t="e">
        <f t="shared" si="23"/>
        <v>#REF!</v>
      </c>
      <c r="AW66" s="41" t="e">
        <f t="shared" si="23"/>
        <v>#REF!</v>
      </c>
      <c r="AX66" s="41" t="e">
        <f t="shared" si="23"/>
        <v>#REF!</v>
      </c>
      <c r="AY66" s="41" t="e">
        <f t="shared" si="23"/>
        <v>#REF!</v>
      </c>
      <c r="AZ66" s="41" t="e">
        <f t="shared" si="23"/>
        <v>#REF!</v>
      </c>
      <c r="BA66" s="41" t="e">
        <f t="shared" si="23"/>
        <v>#REF!</v>
      </c>
      <c r="BB66" s="41" t="e">
        <f t="shared" si="23"/>
        <v>#REF!</v>
      </c>
    </row>
    <row r="67" spans="28:54" hidden="1" x14ac:dyDescent="0.25">
      <c r="AB67" s="77"/>
      <c r="AC67" s="78" t="s">
        <v>48</v>
      </c>
      <c r="AD67" s="78">
        <v>14.601599999999999</v>
      </c>
      <c r="AE67" s="78"/>
      <c r="AF67" s="78"/>
      <c r="AG67" s="41" t="e">
        <f t="shared" si="22"/>
        <v>#REF!</v>
      </c>
      <c r="AH67" s="41" t="e">
        <f t="shared" si="22"/>
        <v>#REF!</v>
      </c>
      <c r="AI67" s="41" t="e">
        <f t="shared" si="22"/>
        <v>#REF!</v>
      </c>
      <c r="AJ67" s="41" t="e">
        <f t="shared" si="22"/>
        <v>#REF!</v>
      </c>
      <c r="AK67" s="41" t="e">
        <f t="shared" si="22"/>
        <v>#REF!</v>
      </c>
      <c r="AL67" s="41" t="e">
        <f t="shared" si="22"/>
        <v>#REF!</v>
      </c>
      <c r="AM67" s="41" t="e">
        <f t="shared" si="22"/>
        <v>#REF!</v>
      </c>
      <c r="AN67" s="41" t="e">
        <f t="shared" si="22"/>
        <v>#REF!</v>
      </c>
      <c r="AO67" s="41" t="e">
        <f t="shared" si="22"/>
        <v>#REF!</v>
      </c>
      <c r="AP67" s="41" t="e">
        <f t="shared" si="22"/>
        <v>#REF!</v>
      </c>
      <c r="AR67" s="43"/>
      <c r="AS67" s="41" t="e">
        <f t="shared" si="23"/>
        <v>#REF!</v>
      </c>
      <c r="AT67" s="41" t="e">
        <f t="shared" si="23"/>
        <v>#REF!</v>
      </c>
      <c r="AU67" s="41" t="e">
        <f t="shared" si="23"/>
        <v>#REF!</v>
      </c>
      <c r="AV67" s="41" t="e">
        <f t="shared" si="23"/>
        <v>#REF!</v>
      </c>
      <c r="AW67" s="41" t="e">
        <f t="shared" si="23"/>
        <v>#REF!</v>
      </c>
      <c r="AX67" s="41" t="e">
        <f t="shared" si="23"/>
        <v>#REF!</v>
      </c>
      <c r="AY67" s="41" t="e">
        <f t="shared" si="23"/>
        <v>#REF!</v>
      </c>
      <c r="AZ67" s="41" t="e">
        <f t="shared" si="23"/>
        <v>#REF!</v>
      </c>
      <c r="BA67" s="41" t="e">
        <f t="shared" si="23"/>
        <v>#REF!</v>
      </c>
      <c r="BB67" s="41" t="e">
        <f t="shared" si="23"/>
        <v>#REF!</v>
      </c>
    </row>
    <row r="68" spans="28:54" hidden="1" x14ac:dyDescent="0.25">
      <c r="AB68" s="77"/>
      <c r="AC68" s="78" t="s">
        <v>49</v>
      </c>
      <c r="AD68" s="78">
        <v>14.570489999999999</v>
      </c>
      <c r="AE68" s="78"/>
      <c r="AF68" s="78"/>
      <c r="AG68" s="41" t="e">
        <f t="shared" si="22"/>
        <v>#REF!</v>
      </c>
      <c r="AH68" s="41" t="e">
        <f t="shared" si="22"/>
        <v>#REF!</v>
      </c>
      <c r="AI68" s="41" t="e">
        <f t="shared" si="22"/>
        <v>#REF!</v>
      </c>
      <c r="AJ68" s="41" t="e">
        <f t="shared" si="22"/>
        <v>#REF!</v>
      </c>
      <c r="AK68" s="41" t="e">
        <f t="shared" si="22"/>
        <v>#REF!</v>
      </c>
      <c r="AL68" s="41" t="e">
        <f t="shared" si="22"/>
        <v>#REF!</v>
      </c>
      <c r="AM68" s="41" t="e">
        <f t="shared" si="22"/>
        <v>#REF!</v>
      </c>
      <c r="AN68" s="41" t="e">
        <f t="shared" si="22"/>
        <v>#REF!</v>
      </c>
      <c r="AO68" s="41" t="e">
        <f t="shared" si="22"/>
        <v>#REF!</v>
      </c>
      <c r="AP68" s="41" t="e">
        <f t="shared" si="22"/>
        <v>#REF!</v>
      </c>
      <c r="AR68" s="43"/>
      <c r="AS68" s="41" t="e">
        <f t="shared" si="23"/>
        <v>#REF!</v>
      </c>
      <c r="AT68" s="41" t="e">
        <f t="shared" si="23"/>
        <v>#REF!</v>
      </c>
      <c r="AU68" s="41" t="e">
        <f t="shared" si="23"/>
        <v>#REF!</v>
      </c>
      <c r="AV68" s="41" t="e">
        <f t="shared" si="23"/>
        <v>#REF!</v>
      </c>
      <c r="AW68" s="41" t="e">
        <f t="shared" si="23"/>
        <v>#REF!</v>
      </c>
      <c r="AX68" s="41" t="e">
        <f t="shared" si="23"/>
        <v>#REF!</v>
      </c>
      <c r="AY68" s="41" t="e">
        <f t="shared" si="23"/>
        <v>#REF!</v>
      </c>
      <c r="AZ68" s="41" t="e">
        <f t="shared" si="23"/>
        <v>#REF!</v>
      </c>
      <c r="BA68" s="41" t="e">
        <f t="shared" si="23"/>
        <v>#REF!</v>
      </c>
      <c r="BB68" s="41" t="e">
        <f t="shared" si="23"/>
        <v>#REF!</v>
      </c>
    </row>
    <row r="69" spans="28:54" hidden="1" x14ac:dyDescent="0.25">
      <c r="AB69" s="77"/>
      <c r="AC69" s="78" t="s">
        <v>50</v>
      </c>
      <c r="AD69" s="78">
        <v>14.14584</v>
      </c>
      <c r="AE69" s="78"/>
      <c r="AF69" s="78"/>
      <c r="AG69" s="41" t="e">
        <f t="shared" si="22"/>
        <v>#REF!</v>
      </c>
      <c r="AH69" s="41" t="e">
        <f t="shared" si="22"/>
        <v>#REF!</v>
      </c>
      <c r="AI69" s="41" t="e">
        <f t="shared" si="22"/>
        <v>#REF!</v>
      </c>
      <c r="AJ69" s="41" t="e">
        <f t="shared" si="22"/>
        <v>#REF!</v>
      </c>
      <c r="AK69" s="41" t="e">
        <f t="shared" si="22"/>
        <v>#REF!</v>
      </c>
      <c r="AL69" s="41" t="e">
        <f t="shared" si="22"/>
        <v>#REF!</v>
      </c>
      <c r="AM69" s="41" t="e">
        <f t="shared" si="22"/>
        <v>#REF!</v>
      </c>
      <c r="AN69" s="41" t="e">
        <f t="shared" si="22"/>
        <v>#REF!</v>
      </c>
      <c r="AO69" s="41" t="e">
        <f t="shared" si="22"/>
        <v>#REF!</v>
      </c>
      <c r="AP69" s="41" t="e">
        <f t="shared" si="22"/>
        <v>#REF!</v>
      </c>
      <c r="AR69" s="43"/>
      <c r="AS69" s="41" t="e">
        <f t="shared" si="23"/>
        <v>#REF!</v>
      </c>
      <c r="AT69" s="41" t="e">
        <f t="shared" si="23"/>
        <v>#REF!</v>
      </c>
      <c r="AU69" s="41" t="e">
        <f t="shared" si="23"/>
        <v>#REF!</v>
      </c>
      <c r="AV69" s="41" t="e">
        <f t="shared" si="23"/>
        <v>#REF!</v>
      </c>
      <c r="AW69" s="41" t="e">
        <f t="shared" si="23"/>
        <v>#REF!</v>
      </c>
      <c r="AX69" s="41" t="e">
        <f t="shared" si="23"/>
        <v>#REF!</v>
      </c>
      <c r="AY69" s="41" t="e">
        <f t="shared" si="23"/>
        <v>#REF!</v>
      </c>
      <c r="AZ69" s="41" t="e">
        <f t="shared" si="23"/>
        <v>#REF!</v>
      </c>
      <c r="BA69" s="41" t="e">
        <f t="shared" si="23"/>
        <v>#REF!</v>
      </c>
      <c r="BB69" s="41" t="e">
        <f t="shared" si="23"/>
        <v>#REF!</v>
      </c>
    </row>
    <row r="70" spans="28:54" hidden="1" x14ac:dyDescent="0.25">
      <c r="AR70" s="43"/>
    </row>
    <row r="71" spans="28:54" hidden="1" x14ac:dyDescent="0.25">
      <c r="AR71" s="43"/>
    </row>
    <row r="72" spans="28:54" ht="66" hidden="1" x14ac:dyDescent="0.25">
      <c r="AB72" s="79" t="s">
        <v>53</v>
      </c>
      <c r="AC72" s="80"/>
      <c r="AD72" s="81"/>
      <c r="AE72" s="81"/>
      <c r="AF72" s="81"/>
      <c r="AG72" s="74" t="s">
        <v>66</v>
      </c>
      <c r="AH72" s="74" t="s">
        <v>84</v>
      </c>
      <c r="AI72" s="74" t="s">
        <v>68</v>
      </c>
      <c r="AJ72" s="74" t="s">
        <v>69</v>
      </c>
      <c r="AK72" s="74" t="s">
        <v>70</v>
      </c>
      <c r="AL72" s="74" t="s">
        <v>71</v>
      </c>
      <c r="AM72" s="75" t="s">
        <v>86</v>
      </c>
      <c r="AN72" s="75" t="s">
        <v>87</v>
      </c>
      <c r="AO72" s="75" t="s">
        <v>72</v>
      </c>
      <c r="AP72" s="75" t="s">
        <v>73</v>
      </c>
      <c r="AQ72" s="75"/>
      <c r="AR72" s="52"/>
      <c r="AS72" s="74" t="s">
        <v>66</v>
      </c>
      <c r="AT72" s="74" t="s">
        <v>84</v>
      </c>
      <c r="AU72" s="74" t="s">
        <v>85</v>
      </c>
      <c r="AV72" s="74" t="s">
        <v>69</v>
      </c>
      <c r="AW72" s="74" t="s">
        <v>70</v>
      </c>
      <c r="AX72" s="74" t="s">
        <v>71</v>
      </c>
      <c r="AY72" s="75" t="s">
        <v>86</v>
      </c>
      <c r="AZ72" s="75" t="s">
        <v>87</v>
      </c>
      <c r="BA72" s="76" t="s">
        <v>72</v>
      </c>
      <c r="BB72" s="74" t="s">
        <v>73</v>
      </c>
    </row>
    <row r="73" spans="28:54" hidden="1" x14ac:dyDescent="0.25">
      <c r="AB73" s="82" t="s">
        <v>54</v>
      </c>
      <c r="AC73" s="40"/>
      <c r="AH73" s="83"/>
      <c r="AR73" s="43"/>
    </row>
    <row r="74" spans="28:54" hidden="1" x14ac:dyDescent="0.25">
      <c r="AB74" s="84" t="s">
        <v>39</v>
      </c>
      <c r="AC74" s="40"/>
      <c r="AG74" s="83" t="e">
        <f t="shared" ref="AG74:AP74" si="24">AG39+AG41+AG42</f>
        <v>#REF!</v>
      </c>
      <c r="AH74" s="83" t="e">
        <f t="shared" si="24"/>
        <v>#REF!</v>
      </c>
      <c r="AI74" s="83" t="e">
        <f t="shared" si="24"/>
        <v>#REF!</v>
      </c>
      <c r="AJ74" s="83" t="e">
        <f t="shared" si="24"/>
        <v>#REF!</v>
      </c>
      <c r="AK74" s="83" t="e">
        <f t="shared" si="24"/>
        <v>#REF!</v>
      </c>
      <c r="AL74" s="83" t="e">
        <f t="shared" si="24"/>
        <v>#REF!</v>
      </c>
      <c r="AM74" s="83" t="e">
        <f t="shared" si="24"/>
        <v>#REF!</v>
      </c>
      <c r="AN74" s="83" t="e">
        <f t="shared" si="24"/>
        <v>#REF!</v>
      </c>
      <c r="AO74" s="83" t="e">
        <f t="shared" si="24"/>
        <v>#REF!</v>
      </c>
      <c r="AP74" s="83" t="e">
        <f t="shared" si="24"/>
        <v>#REF!</v>
      </c>
      <c r="AQ74" s="83"/>
      <c r="AR74" s="83"/>
      <c r="AS74" s="83" t="e">
        <f t="shared" ref="AS74:BB74" si="25">AS39+AS41+AS42</f>
        <v>#REF!</v>
      </c>
      <c r="AT74" s="83" t="e">
        <f t="shared" si="25"/>
        <v>#REF!</v>
      </c>
      <c r="AU74" s="83" t="e">
        <f t="shared" si="25"/>
        <v>#REF!</v>
      </c>
      <c r="AV74" s="83" t="e">
        <f t="shared" si="25"/>
        <v>#REF!</v>
      </c>
      <c r="AW74" s="83" t="e">
        <f t="shared" si="25"/>
        <v>#REF!</v>
      </c>
      <c r="AX74" s="83" t="e">
        <f t="shared" si="25"/>
        <v>#REF!</v>
      </c>
      <c r="AY74" s="83" t="e">
        <f t="shared" si="25"/>
        <v>#REF!</v>
      </c>
      <c r="AZ74" s="83" t="e">
        <f t="shared" si="25"/>
        <v>#REF!</v>
      </c>
      <c r="BA74" s="83" t="e">
        <f t="shared" si="25"/>
        <v>#REF!</v>
      </c>
      <c r="BB74" s="83" t="e">
        <f t="shared" si="25"/>
        <v>#REF!</v>
      </c>
    </row>
    <row r="75" spans="28:54" hidden="1" x14ac:dyDescent="0.25">
      <c r="AB75" s="84" t="s">
        <v>51</v>
      </c>
      <c r="AC75" s="40"/>
      <c r="AG75" s="83" t="e">
        <f t="shared" ref="AG75:AP75" si="26">AG50+AG52+AG53</f>
        <v>#REF!</v>
      </c>
      <c r="AH75" s="83" t="e">
        <f t="shared" si="26"/>
        <v>#REF!</v>
      </c>
      <c r="AI75" s="83" t="e">
        <f t="shared" si="26"/>
        <v>#REF!</v>
      </c>
      <c r="AJ75" s="83" t="e">
        <f t="shared" si="26"/>
        <v>#REF!</v>
      </c>
      <c r="AK75" s="83" t="e">
        <f t="shared" si="26"/>
        <v>#REF!</v>
      </c>
      <c r="AL75" s="83" t="e">
        <f t="shared" si="26"/>
        <v>#REF!</v>
      </c>
      <c r="AM75" s="83" t="e">
        <f t="shared" si="26"/>
        <v>#REF!</v>
      </c>
      <c r="AN75" s="83" t="e">
        <f t="shared" si="26"/>
        <v>#REF!</v>
      </c>
      <c r="AO75" s="83" t="e">
        <f t="shared" si="26"/>
        <v>#REF!</v>
      </c>
      <c r="AP75" s="83" t="e">
        <f t="shared" si="26"/>
        <v>#REF!</v>
      </c>
      <c r="AQ75" s="83"/>
      <c r="AR75" s="83"/>
      <c r="AS75" s="83" t="e">
        <f t="shared" ref="AS75:BB75" si="27">AS50+AS52+AS53</f>
        <v>#REF!</v>
      </c>
      <c r="AT75" s="83" t="e">
        <f t="shared" si="27"/>
        <v>#REF!</v>
      </c>
      <c r="AU75" s="83" t="e">
        <f t="shared" si="27"/>
        <v>#REF!</v>
      </c>
      <c r="AV75" s="83" t="e">
        <f t="shared" si="27"/>
        <v>#REF!</v>
      </c>
      <c r="AW75" s="83" t="e">
        <f t="shared" si="27"/>
        <v>#REF!</v>
      </c>
      <c r="AX75" s="83" t="e">
        <f t="shared" si="27"/>
        <v>#REF!</v>
      </c>
      <c r="AY75" s="83" t="e">
        <f t="shared" si="27"/>
        <v>#REF!</v>
      </c>
      <c r="AZ75" s="83" t="e">
        <f t="shared" si="27"/>
        <v>#REF!</v>
      </c>
      <c r="BA75" s="83" t="e">
        <f t="shared" si="27"/>
        <v>#REF!</v>
      </c>
      <c r="BB75" s="83" t="e">
        <f t="shared" si="27"/>
        <v>#REF!</v>
      </c>
    </row>
    <row r="76" spans="28:54" hidden="1" x14ac:dyDescent="0.25">
      <c r="AB76" s="84" t="s">
        <v>52</v>
      </c>
      <c r="AC76" s="40"/>
      <c r="AG76" s="83" t="e">
        <f t="shared" ref="AG76:AP76" si="28">AG61+AG63+AG64</f>
        <v>#REF!</v>
      </c>
      <c r="AH76" s="83" t="e">
        <f t="shared" si="28"/>
        <v>#REF!</v>
      </c>
      <c r="AI76" s="83" t="e">
        <f t="shared" si="28"/>
        <v>#REF!</v>
      </c>
      <c r="AJ76" s="83" t="e">
        <f t="shared" si="28"/>
        <v>#REF!</v>
      </c>
      <c r="AK76" s="83" t="e">
        <f t="shared" si="28"/>
        <v>#REF!</v>
      </c>
      <c r="AL76" s="83" t="e">
        <f t="shared" si="28"/>
        <v>#REF!</v>
      </c>
      <c r="AM76" s="83" t="e">
        <f t="shared" si="28"/>
        <v>#REF!</v>
      </c>
      <c r="AN76" s="83" t="e">
        <f t="shared" si="28"/>
        <v>#REF!</v>
      </c>
      <c r="AO76" s="83" t="e">
        <f t="shared" si="28"/>
        <v>#REF!</v>
      </c>
      <c r="AP76" s="83" t="e">
        <f t="shared" si="28"/>
        <v>#REF!</v>
      </c>
      <c r="AQ76" s="83"/>
      <c r="AR76" s="83"/>
      <c r="AS76" s="83" t="e">
        <f t="shared" ref="AS76:BB76" si="29">AS61+AS63+AS64</f>
        <v>#REF!</v>
      </c>
      <c r="AT76" s="83" t="e">
        <f t="shared" si="29"/>
        <v>#REF!</v>
      </c>
      <c r="AU76" s="83" t="e">
        <f t="shared" si="29"/>
        <v>#REF!</v>
      </c>
      <c r="AV76" s="83" t="e">
        <f t="shared" si="29"/>
        <v>#REF!</v>
      </c>
      <c r="AW76" s="83" t="e">
        <f t="shared" si="29"/>
        <v>#REF!</v>
      </c>
      <c r="AX76" s="83" t="e">
        <f t="shared" si="29"/>
        <v>#REF!</v>
      </c>
      <c r="AY76" s="83" t="e">
        <f t="shared" si="29"/>
        <v>#REF!</v>
      </c>
      <c r="AZ76" s="83" t="e">
        <f t="shared" si="29"/>
        <v>#REF!</v>
      </c>
      <c r="BA76" s="83" t="e">
        <f t="shared" si="29"/>
        <v>#REF!</v>
      </c>
      <c r="BB76" s="83" t="e">
        <f t="shared" si="29"/>
        <v>#REF!</v>
      </c>
    </row>
    <row r="77" spans="28:54" hidden="1" x14ac:dyDescent="0.25">
      <c r="AB77" s="82" t="s">
        <v>55</v>
      </c>
      <c r="AC77" s="40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</row>
    <row r="78" spans="28:54" hidden="1" x14ac:dyDescent="0.25">
      <c r="AB78" s="84" t="s">
        <v>39</v>
      </c>
      <c r="AC78" s="40"/>
      <c r="AG78" s="83" t="e">
        <f t="shared" ref="AG78:AP78" si="30">AG39+AG41+AG43+AG45</f>
        <v>#REF!</v>
      </c>
      <c r="AH78" s="83" t="e">
        <f t="shared" si="30"/>
        <v>#REF!</v>
      </c>
      <c r="AI78" s="83" t="e">
        <f t="shared" si="30"/>
        <v>#REF!</v>
      </c>
      <c r="AJ78" s="83" t="e">
        <f t="shared" si="30"/>
        <v>#REF!</v>
      </c>
      <c r="AK78" s="83" t="e">
        <f t="shared" si="30"/>
        <v>#REF!</v>
      </c>
      <c r="AL78" s="83" t="e">
        <f t="shared" si="30"/>
        <v>#REF!</v>
      </c>
      <c r="AM78" s="83" t="e">
        <f t="shared" si="30"/>
        <v>#REF!</v>
      </c>
      <c r="AN78" s="83" t="e">
        <f t="shared" si="30"/>
        <v>#REF!</v>
      </c>
      <c r="AO78" s="83" t="e">
        <f t="shared" si="30"/>
        <v>#REF!</v>
      </c>
      <c r="AP78" s="83" t="e">
        <f t="shared" si="30"/>
        <v>#REF!</v>
      </c>
      <c r="AQ78" s="83"/>
      <c r="AR78" s="83"/>
      <c r="AS78" s="83" t="e">
        <f t="shared" ref="AS78:BB78" si="31">AS39+AS41+AS43+AS45</f>
        <v>#REF!</v>
      </c>
      <c r="AT78" s="83" t="e">
        <f t="shared" si="31"/>
        <v>#REF!</v>
      </c>
      <c r="AU78" s="83" t="e">
        <f t="shared" si="31"/>
        <v>#REF!</v>
      </c>
      <c r="AV78" s="83" t="e">
        <f t="shared" si="31"/>
        <v>#REF!</v>
      </c>
      <c r="AW78" s="83" t="e">
        <f t="shared" si="31"/>
        <v>#REF!</v>
      </c>
      <c r="AX78" s="83" t="e">
        <f t="shared" si="31"/>
        <v>#REF!</v>
      </c>
      <c r="AY78" s="83" t="e">
        <f t="shared" si="31"/>
        <v>#REF!</v>
      </c>
      <c r="AZ78" s="83" t="e">
        <f t="shared" si="31"/>
        <v>#REF!</v>
      </c>
      <c r="BA78" s="83" t="e">
        <f t="shared" si="31"/>
        <v>#REF!</v>
      </c>
      <c r="BB78" s="83" t="e">
        <f t="shared" si="31"/>
        <v>#REF!</v>
      </c>
    </row>
    <row r="79" spans="28:54" hidden="1" x14ac:dyDescent="0.25">
      <c r="AB79" s="84" t="s">
        <v>51</v>
      </c>
      <c r="AC79" s="40"/>
      <c r="AG79" s="83" t="e">
        <f t="shared" ref="AG79:AP79" si="32">AG50+AG52+AG54+AG56</f>
        <v>#REF!</v>
      </c>
      <c r="AH79" s="83" t="e">
        <f t="shared" si="32"/>
        <v>#REF!</v>
      </c>
      <c r="AI79" s="83" t="e">
        <f t="shared" si="32"/>
        <v>#REF!</v>
      </c>
      <c r="AJ79" s="83" t="e">
        <f t="shared" si="32"/>
        <v>#REF!</v>
      </c>
      <c r="AK79" s="83" t="e">
        <f t="shared" si="32"/>
        <v>#REF!</v>
      </c>
      <c r="AL79" s="83" t="e">
        <f t="shared" si="32"/>
        <v>#REF!</v>
      </c>
      <c r="AM79" s="83" t="e">
        <f t="shared" si="32"/>
        <v>#REF!</v>
      </c>
      <c r="AN79" s="83" t="e">
        <f t="shared" si="32"/>
        <v>#REF!</v>
      </c>
      <c r="AO79" s="83" t="e">
        <f t="shared" si="32"/>
        <v>#REF!</v>
      </c>
      <c r="AP79" s="83" t="e">
        <f t="shared" si="32"/>
        <v>#REF!</v>
      </c>
      <c r="AQ79" s="83"/>
      <c r="AR79" s="83"/>
      <c r="AS79" s="83" t="e">
        <f t="shared" ref="AS79:BB79" si="33">AS50+AS52+AS54+AS56</f>
        <v>#REF!</v>
      </c>
      <c r="AT79" s="83" t="e">
        <f t="shared" si="33"/>
        <v>#REF!</v>
      </c>
      <c r="AU79" s="83" t="e">
        <f t="shared" si="33"/>
        <v>#REF!</v>
      </c>
      <c r="AV79" s="83" t="e">
        <f t="shared" si="33"/>
        <v>#REF!</v>
      </c>
      <c r="AW79" s="83" t="e">
        <f t="shared" si="33"/>
        <v>#REF!</v>
      </c>
      <c r="AX79" s="83" t="e">
        <f t="shared" si="33"/>
        <v>#REF!</v>
      </c>
      <c r="AY79" s="83" t="e">
        <f t="shared" si="33"/>
        <v>#REF!</v>
      </c>
      <c r="AZ79" s="83" t="e">
        <f t="shared" si="33"/>
        <v>#REF!</v>
      </c>
      <c r="BA79" s="83" t="e">
        <f t="shared" si="33"/>
        <v>#REF!</v>
      </c>
      <c r="BB79" s="83" t="e">
        <f t="shared" si="33"/>
        <v>#REF!</v>
      </c>
    </row>
    <row r="80" spans="28:54" hidden="1" x14ac:dyDescent="0.25">
      <c r="AB80" s="84" t="s">
        <v>52</v>
      </c>
      <c r="AC80" s="40"/>
      <c r="AG80" s="83" t="e">
        <f t="shared" ref="AG80:AP80" si="34">AG61+AG63+AG65+AG67</f>
        <v>#REF!</v>
      </c>
      <c r="AH80" s="83" t="e">
        <f t="shared" si="34"/>
        <v>#REF!</v>
      </c>
      <c r="AI80" s="83" t="e">
        <f t="shared" si="34"/>
        <v>#REF!</v>
      </c>
      <c r="AJ80" s="83" t="e">
        <f t="shared" si="34"/>
        <v>#REF!</v>
      </c>
      <c r="AK80" s="83" t="e">
        <f t="shared" si="34"/>
        <v>#REF!</v>
      </c>
      <c r="AL80" s="83" t="e">
        <f t="shared" si="34"/>
        <v>#REF!</v>
      </c>
      <c r="AM80" s="83" t="e">
        <f t="shared" si="34"/>
        <v>#REF!</v>
      </c>
      <c r="AN80" s="83" t="e">
        <f t="shared" si="34"/>
        <v>#REF!</v>
      </c>
      <c r="AO80" s="83" t="e">
        <f t="shared" si="34"/>
        <v>#REF!</v>
      </c>
      <c r="AP80" s="83" t="e">
        <f t="shared" si="34"/>
        <v>#REF!</v>
      </c>
      <c r="AQ80" s="83"/>
      <c r="AR80" s="83"/>
      <c r="AS80" s="83" t="e">
        <f t="shared" ref="AS80:BB80" si="35">AS61+AS63+AS65+AS67</f>
        <v>#REF!</v>
      </c>
      <c r="AT80" s="83" t="e">
        <f t="shared" si="35"/>
        <v>#REF!</v>
      </c>
      <c r="AU80" s="83" t="e">
        <f t="shared" si="35"/>
        <v>#REF!</v>
      </c>
      <c r="AV80" s="83" t="e">
        <f t="shared" si="35"/>
        <v>#REF!</v>
      </c>
      <c r="AW80" s="83" t="e">
        <f t="shared" si="35"/>
        <v>#REF!</v>
      </c>
      <c r="AX80" s="83" t="e">
        <f t="shared" si="35"/>
        <v>#REF!</v>
      </c>
      <c r="AY80" s="83" t="e">
        <f t="shared" si="35"/>
        <v>#REF!</v>
      </c>
      <c r="AZ80" s="83" t="e">
        <f t="shared" si="35"/>
        <v>#REF!</v>
      </c>
      <c r="BA80" s="83" t="e">
        <f t="shared" si="35"/>
        <v>#REF!</v>
      </c>
      <c r="BB80" s="83" t="e">
        <f t="shared" si="35"/>
        <v>#REF!</v>
      </c>
    </row>
    <row r="81" spans="28:54" hidden="1" x14ac:dyDescent="0.25">
      <c r="AB81" s="82" t="s">
        <v>56</v>
      </c>
      <c r="AC81" s="40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</row>
    <row r="82" spans="28:54" hidden="1" x14ac:dyDescent="0.25">
      <c r="AB82" s="84" t="s">
        <v>39</v>
      </c>
      <c r="AC82" s="40"/>
      <c r="AG82" s="83" t="e">
        <f t="shared" ref="AG82:AP82" si="36">AG39+AG41+AG43+AG44+AG46</f>
        <v>#REF!</v>
      </c>
      <c r="AH82" s="83" t="e">
        <f t="shared" si="36"/>
        <v>#REF!</v>
      </c>
      <c r="AI82" s="83" t="e">
        <f t="shared" si="36"/>
        <v>#REF!</v>
      </c>
      <c r="AJ82" s="83" t="e">
        <f t="shared" si="36"/>
        <v>#REF!</v>
      </c>
      <c r="AK82" s="83" t="e">
        <f t="shared" si="36"/>
        <v>#REF!</v>
      </c>
      <c r="AL82" s="83" t="e">
        <f t="shared" si="36"/>
        <v>#REF!</v>
      </c>
      <c r="AM82" s="83" t="e">
        <f t="shared" si="36"/>
        <v>#REF!</v>
      </c>
      <c r="AN82" s="83" t="e">
        <f t="shared" si="36"/>
        <v>#REF!</v>
      </c>
      <c r="AO82" s="83" t="e">
        <f t="shared" si="36"/>
        <v>#REF!</v>
      </c>
      <c r="AP82" s="83" t="e">
        <f t="shared" si="36"/>
        <v>#REF!</v>
      </c>
      <c r="AQ82" s="83"/>
      <c r="AR82" s="83"/>
      <c r="AS82" s="83" t="e">
        <f t="shared" ref="AS82:BB82" si="37">AS39+AS41+AS43+AS44+AS46</f>
        <v>#REF!</v>
      </c>
      <c r="AT82" s="83" t="e">
        <f t="shared" si="37"/>
        <v>#REF!</v>
      </c>
      <c r="AU82" s="83" t="e">
        <f t="shared" si="37"/>
        <v>#REF!</v>
      </c>
      <c r="AV82" s="83" t="e">
        <f t="shared" si="37"/>
        <v>#REF!</v>
      </c>
      <c r="AW82" s="83" t="e">
        <f t="shared" si="37"/>
        <v>#REF!</v>
      </c>
      <c r="AX82" s="83" t="e">
        <f t="shared" si="37"/>
        <v>#REF!</v>
      </c>
      <c r="AY82" s="83" t="e">
        <f t="shared" si="37"/>
        <v>#REF!</v>
      </c>
      <c r="AZ82" s="83" t="e">
        <f t="shared" si="37"/>
        <v>#REF!</v>
      </c>
      <c r="BA82" s="83" t="e">
        <f t="shared" si="37"/>
        <v>#REF!</v>
      </c>
      <c r="BB82" s="83" t="e">
        <f t="shared" si="37"/>
        <v>#REF!</v>
      </c>
    </row>
    <row r="83" spans="28:54" hidden="1" x14ac:dyDescent="0.25">
      <c r="AB83" s="84" t="s">
        <v>51</v>
      </c>
      <c r="AC83" s="40"/>
      <c r="AG83" s="83" t="e">
        <f t="shared" ref="AG83:AP83" si="38">AG50+AG52+AG54+AG55+AG57</f>
        <v>#REF!</v>
      </c>
      <c r="AH83" s="83" t="e">
        <f t="shared" si="38"/>
        <v>#REF!</v>
      </c>
      <c r="AI83" s="83" t="e">
        <f t="shared" si="38"/>
        <v>#REF!</v>
      </c>
      <c r="AJ83" s="83" t="e">
        <f t="shared" si="38"/>
        <v>#REF!</v>
      </c>
      <c r="AK83" s="83" t="e">
        <f t="shared" si="38"/>
        <v>#REF!</v>
      </c>
      <c r="AL83" s="83" t="e">
        <f t="shared" si="38"/>
        <v>#REF!</v>
      </c>
      <c r="AM83" s="83" t="e">
        <f t="shared" si="38"/>
        <v>#REF!</v>
      </c>
      <c r="AN83" s="83" t="e">
        <f t="shared" si="38"/>
        <v>#REF!</v>
      </c>
      <c r="AO83" s="83" t="e">
        <f t="shared" si="38"/>
        <v>#REF!</v>
      </c>
      <c r="AP83" s="83" t="e">
        <f t="shared" si="38"/>
        <v>#REF!</v>
      </c>
      <c r="AQ83" s="83"/>
      <c r="AR83" s="83"/>
      <c r="AS83" s="83" t="e">
        <f t="shared" ref="AS83:BB83" si="39">AS50+AS52+AS54+AS55+AS57</f>
        <v>#REF!</v>
      </c>
      <c r="AT83" s="83" t="e">
        <f t="shared" si="39"/>
        <v>#REF!</v>
      </c>
      <c r="AU83" s="83" t="e">
        <f t="shared" si="39"/>
        <v>#REF!</v>
      </c>
      <c r="AV83" s="83" t="e">
        <f t="shared" si="39"/>
        <v>#REF!</v>
      </c>
      <c r="AW83" s="83" t="e">
        <f t="shared" si="39"/>
        <v>#REF!</v>
      </c>
      <c r="AX83" s="83" t="e">
        <f t="shared" si="39"/>
        <v>#REF!</v>
      </c>
      <c r="AY83" s="83" t="e">
        <f t="shared" si="39"/>
        <v>#REF!</v>
      </c>
      <c r="AZ83" s="83" t="e">
        <f t="shared" si="39"/>
        <v>#REF!</v>
      </c>
      <c r="BA83" s="83" t="e">
        <f t="shared" si="39"/>
        <v>#REF!</v>
      </c>
      <c r="BB83" s="83" t="e">
        <f t="shared" si="39"/>
        <v>#REF!</v>
      </c>
    </row>
    <row r="84" spans="28:54" hidden="1" x14ac:dyDescent="0.25">
      <c r="AB84" s="84" t="s">
        <v>52</v>
      </c>
      <c r="AC84" s="40"/>
      <c r="AG84" s="83" t="e">
        <f t="shared" ref="AG84:AP84" si="40">AG61+AG63+AG65+AG66+AG68</f>
        <v>#REF!</v>
      </c>
      <c r="AH84" s="83" t="e">
        <f t="shared" si="40"/>
        <v>#REF!</v>
      </c>
      <c r="AI84" s="83" t="e">
        <f t="shared" si="40"/>
        <v>#REF!</v>
      </c>
      <c r="AJ84" s="83" t="e">
        <f t="shared" si="40"/>
        <v>#REF!</v>
      </c>
      <c r="AK84" s="83" t="e">
        <f t="shared" si="40"/>
        <v>#REF!</v>
      </c>
      <c r="AL84" s="83" t="e">
        <f t="shared" si="40"/>
        <v>#REF!</v>
      </c>
      <c r="AM84" s="83" t="e">
        <f t="shared" si="40"/>
        <v>#REF!</v>
      </c>
      <c r="AN84" s="83" t="e">
        <f t="shared" si="40"/>
        <v>#REF!</v>
      </c>
      <c r="AO84" s="83" t="e">
        <f t="shared" si="40"/>
        <v>#REF!</v>
      </c>
      <c r="AP84" s="83" t="e">
        <f t="shared" si="40"/>
        <v>#REF!</v>
      </c>
      <c r="AQ84" s="83"/>
      <c r="AR84" s="83"/>
      <c r="AS84" s="83" t="e">
        <f t="shared" ref="AS84:BB84" si="41">AS61+AS63+AS65+AS66+AS68</f>
        <v>#REF!</v>
      </c>
      <c r="AT84" s="83" t="e">
        <f t="shared" si="41"/>
        <v>#REF!</v>
      </c>
      <c r="AU84" s="83" t="e">
        <f t="shared" si="41"/>
        <v>#REF!</v>
      </c>
      <c r="AV84" s="83" t="e">
        <f t="shared" si="41"/>
        <v>#REF!</v>
      </c>
      <c r="AW84" s="83" t="e">
        <f t="shared" si="41"/>
        <v>#REF!</v>
      </c>
      <c r="AX84" s="83" t="e">
        <f t="shared" si="41"/>
        <v>#REF!</v>
      </c>
      <c r="AY84" s="83" t="e">
        <f t="shared" si="41"/>
        <v>#REF!</v>
      </c>
      <c r="AZ84" s="83" t="e">
        <f t="shared" si="41"/>
        <v>#REF!</v>
      </c>
      <c r="BA84" s="83" t="e">
        <f t="shared" si="41"/>
        <v>#REF!</v>
      </c>
      <c r="BB84" s="83" t="e">
        <f t="shared" si="41"/>
        <v>#REF!</v>
      </c>
    </row>
    <row r="85" spans="28:54" hidden="1" x14ac:dyDescent="0.25">
      <c r="AB85" s="82" t="s">
        <v>57</v>
      </c>
      <c r="AC85" s="40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</row>
    <row r="86" spans="28:54" hidden="1" x14ac:dyDescent="0.25">
      <c r="AB86" s="84" t="s">
        <v>39</v>
      </c>
      <c r="AC86" s="40"/>
      <c r="AG86" s="83" t="e">
        <f t="shared" ref="AG86:AP86" si="42">AG39+AG41+AG43+AG44+AG47</f>
        <v>#REF!</v>
      </c>
      <c r="AH86" s="83" t="e">
        <f t="shared" si="42"/>
        <v>#REF!</v>
      </c>
      <c r="AI86" s="83" t="e">
        <f t="shared" si="42"/>
        <v>#REF!</v>
      </c>
      <c r="AJ86" s="83" t="e">
        <f t="shared" si="42"/>
        <v>#REF!</v>
      </c>
      <c r="AK86" s="83" t="e">
        <f t="shared" si="42"/>
        <v>#REF!</v>
      </c>
      <c r="AL86" s="83" t="e">
        <f t="shared" si="42"/>
        <v>#REF!</v>
      </c>
      <c r="AM86" s="83" t="e">
        <f t="shared" si="42"/>
        <v>#REF!</v>
      </c>
      <c r="AN86" s="83" t="e">
        <f t="shared" si="42"/>
        <v>#REF!</v>
      </c>
      <c r="AO86" s="83" t="e">
        <f t="shared" si="42"/>
        <v>#REF!</v>
      </c>
      <c r="AP86" s="83" t="e">
        <f t="shared" si="42"/>
        <v>#REF!</v>
      </c>
      <c r="AQ86" s="83"/>
      <c r="AR86" s="83"/>
      <c r="AS86" s="83" t="e">
        <f t="shared" ref="AS86:BB86" si="43">AS39+AS41+AS43+AS44+AS47</f>
        <v>#REF!</v>
      </c>
      <c r="AT86" s="83" t="e">
        <f t="shared" si="43"/>
        <v>#REF!</v>
      </c>
      <c r="AU86" s="83" t="e">
        <f t="shared" si="43"/>
        <v>#REF!</v>
      </c>
      <c r="AV86" s="83" t="e">
        <f t="shared" si="43"/>
        <v>#REF!</v>
      </c>
      <c r="AW86" s="83" t="e">
        <f t="shared" si="43"/>
        <v>#REF!</v>
      </c>
      <c r="AX86" s="83" t="e">
        <f t="shared" si="43"/>
        <v>#REF!</v>
      </c>
      <c r="AY86" s="83" t="e">
        <f t="shared" si="43"/>
        <v>#REF!</v>
      </c>
      <c r="AZ86" s="83" t="e">
        <f t="shared" si="43"/>
        <v>#REF!</v>
      </c>
      <c r="BA86" s="83" t="e">
        <f t="shared" si="43"/>
        <v>#REF!</v>
      </c>
      <c r="BB86" s="83" t="e">
        <f t="shared" si="43"/>
        <v>#REF!</v>
      </c>
    </row>
    <row r="87" spans="28:54" hidden="1" x14ac:dyDescent="0.25">
      <c r="AB87" s="84" t="s">
        <v>51</v>
      </c>
      <c r="AC87" s="40"/>
      <c r="AG87" s="83" t="e">
        <f t="shared" ref="AG87:AP87" si="44">AG50+AG52+AG54+AG55+AG58</f>
        <v>#REF!</v>
      </c>
      <c r="AH87" s="83" t="e">
        <f t="shared" si="44"/>
        <v>#REF!</v>
      </c>
      <c r="AI87" s="83" t="e">
        <f t="shared" si="44"/>
        <v>#REF!</v>
      </c>
      <c r="AJ87" s="83" t="e">
        <f t="shared" si="44"/>
        <v>#REF!</v>
      </c>
      <c r="AK87" s="83" t="e">
        <f t="shared" si="44"/>
        <v>#REF!</v>
      </c>
      <c r="AL87" s="83" t="e">
        <f t="shared" si="44"/>
        <v>#REF!</v>
      </c>
      <c r="AM87" s="83" t="e">
        <f t="shared" si="44"/>
        <v>#REF!</v>
      </c>
      <c r="AN87" s="83" t="e">
        <f t="shared" si="44"/>
        <v>#REF!</v>
      </c>
      <c r="AO87" s="83" t="e">
        <f t="shared" si="44"/>
        <v>#REF!</v>
      </c>
      <c r="AP87" s="83" t="e">
        <f t="shared" si="44"/>
        <v>#REF!</v>
      </c>
      <c r="AQ87" s="83"/>
      <c r="AR87" s="83"/>
      <c r="AS87" s="83" t="e">
        <f t="shared" ref="AS87:BB87" si="45">AS50+AS52+AS54+AS55+AS58</f>
        <v>#REF!</v>
      </c>
      <c r="AT87" s="83" t="e">
        <f t="shared" si="45"/>
        <v>#REF!</v>
      </c>
      <c r="AU87" s="83" t="e">
        <f t="shared" si="45"/>
        <v>#REF!</v>
      </c>
      <c r="AV87" s="83" t="e">
        <f t="shared" si="45"/>
        <v>#REF!</v>
      </c>
      <c r="AW87" s="83" t="e">
        <f t="shared" si="45"/>
        <v>#REF!</v>
      </c>
      <c r="AX87" s="83" t="e">
        <f t="shared" si="45"/>
        <v>#REF!</v>
      </c>
      <c r="AY87" s="83" t="e">
        <f t="shared" si="45"/>
        <v>#REF!</v>
      </c>
      <c r="AZ87" s="83" t="e">
        <f t="shared" si="45"/>
        <v>#REF!</v>
      </c>
      <c r="BA87" s="83" t="e">
        <f t="shared" si="45"/>
        <v>#REF!</v>
      </c>
      <c r="BB87" s="83" t="e">
        <f t="shared" si="45"/>
        <v>#REF!</v>
      </c>
    </row>
    <row r="88" spans="28:54" hidden="1" x14ac:dyDescent="0.25">
      <c r="AB88" s="84" t="s">
        <v>52</v>
      </c>
      <c r="AC88" s="40"/>
      <c r="AG88" s="83" t="e">
        <f t="shared" ref="AG88:AP88" si="46">AG61+AG63+AG65+AG66+AG69</f>
        <v>#REF!</v>
      </c>
      <c r="AH88" s="83" t="e">
        <f t="shared" si="46"/>
        <v>#REF!</v>
      </c>
      <c r="AI88" s="83" t="e">
        <f t="shared" si="46"/>
        <v>#REF!</v>
      </c>
      <c r="AJ88" s="83" t="e">
        <f t="shared" si="46"/>
        <v>#REF!</v>
      </c>
      <c r="AK88" s="83" t="e">
        <f t="shared" si="46"/>
        <v>#REF!</v>
      </c>
      <c r="AL88" s="83" t="e">
        <f t="shared" si="46"/>
        <v>#REF!</v>
      </c>
      <c r="AM88" s="83" t="e">
        <f t="shared" si="46"/>
        <v>#REF!</v>
      </c>
      <c r="AN88" s="83" t="e">
        <f t="shared" si="46"/>
        <v>#REF!</v>
      </c>
      <c r="AO88" s="83" t="e">
        <f t="shared" si="46"/>
        <v>#REF!</v>
      </c>
      <c r="AP88" s="83" t="e">
        <f t="shared" si="46"/>
        <v>#REF!</v>
      </c>
      <c r="AQ88" s="83"/>
      <c r="AR88" s="83"/>
      <c r="AS88" s="83" t="e">
        <f t="shared" ref="AS88:BB88" si="47">AS61+AS63+AS65+AS66+AS69</f>
        <v>#REF!</v>
      </c>
      <c r="AT88" s="83" t="e">
        <f t="shared" si="47"/>
        <v>#REF!</v>
      </c>
      <c r="AU88" s="83" t="e">
        <f t="shared" si="47"/>
        <v>#REF!</v>
      </c>
      <c r="AV88" s="83" t="e">
        <f t="shared" si="47"/>
        <v>#REF!</v>
      </c>
      <c r="AW88" s="83" t="e">
        <f t="shared" si="47"/>
        <v>#REF!</v>
      </c>
      <c r="AX88" s="83" t="e">
        <f t="shared" si="47"/>
        <v>#REF!</v>
      </c>
      <c r="AY88" s="83" t="e">
        <f t="shared" si="47"/>
        <v>#REF!</v>
      </c>
      <c r="AZ88" s="83" t="e">
        <f t="shared" si="47"/>
        <v>#REF!</v>
      </c>
      <c r="BA88" s="83" t="e">
        <f t="shared" si="47"/>
        <v>#REF!</v>
      </c>
      <c r="BB88" s="83" t="e">
        <f t="shared" si="47"/>
        <v>#REF!</v>
      </c>
    </row>
    <row r="89" spans="28:54" hidden="1" x14ac:dyDescent="0.25">
      <c r="AB89" s="82" t="s">
        <v>58</v>
      </c>
      <c r="AC89" s="40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</row>
    <row r="90" spans="28:54" hidden="1" x14ac:dyDescent="0.25">
      <c r="AB90" s="84" t="s">
        <v>39</v>
      </c>
      <c r="AC90" s="40"/>
      <c r="AG90" s="83" t="e">
        <f t="shared" ref="AG90:AP90" si="48">AG39+AG40+AG45</f>
        <v>#REF!</v>
      </c>
      <c r="AH90" s="83" t="e">
        <f t="shared" si="48"/>
        <v>#REF!</v>
      </c>
      <c r="AI90" s="83" t="e">
        <f t="shared" si="48"/>
        <v>#REF!</v>
      </c>
      <c r="AJ90" s="83" t="e">
        <f t="shared" si="48"/>
        <v>#REF!</v>
      </c>
      <c r="AK90" s="83" t="e">
        <f t="shared" si="48"/>
        <v>#REF!</v>
      </c>
      <c r="AL90" s="83" t="e">
        <f t="shared" si="48"/>
        <v>#REF!</v>
      </c>
      <c r="AM90" s="83" t="e">
        <f t="shared" si="48"/>
        <v>#REF!</v>
      </c>
      <c r="AN90" s="83" t="e">
        <f t="shared" si="48"/>
        <v>#REF!</v>
      </c>
      <c r="AO90" s="83" t="e">
        <f t="shared" si="48"/>
        <v>#REF!</v>
      </c>
      <c r="AP90" s="83" t="e">
        <f t="shared" si="48"/>
        <v>#REF!</v>
      </c>
      <c r="AQ90" s="83"/>
      <c r="AR90" s="83"/>
      <c r="AS90" s="83" t="e">
        <f t="shared" ref="AS90:BB90" si="49">AS39+AS40+AS45</f>
        <v>#REF!</v>
      </c>
      <c r="AT90" s="83" t="e">
        <f t="shared" si="49"/>
        <v>#REF!</v>
      </c>
      <c r="AU90" s="83" t="e">
        <f t="shared" si="49"/>
        <v>#REF!</v>
      </c>
      <c r="AV90" s="83" t="e">
        <f t="shared" si="49"/>
        <v>#REF!</v>
      </c>
      <c r="AW90" s="83" t="e">
        <f t="shared" si="49"/>
        <v>#REF!</v>
      </c>
      <c r="AX90" s="83" t="e">
        <f t="shared" si="49"/>
        <v>#REF!</v>
      </c>
      <c r="AY90" s="83" t="e">
        <f t="shared" si="49"/>
        <v>#REF!</v>
      </c>
      <c r="AZ90" s="83" t="e">
        <f t="shared" si="49"/>
        <v>#REF!</v>
      </c>
      <c r="BA90" s="83" t="e">
        <f t="shared" si="49"/>
        <v>#REF!</v>
      </c>
      <c r="BB90" s="83" t="e">
        <f t="shared" si="49"/>
        <v>#REF!</v>
      </c>
    </row>
    <row r="91" spans="28:54" hidden="1" x14ac:dyDescent="0.25">
      <c r="AB91" s="84" t="s">
        <v>51</v>
      </c>
      <c r="AC91" s="40"/>
      <c r="AG91" s="83" t="e">
        <f t="shared" ref="AG91:AP91" si="50">AG50+AG51+AG56</f>
        <v>#REF!</v>
      </c>
      <c r="AH91" s="83" t="e">
        <f t="shared" si="50"/>
        <v>#REF!</v>
      </c>
      <c r="AI91" s="83" t="e">
        <f t="shared" si="50"/>
        <v>#REF!</v>
      </c>
      <c r="AJ91" s="83" t="e">
        <f t="shared" si="50"/>
        <v>#REF!</v>
      </c>
      <c r="AK91" s="83" t="e">
        <f t="shared" si="50"/>
        <v>#REF!</v>
      </c>
      <c r="AL91" s="83" t="e">
        <f t="shared" si="50"/>
        <v>#REF!</v>
      </c>
      <c r="AM91" s="83" t="e">
        <f t="shared" si="50"/>
        <v>#REF!</v>
      </c>
      <c r="AN91" s="83" t="e">
        <f t="shared" si="50"/>
        <v>#REF!</v>
      </c>
      <c r="AO91" s="83" t="e">
        <f t="shared" si="50"/>
        <v>#REF!</v>
      </c>
      <c r="AP91" s="83" t="e">
        <f t="shared" si="50"/>
        <v>#REF!</v>
      </c>
      <c r="AQ91" s="83"/>
      <c r="AR91" s="83"/>
      <c r="AS91" s="83" t="e">
        <f t="shared" ref="AS91:BB91" si="51">AS50+AS51+AS56</f>
        <v>#REF!</v>
      </c>
      <c r="AT91" s="83" t="e">
        <f t="shared" si="51"/>
        <v>#REF!</v>
      </c>
      <c r="AU91" s="83" t="e">
        <f t="shared" si="51"/>
        <v>#REF!</v>
      </c>
      <c r="AV91" s="83" t="e">
        <f t="shared" si="51"/>
        <v>#REF!</v>
      </c>
      <c r="AW91" s="83" t="e">
        <f t="shared" si="51"/>
        <v>#REF!</v>
      </c>
      <c r="AX91" s="83" t="e">
        <f t="shared" si="51"/>
        <v>#REF!</v>
      </c>
      <c r="AY91" s="83" t="e">
        <f t="shared" si="51"/>
        <v>#REF!</v>
      </c>
      <c r="AZ91" s="83" t="e">
        <f t="shared" si="51"/>
        <v>#REF!</v>
      </c>
      <c r="BA91" s="83" t="e">
        <f t="shared" si="51"/>
        <v>#REF!</v>
      </c>
      <c r="BB91" s="83" t="e">
        <f t="shared" si="51"/>
        <v>#REF!</v>
      </c>
    </row>
    <row r="92" spans="28:54" hidden="1" x14ac:dyDescent="0.25">
      <c r="AB92" s="84" t="s">
        <v>52</v>
      </c>
      <c r="AC92" s="40"/>
      <c r="AG92" s="83" t="e">
        <f t="shared" ref="AG92:AP92" si="52">AG61+AG62+AG67</f>
        <v>#REF!</v>
      </c>
      <c r="AH92" s="83" t="e">
        <f t="shared" si="52"/>
        <v>#REF!</v>
      </c>
      <c r="AI92" s="83" t="e">
        <f t="shared" si="52"/>
        <v>#REF!</v>
      </c>
      <c r="AJ92" s="83" t="e">
        <f t="shared" si="52"/>
        <v>#REF!</v>
      </c>
      <c r="AK92" s="83" t="e">
        <f t="shared" si="52"/>
        <v>#REF!</v>
      </c>
      <c r="AL92" s="83" t="e">
        <f t="shared" si="52"/>
        <v>#REF!</v>
      </c>
      <c r="AM92" s="83" t="e">
        <f t="shared" si="52"/>
        <v>#REF!</v>
      </c>
      <c r="AN92" s="83" t="e">
        <f t="shared" si="52"/>
        <v>#REF!</v>
      </c>
      <c r="AO92" s="83" t="e">
        <f t="shared" si="52"/>
        <v>#REF!</v>
      </c>
      <c r="AP92" s="83" t="e">
        <f t="shared" si="52"/>
        <v>#REF!</v>
      </c>
      <c r="AQ92" s="83"/>
      <c r="AR92" s="83"/>
      <c r="AS92" s="83" t="e">
        <f t="shared" ref="AS92:BB92" si="53">AS61+AS62+AS67</f>
        <v>#REF!</v>
      </c>
      <c r="AT92" s="83" t="e">
        <f t="shared" si="53"/>
        <v>#REF!</v>
      </c>
      <c r="AU92" s="83" t="e">
        <f t="shared" si="53"/>
        <v>#REF!</v>
      </c>
      <c r="AV92" s="83" t="e">
        <f t="shared" si="53"/>
        <v>#REF!</v>
      </c>
      <c r="AW92" s="83" t="e">
        <f t="shared" si="53"/>
        <v>#REF!</v>
      </c>
      <c r="AX92" s="83" t="e">
        <f t="shared" si="53"/>
        <v>#REF!</v>
      </c>
      <c r="AY92" s="83" t="e">
        <f t="shared" si="53"/>
        <v>#REF!</v>
      </c>
      <c r="AZ92" s="83" t="e">
        <f t="shared" si="53"/>
        <v>#REF!</v>
      </c>
      <c r="BA92" s="83" t="e">
        <f t="shared" si="53"/>
        <v>#REF!</v>
      </c>
      <c r="BB92" s="83" t="e">
        <f t="shared" si="53"/>
        <v>#REF!</v>
      </c>
    </row>
    <row r="93" spans="28:54" hidden="1" x14ac:dyDescent="0.25">
      <c r="AB93" s="85" t="s">
        <v>59</v>
      </c>
      <c r="AC93" s="40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</row>
    <row r="94" spans="28:54" hidden="1" x14ac:dyDescent="0.25">
      <c r="AB94" s="84" t="s">
        <v>39</v>
      </c>
      <c r="AC94" s="40"/>
      <c r="AG94" s="83" t="e">
        <f t="shared" ref="AG94:AP94" si="54">AG39+AG40+AG44+AG46</f>
        <v>#REF!</v>
      </c>
      <c r="AH94" s="83" t="e">
        <f t="shared" si="54"/>
        <v>#REF!</v>
      </c>
      <c r="AI94" s="83" t="e">
        <f t="shared" si="54"/>
        <v>#REF!</v>
      </c>
      <c r="AJ94" s="83" t="e">
        <f t="shared" si="54"/>
        <v>#REF!</v>
      </c>
      <c r="AK94" s="83" t="e">
        <f t="shared" si="54"/>
        <v>#REF!</v>
      </c>
      <c r="AL94" s="83" t="e">
        <f t="shared" si="54"/>
        <v>#REF!</v>
      </c>
      <c r="AM94" s="83" t="e">
        <f t="shared" si="54"/>
        <v>#REF!</v>
      </c>
      <c r="AN94" s="83" t="e">
        <f t="shared" si="54"/>
        <v>#REF!</v>
      </c>
      <c r="AO94" s="83" t="e">
        <f t="shared" si="54"/>
        <v>#REF!</v>
      </c>
      <c r="AP94" s="83" t="e">
        <f t="shared" si="54"/>
        <v>#REF!</v>
      </c>
      <c r="AQ94" s="83"/>
      <c r="AR94" s="83"/>
      <c r="AS94" s="83" t="e">
        <f t="shared" ref="AS94:BB94" si="55">AS39+AS40+AS44+AS46</f>
        <v>#REF!</v>
      </c>
      <c r="AT94" s="83" t="e">
        <f t="shared" si="55"/>
        <v>#REF!</v>
      </c>
      <c r="AU94" s="83" t="e">
        <f t="shared" si="55"/>
        <v>#REF!</v>
      </c>
      <c r="AV94" s="83" t="e">
        <f t="shared" si="55"/>
        <v>#REF!</v>
      </c>
      <c r="AW94" s="83" t="e">
        <f t="shared" si="55"/>
        <v>#REF!</v>
      </c>
      <c r="AX94" s="83" t="e">
        <f t="shared" si="55"/>
        <v>#REF!</v>
      </c>
      <c r="AY94" s="83" t="e">
        <f t="shared" si="55"/>
        <v>#REF!</v>
      </c>
      <c r="AZ94" s="83" t="e">
        <f t="shared" si="55"/>
        <v>#REF!</v>
      </c>
      <c r="BA94" s="83" t="e">
        <f t="shared" si="55"/>
        <v>#REF!</v>
      </c>
      <c r="BB94" s="83" t="e">
        <f t="shared" si="55"/>
        <v>#REF!</v>
      </c>
    </row>
    <row r="95" spans="28:54" hidden="1" x14ac:dyDescent="0.25">
      <c r="AB95" s="84" t="s">
        <v>51</v>
      </c>
      <c r="AC95" s="40"/>
      <c r="AG95" s="83" t="e">
        <f t="shared" ref="AG95:AP95" si="56">AG50+AG51+AG55+AG57</f>
        <v>#REF!</v>
      </c>
      <c r="AH95" s="83" t="e">
        <f t="shared" si="56"/>
        <v>#REF!</v>
      </c>
      <c r="AI95" s="83" t="e">
        <f t="shared" si="56"/>
        <v>#REF!</v>
      </c>
      <c r="AJ95" s="83" t="e">
        <f t="shared" si="56"/>
        <v>#REF!</v>
      </c>
      <c r="AK95" s="83" t="e">
        <f t="shared" si="56"/>
        <v>#REF!</v>
      </c>
      <c r="AL95" s="83" t="e">
        <f t="shared" si="56"/>
        <v>#REF!</v>
      </c>
      <c r="AM95" s="83" t="e">
        <f t="shared" si="56"/>
        <v>#REF!</v>
      </c>
      <c r="AN95" s="83" t="e">
        <f t="shared" si="56"/>
        <v>#REF!</v>
      </c>
      <c r="AO95" s="83" t="e">
        <f t="shared" si="56"/>
        <v>#REF!</v>
      </c>
      <c r="AP95" s="83" t="e">
        <f t="shared" si="56"/>
        <v>#REF!</v>
      </c>
      <c r="AQ95" s="83"/>
      <c r="AR95" s="83"/>
      <c r="AS95" s="83" t="e">
        <f t="shared" ref="AS95:BB95" si="57">AS50+AS51+AS55+AS57</f>
        <v>#REF!</v>
      </c>
      <c r="AT95" s="83" t="e">
        <f t="shared" si="57"/>
        <v>#REF!</v>
      </c>
      <c r="AU95" s="83" t="e">
        <f t="shared" si="57"/>
        <v>#REF!</v>
      </c>
      <c r="AV95" s="83" t="e">
        <f t="shared" si="57"/>
        <v>#REF!</v>
      </c>
      <c r="AW95" s="83" t="e">
        <f t="shared" si="57"/>
        <v>#REF!</v>
      </c>
      <c r="AX95" s="83" t="e">
        <f t="shared" si="57"/>
        <v>#REF!</v>
      </c>
      <c r="AY95" s="83" t="e">
        <f t="shared" si="57"/>
        <v>#REF!</v>
      </c>
      <c r="AZ95" s="83" t="e">
        <f t="shared" si="57"/>
        <v>#REF!</v>
      </c>
      <c r="BA95" s="83" t="e">
        <f t="shared" si="57"/>
        <v>#REF!</v>
      </c>
      <c r="BB95" s="83" t="e">
        <f t="shared" si="57"/>
        <v>#REF!</v>
      </c>
    </row>
    <row r="96" spans="28:54" hidden="1" x14ac:dyDescent="0.25">
      <c r="AB96" s="84" t="s">
        <v>52</v>
      </c>
      <c r="AC96" s="40"/>
      <c r="AG96" s="83" t="e">
        <f t="shared" ref="AG96:AP96" si="58">AG61+AG62+AG66+AG68</f>
        <v>#REF!</v>
      </c>
      <c r="AH96" s="83" t="e">
        <f t="shared" si="58"/>
        <v>#REF!</v>
      </c>
      <c r="AI96" s="83" t="e">
        <f t="shared" si="58"/>
        <v>#REF!</v>
      </c>
      <c r="AJ96" s="83" t="e">
        <f t="shared" si="58"/>
        <v>#REF!</v>
      </c>
      <c r="AK96" s="83" t="e">
        <f t="shared" si="58"/>
        <v>#REF!</v>
      </c>
      <c r="AL96" s="83" t="e">
        <f t="shared" si="58"/>
        <v>#REF!</v>
      </c>
      <c r="AM96" s="83" t="e">
        <f t="shared" si="58"/>
        <v>#REF!</v>
      </c>
      <c r="AN96" s="83" t="e">
        <f t="shared" si="58"/>
        <v>#REF!</v>
      </c>
      <c r="AO96" s="83" t="e">
        <f t="shared" si="58"/>
        <v>#REF!</v>
      </c>
      <c r="AP96" s="83" t="e">
        <f t="shared" si="58"/>
        <v>#REF!</v>
      </c>
      <c r="AQ96" s="83"/>
      <c r="AR96" s="83"/>
      <c r="AS96" s="83" t="e">
        <f t="shared" ref="AS96:BB96" si="59">AS61+AS62+AS66+AS68</f>
        <v>#REF!</v>
      </c>
      <c r="AT96" s="83" t="e">
        <f t="shared" si="59"/>
        <v>#REF!</v>
      </c>
      <c r="AU96" s="83" t="e">
        <f t="shared" si="59"/>
        <v>#REF!</v>
      </c>
      <c r="AV96" s="83" t="e">
        <f t="shared" si="59"/>
        <v>#REF!</v>
      </c>
      <c r="AW96" s="83" t="e">
        <f t="shared" si="59"/>
        <v>#REF!</v>
      </c>
      <c r="AX96" s="83" t="e">
        <f t="shared" si="59"/>
        <v>#REF!</v>
      </c>
      <c r="AY96" s="83" t="e">
        <f t="shared" si="59"/>
        <v>#REF!</v>
      </c>
      <c r="AZ96" s="83" t="e">
        <f t="shared" si="59"/>
        <v>#REF!</v>
      </c>
      <c r="BA96" s="83" t="e">
        <f t="shared" si="59"/>
        <v>#REF!</v>
      </c>
      <c r="BB96" s="83" t="e">
        <f t="shared" si="59"/>
        <v>#REF!</v>
      </c>
    </row>
    <row r="97" spans="1:54" hidden="1" x14ac:dyDescent="0.25">
      <c r="AB97" s="82" t="s">
        <v>60</v>
      </c>
      <c r="AC97" s="40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</row>
    <row r="98" spans="1:54" hidden="1" x14ac:dyDescent="0.25">
      <c r="AB98" s="84" t="s">
        <v>39</v>
      </c>
      <c r="AC98" s="40"/>
      <c r="AG98" s="83" t="e">
        <f t="shared" ref="AG98:AP98" si="60">AG39+AG40+AG44+AG47</f>
        <v>#REF!</v>
      </c>
      <c r="AH98" s="83" t="e">
        <f t="shared" si="60"/>
        <v>#REF!</v>
      </c>
      <c r="AI98" s="83" t="e">
        <f t="shared" si="60"/>
        <v>#REF!</v>
      </c>
      <c r="AJ98" s="83" t="e">
        <f t="shared" si="60"/>
        <v>#REF!</v>
      </c>
      <c r="AK98" s="83" t="e">
        <f t="shared" si="60"/>
        <v>#REF!</v>
      </c>
      <c r="AL98" s="83" t="e">
        <f t="shared" si="60"/>
        <v>#REF!</v>
      </c>
      <c r="AM98" s="83" t="e">
        <f t="shared" si="60"/>
        <v>#REF!</v>
      </c>
      <c r="AN98" s="83" t="e">
        <f t="shared" si="60"/>
        <v>#REF!</v>
      </c>
      <c r="AO98" s="83" t="e">
        <f t="shared" si="60"/>
        <v>#REF!</v>
      </c>
      <c r="AP98" s="83" t="e">
        <f t="shared" si="60"/>
        <v>#REF!</v>
      </c>
      <c r="AQ98" s="83"/>
      <c r="AR98" s="83"/>
      <c r="AS98" s="83" t="e">
        <f t="shared" ref="AS98:BB98" si="61">AS39+AS40+AS44+AS47</f>
        <v>#REF!</v>
      </c>
      <c r="AT98" s="83" t="e">
        <f t="shared" si="61"/>
        <v>#REF!</v>
      </c>
      <c r="AU98" s="83" t="e">
        <f t="shared" si="61"/>
        <v>#REF!</v>
      </c>
      <c r="AV98" s="83" t="e">
        <f t="shared" si="61"/>
        <v>#REF!</v>
      </c>
      <c r="AW98" s="83" t="e">
        <f t="shared" si="61"/>
        <v>#REF!</v>
      </c>
      <c r="AX98" s="83" t="e">
        <f t="shared" si="61"/>
        <v>#REF!</v>
      </c>
      <c r="AY98" s="83" t="e">
        <f t="shared" si="61"/>
        <v>#REF!</v>
      </c>
      <c r="AZ98" s="83" t="e">
        <f t="shared" si="61"/>
        <v>#REF!</v>
      </c>
      <c r="BA98" s="83" t="e">
        <f t="shared" si="61"/>
        <v>#REF!</v>
      </c>
      <c r="BB98" s="83" t="e">
        <f t="shared" si="61"/>
        <v>#REF!</v>
      </c>
    </row>
    <row r="99" spans="1:54" hidden="1" x14ac:dyDescent="0.25">
      <c r="AB99" s="84" t="s">
        <v>51</v>
      </c>
      <c r="AC99" s="40"/>
      <c r="AG99" s="83" t="e">
        <f t="shared" ref="AG99:AP99" si="62">AG50+AG51+AG55+AG58</f>
        <v>#REF!</v>
      </c>
      <c r="AH99" s="83" t="e">
        <f t="shared" si="62"/>
        <v>#REF!</v>
      </c>
      <c r="AI99" s="83" t="e">
        <f t="shared" si="62"/>
        <v>#REF!</v>
      </c>
      <c r="AJ99" s="83" t="e">
        <f t="shared" si="62"/>
        <v>#REF!</v>
      </c>
      <c r="AK99" s="83" t="e">
        <f t="shared" si="62"/>
        <v>#REF!</v>
      </c>
      <c r="AL99" s="83" t="e">
        <f t="shared" si="62"/>
        <v>#REF!</v>
      </c>
      <c r="AM99" s="83" t="e">
        <f t="shared" si="62"/>
        <v>#REF!</v>
      </c>
      <c r="AN99" s="83" t="e">
        <f t="shared" si="62"/>
        <v>#REF!</v>
      </c>
      <c r="AO99" s="83" t="e">
        <f t="shared" si="62"/>
        <v>#REF!</v>
      </c>
      <c r="AP99" s="83" t="e">
        <f t="shared" si="62"/>
        <v>#REF!</v>
      </c>
      <c r="AQ99" s="83"/>
      <c r="AR99" s="83"/>
      <c r="AS99" s="83" t="e">
        <f t="shared" ref="AS99:BB99" si="63">AS50+AS51+AS55+AS58</f>
        <v>#REF!</v>
      </c>
      <c r="AT99" s="83" t="e">
        <f t="shared" si="63"/>
        <v>#REF!</v>
      </c>
      <c r="AU99" s="83" t="e">
        <f t="shared" si="63"/>
        <v>#REF!</v>
      </c>
      <c r="AV99" s="83" t="e">
        <f t="shared" si="63"/>
        <v>#REF!</v>
      </c>
      <c r="AW99" s="83" t="e">
        <f t="shared" si="63"/>
        <v>#REF!</v>
      </c>
      <c r="AX99" s="83" t="e">
        <f t="shared" si="63"/>
        <v>#REF!</v>
      </c>
      <c r="AY99" s="83" t="e">
        <f t="shared" si="63"/>
        <v>#REF!</v>
      </c>
      <c r="AZ99" s="83" t="e">
        <f t="shared" si="63"/>
        <v>#REF!</v>
      </c>
      <c r="BA99" s="83" t="e">
        <f t="shared" si="63"/>
        <v>#REF!</v>
      </c>
      <c r="BB99" s="83" t="e">
        <f t="shared" si="63"/>
        <v>#REF!</v>
      </c>
    </row>
    <row r="100" spans="1:54" hidden="1" x14ac:dyDescent="0.25">
      <c r="AB100" s="84" t="s">
        <v>52</v>
      </c>
      <c r="AC100" s="40"/>
      <c r="AG100" s="83" t="e">
        <f t="shared" ref="AG100:AP100" si="64">AG61+AG62+AG66+AG69</f>
        <v>#REF!</v>
      </c>
      <c r="AH100" s="83" t="e">
        <f t="shared" si="64"/>
        <v>#REF!</v>
      </c>
      <c r="AI100" s="83" t="e">
        <f t="shared" si="64"/>
        <v>#REF!</v>
      </c>
      <c r="AJ100" s="83" t="e">
        <f t="shared" si="64"/>
        <v>#REF!</v>
      </c>
      <c r="AK100" s="83" t="e">
        <f t="shared" si="64"/>
        <v>#REF!</v>
      </c>
      <c r="AL100" s="83" t="e">
        <f t="shared" si="64"/>
        <v>#REF!</v>
      </c>
      <c r="AM100" s="83" t="e">
        <f t="shared" si="64"/>
        <v>#REF!</v>
      </c>
      <c r="AN100" s="83" t="e">
        <f t="shared" si="64"/>
        <v>#REF!</v>
      </c>
      <c r="AO100" s="83" t="e">
        <f t="shared" si="64"/>
        <v>#REF!</v>
      </c>
      <c r="AP100" s="83" t="e">
        <f t="shared" si="64"/>
        <v>#REF!</v>
      </c>
      <c r="AQ100" s="83"/>
      <c r="AR100" s="83"/>
      <c r="AS100" s="83" t="e">
        <f t="shared" ref="AS100:BB100" si="65">AS61+AS62+AS66+AS69</f>
        <v>#REF!</v>
      </c>
      <c r="AT100" s="83" t="e">
        <f t="shared" si="65"/>
        <v>#REF!</v>
      </c>
      <c r="AU100" s="83" t="e">
        <f t="shared" si="65"/>
        <v>#REF!</v>
      </c>
      <c r="AV100" s="83" t="e">
        <f t="shared" si="65"/>
        <v>#REF!</v>
      </c>
      <c r="AW100" s="83" t="e">
        <f t="shared" si="65"/>
        <v>#REF!</v>
      </c>
      <c r="AX100" s="83" t="e">
        <f t="shared" si="65"/>
        <v>#REF!</v>
      </c>
      <c r="AY100" s="83" t="e">
        <f t="shared" si="65"/>
        <v>#REF!</v>
      </c>
      <c r="AZ100" s="83" t="e">
        <f t="shared" si="65"/>
        <v>#REF!</v>
      </c>
      <c r="BA100" s="83" t="e">
        <f t="shared" si="65"/>
        <v>#REF!</v>
      </c>
      <c r="BB100" s="83" t="e">
        <f t="shared" si="65"/>
        <v>#REF!</v>
      </c>
    </row>
    <row r="101" spans="1:54" hidden="1" x14ac:dyDescent="0.25"/>
    <row r="102" spans="1:54" hidden="1" x14ac:dyDescent="0.25"/>
    <row r="103" spans="1:54" hidden="1" x14ac:dyDescent="0.25"/>
    <row r="104" spans="1:54" hidden="1" x14ac:dyDescent="0.25"/>
    <row r="105" spans="1:54" hidden="1" x14ac:dyDescent="0.25"/>
    <row r="106" spans="1:54" hidden="1" x14ac:dyDescent="0.25"/>
    <row r="107" spans="1:54" hidden="1" x14ac:dyDescent="0.25"/>
    <row r="108" spans="1:54" hidden="1" x14ac:dyDescent="0.25"/>
    <row r="109" spans="1:54" hidden="1" x14ac:dyDescent="0.25"/>
    <row r="111" spans="1:54" x14ac:dyDescent="0.25">
      <c r="A111" s="713" t="s">
        <v>132</v>
      </c>
      <c r="B111" s="713" t="s">
        <v>63</v>
      </c>
      <c r="C111" s="44" t="s">
        <v>115</v>
      </c>
      <c r="D111" s="44"/>
      <c r="E111" s="44" t="s">
        <v>64</v>
      </c>
      <c r="F111" s="44" t="s">
        <v>65</v>
      </c>
      <c r="G111" s="715" t="s">
        <v>75</v>
      </c>
      <c r="H111" s="716"/>
      <c r="I111" s="716"/>
      <c r="J111" s="716"/>
      <c r="K111" s="716"/>
      <c r="L111" s="716"/>
      <c r="M111" s="716"/>
      <c r="N111" s="716"/>
      <c r="O111" s="716"/>
      <c r="P111" s="716"/>
      <c r="Q111" s="717"/>
      <c r="R111" s="48"/>
      <c r="S111" s="715" t="s">
        <v>76</v>
      </c>
      <c r="T111" s="716"/>
      <c r="U111" s="716"/>
      <c r="V111" s="716"/>
      <c r="W111" s="716"/>
      <c r="X111" s="716"/>
      <c r="Y111" s="716"/>
      <c r="Z111" s="716"/>
      <c r="AA111" s="716"/>
      <c r="AB111" s="716"/>
      <c r="AC111" s="717"/>
    </row>
    <row r="112" spans="1:54" ht="66" x14ac:dyDescent="0.25">
      <c r="A112" s="714"/>
      <c r="B112" s="714"/>
      <c r="C112" s="50" t="s">
        <v>77</v>
      </c>
      <c r="D112" s="50"/>
      <c r="E112" s="50" t="s">
        <v>78</v>
      </c>
      <c r="F112" s="50" t="s">
        <v>79</v>
      </c>
      <c r="G112" s="117" t="s">
        <v>66</v>
      </c>
      <c r="H112" s="117" t="s">
        <v>84</v>
      </c>
      <c r="I112" s="117" t="s">
        <v>85</v>
      </c>
      <c r="J112" s="117" t="s">
        <v>69</v>
      </c>
      <c r="K112" s="117" t="s">
        <v>70</v>
      </c>
      <c r="L112" s="117" t="s">
        <v>71</v>
      </c>
      <c r="M112" s="118" t="s">
        <v>86</v>
      </c>
      <c r="N112" s="118" t="s">
        <v>87</v>
      </c>
      <c r="O112" s="118" t="s">
        <v>72</v>
      </c>
      <c r="P112" s="118" t="s">
        <v>73</v>
      </c>
      <c r="Q112" s="118" t="s">
        <v>74</v>
      </c>
      <c r="R112" s="118" t="s">
        <v>88</v>
      </c>
      <c r="S112" s="117" t="s">
        <v>66</v>
      </c>
      <c r="T112" s="117" t="s">
        <v>84</v>
      </c>
      <c r="U112" s="117" t="s">
        <v>85</v>
      </c>
      <c r="V112" s="117" t="s">
        <v>69</v>
      </c>
      <c r="W112" s="117" t="s">
        <v>70</v>
      </c>
      <c r="X112" s="117" t="s">
        <v>71</v>
      </c>
      <c r="Y112" s="118" t="s">
        <v>86</v>
      </c>
      <c r="Z112" s="118" t="s">
        <v>87</v>
      </c>
      <c r="AA112" s="52" t="s">
        <v>72</v>
      </c>
      <c r="AB112" s="118" t="s">
        <v>73</v>
      </c>
      <c r="AC112" s="118" t="s">
        <v>74</v>
      </c>
    </row>
    <row r="113" spans="1:29" ht="26.4" x14ac:dyDescent="0.25">
      <c r="A113" s="53" t="s">
        <v>277</v>
      </c>
      <c r="B113" s="54" t="s">
        <v>116</v>
      </c>
      <c r="C113" s="55">
        <v>18</v>
      </c>
      <c r="D113" s="55">
        <v>2019</v>
      </c>
      <c r="E113" s="55">
        <v>35</v>
      </c>
      <c r="F113" s="55">
        <v>80</v>
      </c>
      <c r="G113" s="59">
        <f t="shared" ref="G113:G114" si="66">C4*($F4*$G4+($H4))/453.59</f>
        <v>7.8443213619197412</v>
      </c>
      <c r="H113" s="59">
        <f t="shared" ref="H113:H114" si="67">C4*($F4*$I4+($J4))/453.59</f>
        <v>0.70372302263737507</v>
      </c>
      <c r="I113" s="59">
        <f>C4*(($F4*$K4)+($L4)+($M4)+($F4*$O4)+(($N4+$P4)))/453.59</f>
        <v>0.90076432334052103</v>
      </c>
      <c r="J113" s="59">
        <f t="shared" ref="J113:J114" si="68">C4*($F4*$Q4+($R4))/453.59</f>
        <v>1.3418969687051674E-2</v>
      </c>
      <c r="K113" s="59">
        <f t="shared" ref="K113:K114" si="69">C4*(($F4*($S4+$U4+$V4))+($T4))/453.59</f>
        <v>0.15343013708983932</v>
      </c>
      <c r="L113" s="59">
        <f t="shared" ref="L113:L114" si="70">$C4*(($F4*($W4+$Y4+$Z4))+($X4))/453.59</f>
        <v>6.6885290061252878E-2</v>
      </c>
      <c r="M113" s="59">
        <f t="shared" ref="M113:M114" si="71">$B$46*C4*(F4+6)</f>
        <v>0.15189448654929416</v>
      </c>
      <c r="N113" s="59">
        <f t="shared" ref="N113:N128" si="72">0.41*M113</f>
        <v>6.2276739485210605E-2</v>
      </c>
      <c r="O113" s="59">
        <f t="shared" ref="O113:O114" si="73">C4*($F4*$AA4+($AB4))/453.59</f>
        <v>915.93647914599728</v>
      </c>
      <c r="P113" s="59">
        <f t="shared" ref="P113:P114" si="74">C4*($F4*$AC4+($AD4))/453.59</f>
        <v>5.6978018978014321E-2</v>
      </c>
      <c r="Q113" s="59">
        <f t="shared" ref="Q113:Q114" si="75">C4*($F4*$AE4+($AF4))/453.59</f>
        <v>0.1038403214243192</v>
      </c>
      <c r="R113" s="60">
        <f t="shared" ref="R113:R129" si="76">3*44</f>
        <v>132</v>
      </c>
      <c r="S113" s="59">
        <f t="shared" ref="S113:AC128" si="77">G113*$R113/4000</f>
        <v>0.25886260494335145</v>
      </c>
      <c r="T113" s="59">
        <f t="shared" si="77"/>
        <v>2.3222859747033378E-2</v>
      </c>
      <c r="U113" s="61">
        <f t="shared" si="77"/>
        <v>2.9725222670237195E-2</v>
      </c>
      <c r="V113" s="62">
        <f t="shared" si="77"/>
        <v>4.4282599967270523E-4</v>
      </c>
      <c r="W113" s="61">
        <f t="shared" si="77"/>
        <v>5.0631945239646972E-3</v>
      </c>
      <c r="X113" s="61">
        <f t="shared" si="77"/>
        <v>2.2072145720213451E-3</v>
      </c>
      <c r="Y113" s="61">
        <f t="shared" si="77"/>
        <v>5.0125180561267071E-3</v>
      </c>
      <c r="Z113" s="61">
        <f t="shared" si="77"/>
        <v>2.0551324030119501E-3</v>
      </c>
      <c r="AA113" s="63">
        <f t="shared" si="77"/>
        <v>30.225903811817908</v>
      </c>
      <c r="AB113" s="61">
        <f t="shared" si="77"/>
        <v>1.8802746262744725E-3</v>
      </c>
      <c r="AC113" s="61">
        <f t="shared" si="77"/>
        <v>3.4267306070025335E-3</v>
      </c>
    </row>
    <row r="114" spans="1:29" ht="26.4" x14ac:dyDescent="0.25">
      <c r="A114" s="53" t="s">
        <v>277</v>
      </c>
      <c r="B114" s="54" t="s">
        <v>116</v>
      </c>
      <c r="C114" s="55">
        <v>18</v>
      </c>
      <c r="D114" s="55">
        <v>2020</v>
      </c>
      <c r="E114" s="55">
        <v>35</v>
      </c>
      <c r="F114" s="55">
        <v>80</v>
      </c>
      <c r="G114" s="59">
        <f t="shared" si="66"/>
        <v>7.2896777067270619</v>
      </c>
      <c r="H114" s="59">
        <f t="shared" si="67"/>
        <v>0.65238434739503026</v>
      </c>
      <c r="I114" s="59">
        <f t="shared" ref="I114" si="78">C5*(($F5*$K5)+($L5)+($M5)+($F5*$O5)+(($N5+$P5)))/453.59</f>
        <v>0.85423618039649285</v>
      </c>
      <c r="J114" s="59">
        <f t="shared" si="68"/>
        <v>1.3417737502340545E-2</v>
      </c>
      <c r="K114" s="59">
        <f t="shared" si="69"/>
        <v>0.15299061801159353</v>
      </c>
      <c r="L114" s="59">
        <f t="shared" si="70"/>
        <v>6.6481187336264763E-2</v>
      </c>
      <c r="M114" s="59">
        <f t="shared" si="71"/>
        <v>0.15189448654929416</v>
      </c>
      <c r="N114" s="59">
        <f t="shared" ref="N114" si="79">0.41*M114</f>
        <v>6.2276739485210605E-2</v>
      </c>
      <c r="O114" s="59">
        <f t="shared" si="73"/>
        <v>880.67760145813099</v>
      </c>
      <c r="P114" s="59">
        <f t="shared" si="74"/>
        <v>5.6947581338391819E-2</v>
      </c>
      <c r="Q114" s="59">
        <f t="shared" si="75"/>
        <v>0.10382692876402368</v>
      </c>
      <c r="R114" s="60">
        <f t="shared" si="76"/>
        <v>132</v>
      </c>
      <c r="S114" s="59">
        <f t="shared" ref="S114" si="80">G114*$R114/4000</f>
        <v>0.24055936432199304</v>
      </c>
      <c r="T114" s="59">
        <f t="shared" ref="T114" si="81">H114*$R114/4000</f>
        <v>2.1528683464036E-2</v>
      </c>
      <c r="U114" s="61">
        <f t="shared" ref="U114" si="82">I114*$R114/4000</f>
        <v>2.8189793953084265E-2</v>
      </c>
      <c r="V114" s="62">
        <f t="shared" ref="V114" si="83">J114*$R114/4000</f>
        <v>4.4278533757723798E-4</v>
      </c>
      <c r="W114" s="61">
        <f t="shared" ref="W114" si="84">K114*$R114/4000</f>
        <v>5.0486903943825871E-3</v>
      </c>
      <c r="X114" s="61">
        <f t="shared" ref="X114" si="85">L114*$R114/4000</f>
        <v>2.1938791820967371E-3</v>
      </c>
      <c r="Y114" s="61">
        <f t="shared" ref="Y114" si="86">M114*$R114/4000</f>
        <v>5.0125180561267071E-3</v>
      </c>
      <c r="Z114" s="61">
        <f t="shared" ref="Z114" si="87">N114*$R114/4000</f>
        <v>2.0551324030119501E-3</v>
      </c>
      <c r="AA114" s="63">
        <f t="shared" ref="AA114" si="88">O114*$R114/4000</f>
        <v>29.06236084811832</v>
      </c>
      <c r="AB114" s="61">
        <f t="shared" ref="AB114" si="89">P114*$R114/4000</f>
        <v>1.8792701841669299E-3</v>
      </c>
      <c r="AC114" s="61">
        <f t="shared" ref="AC114" si="90">Q114*$R114/4000</f>
        <v>3.4262886492127812E-3</v>
      </c>
    </row>
    <row r="115" spans="1:29" x14ac:dyDescent="0.25">
      <c r="A115" s="53" t="s">
        <v>278</v>
      </c>
      <c r="B115" s="54" t="s">
        <v>116</v>
      </c>
      <c r="C115" s="55">
        <v>11</v>
      </c>
      <c r="D115" s="55">
        <v>2015</v>
      </c>
      <c r="E115" s="55">
        <v>35</v>
      </c>
      <c r="F115" s="55">
        <v>80</v>
      </c>
      <c r="G115" s="59">
        <f t="shared" ref="G115:G127" si="91">C6*($F6*$G6+($H6))/453.59</f>
        <v>6.7054812850475116</v>
      </c>
      <c r="H115" s="59">
        <f t="shared" ref="H115:H127" si="92">C6*($F6*$I6+($J6))/453.59</f>
        <v>0.60504306214685344</v>
      </c>
      <c r="I115" s="59">
        <f t="shared" ref="I115:I129" si="93">C6*(($F6*$K6)+($L6)+($M6)+($F6*$O6)+(($N6+$P6)))/453.59</f>
        <v>0.65511805175905713</v>
      </c>
      <c r="J115" s="59">
        <f t="shared" ref="J115:J127" si="94">C6*($F6*$Q6+($R6))/453.59</f>
        <v>7.9777146299521585E-3</v>
      </c>
      <c r="K115" s="59">
        <f t="shared" ref="K115:K127" si="95">C6*(($F6*($S6+$U6+$V6))+($T6))/453.59</f>
        <v>9.54464134722805E-2</v>
      </c>
      <c r="L115" s="59">
        <f t="shared" ref="L115:L127" si="96">$C6*(($F6*($W6+$Y6+$Z6))+($X6))/453.59</f>
        <v>4.2356036294955247E-2</v>
      </c>
      <c r="M115" s="59">
        <f t="shared" ref="M115:M129" si="97">$B$46*C6*(F6+6)</f>
        <v>9.2824408446790893E-2</v>
      </c>
      <c r="N115" s="59">
        <f t="shared" si="72"/>
        <v>3.8058007463184267E-2</v>
      </c>
      <c r="O115" s="59">
        <f t="shared" ref="O115:O127" si="98">C6*($F6*$AA6+($AB6))/453.59</f>
        <v>642.86953798786374</v>
      </c>
      <c r="P115" s="59">
        <f t="shared" ref="P115:P127" si="99">C6*($F6*$AC6+($AD6))/453.59</f>
        <v>3.48936441957894E-2</v>
      </c>
      <c r="Q115" s="59">
        <f t="shared" ref="Q115:Q127" si="100">C6*($F6*$AE6+($AF6))/453.59</f>
        <v>6.3490421675329631E-2</v>
      </c>
      <c r="R115" s="60">
        <f t="shared" si="76"/>
        <v>132</v>
      </c>
      <c r="S115" s="59">
        <f t="shared" si="77"/>
        <v>0.22128088240656787</v>
      </c>
      <c r="T115" s="59">
        <f t="shared" si="77"/>
        <v>1.9966421050846166E-2</v>
      </c>
      <c r="U115" s="61">
        <f t="shared" si="77"/>
        <v>2.1618895708048886E-2</v>
      </c>
      <c r="V115" s="62">
        <f t="shared" si="77"/>
        <v>2.6326458278842123E-4</v>
      </c>
      <c r="W115" s="61">
        <f t="shared" si="77"/>
        <v>3.1497316445852565E-3</v>
      </c>
      <c r="X115" s="61">
        <f t="shared" si="77"/>
        <v>1.3977491977335233E-3</v>
      </c>
      <c r="Y115" s="61">
        <f t="shared" si="77"/>
        <v>3.0632054787440993E-3</v>
      </c>
      <c r="Z115" s="61">
        <f t="shared" si="77"/>
        <v>1.2559142462850808E-3</v>
      </c>
      <c r="AA115" s="63">
        <f t="shared" si="77"/>
        <v>21.214694753599503</v>
      </c>
      <c r="AB115" s="61">
        <f t="shared" si="77"/>
        <v>1.1514902584610503E-3</v>
      </c>
      <c r="AC115" s="61">
        <f t="shared" si="77"/>
        <v>2.0951839152858779E-3</v>
      </c>
    </row>
    <row r="116" spans="1:29" x14ac:dyDescent="0.25">
      <c r="A116" s="53" t="s">
        <v>278</v>
      </c>
      <c r="B116" s="54" t="s">
        <v>116</v>
      </c>
      <c r="C116" s="55">
        <v>11</v>
      </c>
      <c r="D116" s="55">
        <v>2016</v>
      </c>
      <c r="E116" s="55">
        <v>35</v>
      </c>
      <c r="F116" s="55">
        <v>80</v>
      </c>
      <c r="G116" s="59">
        <f t="shared" si="91"/>
        <v>6.1226738777869087</v>
      </c>
      <c r="H116" s="59">
        <f t="shared" si="92"/>
        <v>0.55294062673220823</v>
      </c>
      <c r="I116" s="59">
        <f t="shared" si="93"/>
        <v>0.60813099622580691</v>
      </c>
      <c r="J116" s="59">
        <f t="shared" si="94"/>
        <v>7.9768973963270789E-3</v>
      </c>
      <c r="K116" s="59">
        <f t="shared" si="95"/>
        <v>9.4898969927660712E-2</v>
      </c>
      <c r="L116" s="59">
        <f t="shared" si="96"/>
        <v>4.1876282909914561E-2</v>
      </c>
      <c r="M116" s="59">
        <f t="shared" si="97"/>
        <v>9.2824408446790893E-2</v>
      </c>
      <c r="N116" s="59">
        <f t="shared" ref="N116" si="101">0.41*M116</f>
        <v>3.8058007463184267E-2</v>
      </c>
      <c r="O116" s="59">
        <f t="shared" si="98"/>
        <v>622.37933549953505</v>
      </c>
      <c r="P116" s="59">
        <f t="shared" si="99"/>
        <v>3.4876943177859644E-2</v>
      </c>
      <c r="Q116" s="59">
        <f t="shared" si="100"/>
        <v>6.3483073173195556E-2</v>
      </c>
      <c r="R116" s="60">
        <f t="shared" si="76"/>
        <v>132</v>
      </c>
      <c r="S116" s="59">
        <f t="shared" ref="S116" si="102">G116*$R116/4000</f>
        <v>0.20204823796696797</v>
      </c>
      <c r="T116" s="59">
        <f t="shared" ref="T116" si="103">H116*$R116/4000</f>
        <v>1.824704068216287E-2</v>
      </c>
      <c r="U116" s="61">
        <f t="shared" ref="U116" si="104">I116*$R116/4000</f>
        <v>2.0068322875451627E-2</v>
      </c>
      <c r="V116" s="62">
        <f t="shared" ref="V116" si="105">J116*$R116/4000</f>
        <v>2.6323761407879361E-4</v>
      </c>
      <c r="W116" s="61">
        <f t="shared" ref="W116" si="106">K116*$R116/4000</f>
        <v>3.1316660076128031E-3</v>
      </c>
      <c r="X116" s="61">
        <f t="shared" ref="X116" si="107">L116*$R116/4000</f>
        <v>1.3819173360271806E-3</v>
      </c>
      <c r="Y116" s="61">
        <f t="shared" ref="Y116" si="108">M116*$R116/4000</f>
        <v>3.0632054787440993E-3</v>
      </c>
      <c r="Z116" s="61">
        <f t="shared" ref="Z116" si="109">N116*$R116/4000</f>
        <v>1.2559142462850808E-3</v>
      </c>
      <c r="AA116" s="63">
        <f t="shared" ref="AA116" si="110">O116*$R116/4000</f>
        <v>20.538518071484656</v>
      </c>
      <c r="AB116" s="61">
        <f t="shared" ref="AB116" si="111">P116*$R116/4000</f>
        <v>1.1509391248693682E-3</v>
      </c>
      <c r="AC116" s="61">
        <f t="shared" ref="AC116" si="112">Q116*$R116/4000</f>
        <v>2.0949414147154533E-3</v>
      </c>
    </row>
    <row r="117" spans="1:29" ht="26.4" x14ac:dyDescent="0.25">
      <c r="A117" s="53" t="s">
        <v>279</v>
      </c>
      <c r="B117" s="54" t="s">
        <v>116</v>
      </c>
      <c r="C117" s="55">
        <v>18</v>
      </c>
      <c r="D117" s="55">
        <v>2015</v>
      </c>
      <c r="E117" s="55">
        <v>35</v>
      </c>
      <c r="F117" s="55">
        <v>80</v>
      </c>
      <c r="G117" s="59">
        <f t="shared" si="91"/>
        <v>10.972605739168657</v>
      </c>
      <c r="H117" s="59">
        <f t="shared" si="92"/>
        <v>0.99007046533121468</v>
      </c>
      <c r="I117" s="59">
        <f t="shared" si="93"/>
        <v>1.0720113574239116</v>
      </c>
      <c r="J117" s="59">
        <f t="shared" si="94"/>
        <v>1.3054442121739899E-2</v>
      </c>
      <c r="K117" s="59">
        <f t="shared" si="95"/>
        <v>0.15618504022736809</v>
      </c>
      <c r="L117" s="59">
        <f t="shared" si="96"/>
        <v>6.930987757356312E-2</v>
      </c>
      <c r="M117" s="59">
        <f t="shared" si="97"/>
        <v>0.15189448654929416</v>
      </c>
      <c r="N117" s="59">
        <f t="shared" si="72"/>
        <v>6.2276739485210605E-2</v>
      </c>
      <c r="O117" s="59">
        <f t="shared" si="98"/>
        <v>1051.9683348892318</v>
      </c>
      <c r="P117" s="59">
        <f t="shared" si="99"/>
        <v>5.7098690502200837E-2</v>
      </c>
      <c r="Q117" s="59">
        <f t="shared" si="100"/>
        <v>0.10389341728690304</v>
      </c>
      <c r="R117" s="60">
        <f t="shared" si="76"/>
        <v>132</v>
      </c>
      <c r="S117" s="59">
        <f t="shared" si="77"/>
        <v>0.36209598939256571</v>
      </c>
      <c r="T117" s="59">
        <f t="shared" si="77"/>
        <v>3.2672325355930086E-2</v>
      </c>
      <c r="U117" s="61">
        <f t="shared" si="77"/>
        <v>3.5376374794989084E-2</v>
      </c>
      <c r="V117" s="62">
        <f t="shared" si="77"/>
        <v>4.3079659001741665E-4</v>
      </c>
      <c r="W117" s="61">
        <f t="shared" si="77"/>
        <v>5.1541063275031473E-3</v>
      </c>
      <c r="X117" s="61">
        <f t="shared" si="77"/>
        <v>2.2872259599275831E-3</v>
      </c>
      <c r="Y117" s="61">
        <f t="shared" si="77"/>
        <v>5.0125180561267071E-3</v>
      </c>
      <c r="Z117" s="61">
        <f t="shared" si="77"/>
        <v>2.0551324030119501E-3</v>
      </c>
      <c r="AA117" s="63">
        <f t="shared" si="77"/>
        <v>34.714955051344646</v>
      </c>
      <c r="AB117" s="61">
        <f t="shared" si="77"/>
        <v>1.8842567865726277E-3</v>
      </c>
      <c r="AC117" s="61">
        <f t="shared" si="77"/>
        <v>3.4284827704678003E-3</v>
      </c>
    </row>
    <row r="118" spans="1:29" ht="26.4" x14ac:dyDescent="0.25">
      <c r="A118" s="53" t="s">
        <v>279</v>
      </c>
      <c r="B118" s="54" t="s">
        <v>116</v>
      </c>
      <c r="C118" s="55">
        <v>18</v>
      </c>
      <c r="D118" s="55">
        <v>2016</v>
      </c>
      <c r="E118" s="55">
        <v>35</v>
      </c>
      <c r="F118" s="55">
        <v>80</v>
      </c>
      <c r="G118" s="59">
        <f t="shared" si="91"/>
        <v>10.018920890924033</v>
      </c>
      <c r="H118" s="59">
        <f t="shared" si="92"/>
        <v>0.90481193465270437</v>
      </c>
      <c r="I118" s="59">
        <f t="shared" si="93"/>
        <v>0.99512344836950228</v>
      </c>
      <c r="J118" s="59">
        <f t="shared" si="94"/>
        <v>1.3053104830353402E-2</v>
      </c>
      <c r="K118" s="59">
        <f t="shared" si="95"/>
        <v>0.15528922351799027</v>
      </c>
      <c r="L118" s="59">
        <f t="shared" si="96"/>
        <v>6.8524826579860185E-2</v>
      </c>
      <c r="M118" s="59">
        <f t="shared" si="97"/>
        <v>0.15189448654929416</v>
      </c>
      <c r="N118" s="59">
        <f t="shared" ref="N118:N119" si="113">0.41*M118</f>
        <v>6.2276739485210605E-2</v>
      </c>
      <c r="O118" s="59">
        <f t="shared" si="98"/>
        <v>1018.4389126356028</v>
      </c>
      <c r="P118" s="59">
        <f t="shared" si="99"/>
        <v>5.707136156377033E-2</v>
      </c>
      <c r="Q118" s="59">
        <f t="shared" si="100"/>
        <v>0.10388139246522908</v>
      </c>
      <c r="R118" s="60">
        <f t="shared" si="76"/>
        <v>132</v>
      </c>
      <c r="S118" s="59">
        <f t="shared" ref="S118:S119" si="114">G118*$R118/4000</f>
        <v>0.3306243894004931</v>
      </c>
      <c r="T118" s="59">
        <f t="shared" ref="T118:T119" si="115">H118*$R118/4000</f>
        <v>2.9858793843539247E-2</v>
      </c>
      <c r="U118" s="61">
        <f t="shared" ref="U118:U119" si="116">I118*$R118/4000</f>
        <v>3.2839073796193573E-2</v>
      </c>
      <c r="V118" s="62">
        <f t="shared" ref="V118:V119" si="117">J118*$R118/4000</f>
        <v>4.3075245940166223E-4</v>
      </c>
      <c r="W118" s="61">
        <f t="shared" ref="W118:W119" si="118">K118*$R118/4000</f>
        <v>5.1245443760936787E-3</v>
      </c>
      <c r="X118" s="61">
        <f t="shared" ref="X118:X119" si="119">L118*$R118/4000</f>
        <v>2.2613192771353862E-3</v>
      </c>
      <c r="Y118" s="61">
        <f t="shared" ref="Y118:Y119" si="120">M118*$R118/4000</f>
        <v>5.0125180561267071E-3</v>
      </c>
      <c r="Z118" s="61">
        <f t="shared" ref="Z118:Z119" si="121">N118*$R118/4000</f>
        <v>2.0551324030119501E-3</v>
      </c>
      <c r="AA118" s="63">
        <f t="shared" ref="AA118:AA119" si="122">O118*$R118/4000</f>
        <v>33.608484116974893</v>
      </c>
      <c r="AB118" s="61">
        <f t="shared" ref="AB118:AB119" si="123">P118*$R118/4000</f>
        <v>1.8833549316044208E-3</v>
      </c>
      <c r="AC118" s="61">
        <f t="shared" ref="AC118:AC119" si="124">Q118*$R118/4000</f>
        <v>3.4280859513525597E-3</v>
      </c>
    </row>
    <row r="119" spans="1:29" ht="26.4" x14ac:dyDescent="0.25">
      <c r="A119" s="53" t="s">
        <v>279</v>
      </c>
      <c r="B119" s="54" t="s">
        <v>116</v>
      </c>
      <c r="C119" s="55">
        <v>18</v>
      </c>
      <c r="D119" s="55">
        <v>2018</v>
      </c>
      <c r="E119" s="55">
        <v>35</v>
      </c>
      <c r="F119" s="55">
        <v>80</v>
      </c>
      <c r="G119" s="59">
        <f t="shared" si="91"/>
        <v>8.4540488489516186</v>
      </c>
      <c r="H119" s="59">
        <f t="shared" si="92"/>
        <v>0.76018652056123881</v>
      </c>
      <c r="I119" s="59">
        <f t="shared" si="93"/>
        <v>0.95145178644954631</v>
      </c>
      <c r="J119" s="59">
        <f t="shared" si="94"/>
        <v>1.3447151486435285E-2</v>
      </c>
      <c r="K119" s="59">
        <f t="shared" si="95"/>
        <v>0.15393608947839862</v>
      </c>
      <c r="L119" s="59">
        <f t="shared" si="96"/>
        <v>6.734371981199179E-2</v>
      </c>
      <c r="M119" s="59">
        <f t="shared" si="97"/>
        <v>0.15189448654929416</v>
      </c>
      <c r="N119" s="59">
        <f t="shared" si="113"/>
        <v>6.2276739485210605E-2</v>
      </c>
      <c r="O119" s="59">
        <f t="shared" si="98"/>
        <v>947.83081392704582</v>
      </c>
      <c r="P119" s="59">
        <f t="shared" si="99"/>
        <v>5.7005635653440592E-2</v>
      </c>
      <c r="Q119" s="59">
        <f t="shared" si="100"/>
        <v>0.10385247285120588</v>
      </c>
      <c r="R119" s="60">
        <f t="shared" si="76"/>
        <v>132</v>
      </c>
      <c r="S119" s="59">
        <f t="shared" si="114"/>
        <v>0.27898361201540345</v>
      </c>
      <c r="T119" s="59">
        <f t="shared" si="115"/>
        <v>2.5086155178520881E-2</v>
      </c>
      <c r="U119" s="61">
        <f t="shared" si="116"/>
        <v>3.1397908952835028E-2</v>
      </c>
      <c r="V119" s="62">
        <f t="shared" si="117"/>
        <v>4.4375599905236438E-4</v>
      </c>
      <c r="W119" s="61">
        <f t="shared" si="118"/>
        <v>5.0798909527871548E-3</v>
      </c>
      <c r="X119" s="61">
        <f t="shared" si="119"/>
        <v>2.2223427537957294E-3</v>
      </c>
      <c r="Y119" s="61">
        <f t="shared" si="120"/>
        <v>5.0125180561267071E-3</v>
      </c>
      <c r="Z119" s="61">
        <f t="shared" si="121"/>
        <v>2.0551324030119501E-3</v>
      </c>
      <c r="AA119" s="63">
        <f t="shared" si="122"/>
        <v>31.278416859592511</v>
      </c>
      <c r="AB119" s="61">
        <f t="shared" si="123"/>
        <v>1.8811859765635395E-3</v>
      </c>
      <c r="AC119" s="61">
        <f t="shared" si="124"/>
        <v>3.4271316040897942E-3</v>
      </c>
    </row>
    <row r="120" spans="1:29" ht="26.4" x14ac:dyDescent="0.25">
      <c r="A120" s="53" t="s">
        <v>283</v>
      </c>
      <c r="B120" s="54" t="s">
        <v>116</v>
      </c>
      <c r="C120" s="55">
        <v>12</v>
      </c>
      <c r="D120" s="55">
        <v>2017</v>
      </c>
      <c r="E120" s="55">
        <v>35</v>
      </c>
      <c r="F120" s="55">
        <v>80</v>
      </c>
      <c r="G120" s="59">
        <f t="shared" si="91"/>
        <v>6.15673961223471</v>
      </c>
      <c r="H120" s="59">
        <f t="shared" si="92"/>
        <v>0.55351417227396571</v>
      </c>
      <c r="I120" s="59">
        <f t="shared" si="93"/>
        <v>0.68183768328983896</v>
      </c>
      <c r="J120" s="59">
        <f t="shared" si="94"/>
        <v>8.9695553990491068E-3</v>
      </c>
      <c r="K120" s="59">
        <f t="shared" si="95"/>
        <v>0.10307134984797071</v>
      </c>
      <c r="L120" s="59">
        <f t="shared" si="96"/>
        <v>4.5287517663347494E-2</v>
      </c>
      <c r="M120" s="59">
        <f t="shared" si="97"/>
        <v>0.10126299103286279</v>
      </c>
      <c r="N120" s="59">
        <f t="shared" si="72"/>
        <v>4.1517826323473742E-2</v>
      </c>
      <c r="O120" s="59">
        <f t="shared" si="98"/>
        <v>654.63087086317057</v>
      </c>
      <c r="P120" s="59">
        <f t="shared" si="99"/>
        <v>3.802339521976663E-2</v>
      </c>
      <c r="Q120" s="59">
        <f t="shared" si="100"/>
        <v>6.9243622736276711E-2</v>
      </c>
      <c r="R120" s="60">
        <f t="shared" si="76"/>
        <v>132</v>
      </c>
      <c r="S120" s="59">
        <f t="shared" si="77"/>
        <v>0.20317240720374541</v>
      </c>
      <c r="T120" s="59">
        <f t="shared" si="77"/>
        <v>1.8265967685040869E-2</v>
      </c>
      <c r="U120" s="61">
        <f t="shared" si="77"/>
        <v>2.2500643548564684E-2</v>
      </c>
      <c r="V120" s="62">
        <f t="shared" si="77"/>
        <v>2.9599532816862049E-4</v>
      </c>
      <c r="W120" s="61">
        <f t="shared" si="77"/>
        <v>3.4013545449830332E-3</v>
      </c>
      <c r="X120" s="61">
        <f t="shared" si="77"/>
        <v>1.4944880828904675E-3</v>
      </c>
      <c r="Y120" s="61">
        <f t="shared" si="77"/>
        <v>3.341678704084472E-3</v>
      </c>
      <c r="Z120" s="61">
        <f t="shared" si="77"/>
        <v>1.3700882686746333E-3</v>
      </c>
      <c r="AA120" s="63">
        <f t="shared" si="77"/>
        <v>21.602818738484629</v>
      </c>
      <c r="AB120" s="61">
        <f t="shared" si="77"/>
        <v>1.2547720422522988E-3</v>
      </c>
      <c r="AC120" s="61">
        <f t="shared" si="77"/>
        <v>2.2850395502971316E-3</v>
      </c>
    </row>
    <row r="121" spans="1:29" ht="26.4" x14ac:dyDescent="0.25">
      <c r="A121" s="53" t="s">
        <v>283</v>
      </c>
      <c r="B121" s="54" t="s">
        <v>116</v>
      </c>
      <c r="C121" s="55">
        <v>12</v>
      </c>
      <c r="D121" s="55">
        <v>2018</v>
      </c>
      <c r="E121" s="55">
        <v>35</v>
      </c>
      <c r="F121" s="55">
        <v>80</v>
      </c>
      <c r="G121" s="59">
        <f t="shared" si="91"/>
        <v>5.6360325659677457</v>
      </c>
      <c r="H121" s="59">
        <f t="shared" si="92"/>
        <v>0.50679101370749258</v>
      </c>
      <c r="I121" s="59">
        <f t="shared" si="93"/>
        <v>0.63430119096636417</v>
      </c>
      <c r="J121" s="59">
        <f t="shared" si="94"/>
        <v>8.9647676576235218E-3</v>
      </c>
      <c r="K121" s="59">
        <f t="shared" si="95"/>
        <v>0.10262405965226576</v>
      </c>
      <c r="L121" s="59">
        <f t="shared" si="96"/>
        <v>4.4895813207994524E-2</v>
      </c>
      <c r="M121" s="59">
        <f t="shared" si="97"/>
        <v>0.10126299103286279</v>
      </c>
      <c r="N121" s="59">
        <f t="shared" ref="N121" si="125">0.41*M121</f>
        <v>4.1517826323473742E-2</v>
      </c>
      <c r="O121" s="59">
        <f t="shared" si="98"/>
        <v>631.88720928469718</v>
      </c>
      <c r="P121" s="59">
        <f t="shared" si="99"/>
        <v>3.8003757102293735E-2</v>
      </c>
      <c r="Q121" s="59">
        <f t="shared" si="100"/>
        <v>6.9234981900803919E-2</v>
      </c>
      <c r="R121" s="60">
        <f t="shared" si="76"/>
        <v>132</v>
      </c>
      <c r="S121" s="59">
        <f t="shared" ref="S121" si="126">G121*$R121/4000</f>
        <v>0.18598907467693562</v>
      </c>
      <c r="T121" s="59">
        <f t="shared" ref="T121" si="127">H121*$R121/4000</f>
        <v>1.6724103452347254E-2</v>
      </c>
      <c r="U121" s="61">
        <f t="shared" ref="U121" si="128">I121*$R121/4000</f>
        <v>2.093193930189002E-2</v>
      </c>
      <c r="V121" s="62">
        <f t="shared" ref="V121" si="129">J121*$R121/4000</f>
        <v>2.9583733270157622E-4</v>
      </c>
      <c r="W121" s="61">
        <f t="shared" ref="W121" si="130">K121*$R121/4000</f>
        <v>3.3865939685247702E-3</v>
      </c>
      <c r="X121" s="61">
        <f t="shared" ref="X121" si="131">L121*$R121/4000</f>
        <v>1.4815618358638193E-3</v>
      </c>
      <c r="Y121" s="61">
        <f t="shared" ref="Y121" si="132">M121*$R121/4000</f>
        <v>3.341678704084472E-3</v>
      </c>
      <c r="Z121" s="61">
        <f t="shared" ref="Z121" si="133">N121*$R121/4000</f>
        <v>1.3700882686746333E-3</v>
      </c>
      <c r="AA121" s="63">
        <f t="shared" ref="AA121" si="134">O121*$R121/4000</f>
        <v>20.852277906395006</v>
      </c>
      <c r="AB121" s="61">
        <f t="shared" ref="AB121" si="135">P121*$R121/4000</f>
        <v>1.2541239843756934E-3</v>
      </c>
      <c r="AC121" s="61">
        <f t="shared" ref="AC121" si="136">Q121*$R121/4000</f>
        <v>2.2847544027265296E-3</v>
      </c>
    </row>
    <row r="122" spans="1:29" x14ac:dyDescent="0.25">
      <c r="A122" s="53" t="s">
        <v>280</v>
      </c>
      <c r="B122" s="54" t="s">
        <v>116</v>
      </c>
      <c r="C122" s="55">
        <v>18</v>
      </c>
      <c r="D122" s="55">
        <v>2015</v>
      </c>
      <c r="E122" s="55">
        <v>35</v>
      </c>
      <c r="F122" s="55">
        <v>80</v>
      </c>
      <c r="G122" s="59">
        <f t="shared" si="91"/>
        <v>10.972605739168657</v>
      </c>
      <c r="H122" s="59">
        <f t="shared" si="92"/>
        <v>0.99007046533121468</v>
      </c>
      <c r="I122" s="59">
        <f t="shared" si="93"/>
        <v>1.0720113574239116</v>
      </c>
      <c r="J122" s="59">
        <f t="shared" si="94"/>
        <v>1.3054442121739899E-2</v>
      </c>
      <c r="K122" s="59">
        <f t="shared" si="95"/>
        <v>0.15618504022736809</v>
      </c>
      <c r="L122" s="59">
        <f t="shared" si="96"/>
        <v>6.930987757356312E-2</v>
      </c>
      <c r="M122" s="59">
        <f t="shared" si="97"/>
        <v>0.15189448654929416</v>
      </c>
      <c r="N122" s="59">
        <f t="shared" si="72"/>
        <v>6.2276739485210605E-2</v>
      </c>
      <c r="O122" s="59">
        <f t="shared" si="98"/>
        <v>1051.9683348892318</v>
      </c>
      <c r="P122" s="59">
        <f t="shared" si="99"/>
        <v>5.7098690502200837E-2</v>
      </c>
      <c r="Q122" s="59">
        <f t="shared" si="100"/>
        <v>0.10389341728690304</v>
      </c>
      <c r="R122" s="60">
        <f t="shared" si="76"/>
        <v>132</v>
      </c>
      <c r="S122" s="59">
        <f t="shared" si="77"/>
        <v>0.36209598939256571</v>
      </c>
      <c r="T122" s="59">
        <f t="shared" si="77"/>
        <v>3.2672325355930086E-2</v>
      </c>
      <c r="U122" s="61">
        <f t="shared" si="77"/>
        <v>3.5376374794989084E-2</v>
      </c>
      <c r="V122" s="62">
        <f t="shared" si="77"/>
        <v>4.3079659001741665E-4</v>
      </c>
      <c r="W122" s="61">
        <f t="shared" si="77"/>
        <v>5.1541063275031473E-3</v>
      </c>
      <c r="X122" s="61">
        <f t="shared" si="77"/>
        <v>2.2872259599275831E-3</v>
      </c>
      <c r="Y122" s="61">
        <f t="shared" si="77"/>
        <v>5.0125180561267071E-3</v>
      </c>
      <c r="Z122" s="61">
        <f t="shared" si="77"/>
        <v>2.0551324030119501E-3</v>
      </c>
      <c r="AA122" s="63">
        <f t="shared" si="77"/>
        <v>34.714955051344646</v>
      </c>
      <c r="AB122" s="61">
        <f t="shared" si="77"/>
        <v>1.8842567865726277E-3</v>
      </c>
      <c r="AC122" s="61">
        <f t="shared" si="77"/>
        <v>3.4284827704678003E-3</v>
      </c>
    </row>
    <row r="123" spans="1:29" x14ac:dyDescent="0.25">
      <c r="A123" s="53" t="s">
        <v>280</v>
      </c>
      <c r="B123" s="54" t="s">
        <v>116</v>
      </c>
      <c r="C123" s="55">
        <v>18</v>
      </c>
      <c r="D123" s="55">
        <v>2016</v>
      </c>
      <c r="E123" s="55">
        <v>35</v>
      </c>
      <c r="F123" s="55">
        <v>80</v>
      </c>
      <c r="G123" s="59">
        <f t="shared" si="91"/>
        <v>10.018920890924033</v>
      </c>
      <c r="H123" s="59">
        <f t="shared" si="92"/>
        <v>0.90481193465270437</v>
      </c>
      <c r="I123" s="59">
        <f t="shared" si="93"/>
        <v>0.99512344836950228</v>
      </c>
      <c r="J123" s="59">
        <f t="shared" si="94"/>
        <v>1.3053104830353402E-2</v>
      </c>
      <c r="K123" s="59">
        <f t="shared" si="95"/>
        <v>0.15528922351799027</v>
      </c>
      <c r="L123" s="59">
        <f t="shared" si="96"/>
        <v>6.8524826579860185E-2</v>
      </c>
      <c r="M123" s="59">
        <f t="shared" si="97"/>
        <v>0.15189448654929416</v>
      </c>
      <c r="N123" s="59">
        <f t="shared" ref="N123:N124" si="137">0.41*M123</f>
        <v>6.2276739485210605E-2</v>
      </c>
      <c r="O123" s="59">
        <f t="shared" si="98"/>
        <v>1018.4389126356028</v>
      </c>
      <c r="P123" s="59">
        <f t="shared" si="99"/>
        <v>5.707136156377033E-2</v>
      </c>
      <c r="Q123" s="59">
        <f t="shared" si="100"/>
        <v>0.10388139246522908</v>
      </c>
      <c r="R123" s="60">
        <f t="shared" si="76"/>
        <v>132</v>
      </c>
      <c r="S123" s="59">
        <f t="shared" ref="S123:S124" si="138">G123*$R123/4000</f>
        <v>0.3306243894004931</v>
      </c>
      <c r="T123" s="59">
        <f t="shared" ref="T123:T124" si="139">H123*$R123/4000</f>
        <v>2.9858793843539247E-2</v>
      </c>
      <c r="U123" s="61">
        <f t="shared" ref="U123:U124" si="140">I123*$R123/4000</f>
        <v>3.2839073796193573E-2</v>
      </c>
      <c r="V123" s="62">
        <f t="shared" ref="V123:V124" si="141">J123*$R123/4000</f>
        <v>4.3075245940166223E-4</v>
      </c>
      <c r="W123" s="61">
        <f t="shared" ref="W123:W124" si="142">K123*$R123/4000</f>
        <v>5.1245443760936787E-3</v>
      </c>
      <c r="X123" s="61">
        <f t="shared" ref="X123:X124" si="143">L123*$R123/4000</f>
        <v>2.2613192771353862E-3</v>
      </c>
      <c r="Y123" s="61">
        <f t="shared" ref="Y123:Y124" si="144">M123*$R123/4000</f>
        <v>5.0125180561267071E-3</v>
      </c>
      <c r="Z123" s="61">
        <f t="shared" ref="Z123:Z124" si="145">N123*$R123/4000</f>
        <v>2.0551324030119501E-3</v>
      </c>
      <c r="AA123" s="63">
        <f t="shared" ref="AA123:AA124" si="146">O123*$R123/4000</f>
        <v>33.608484116974893</v>
      </c>
      <c r="AB123" s="61">
        <f t="shared" ref="AB123:AB124" si="147">P123*$R123/4000</f>
        <v>1.8833549316044208E-3</v>
      </c>
      <c r="AC123" s="61">
        <f t="shared" ref="AC123:AC124" si="148">Q123*$R123/4000</f>
        <v>3.4280859513525597E-3</v>
      </c>
    </row>
    <row r="124" spans="1:29" x14ac:dyDescent="0.25">
      <c r="A124" s="53" t="s">
        <v>280</v>
      </c>
      <c r="B124" s="54" t="s">
        <v>116</v>
      </c>
      <c r="C124" s="55">
        <v>18</v>
      </c>
      <c r="D124" s="55">
        <v>2018</v>
      </c>
      <c r="E124" s="55">
        <v>35</v>
      </c>
      <c r="F124" s="55">
        <v>80</v>
      </c>
      <c r="G124" s="59">
        <f t="shared" si="91"/>
        <v>8.4540488489516186</v>
      </c>
      <c r="H124" s="59">
        <f t="shared" si="92"/>
        <v>0.76018652056123881</v>
      </c>
      <c r="I124" s="59">
        <f t="shared" si="93"/>
        <v>0.95145178644954631</v>
      </c>
      <c r="J124" s="59">
        <f t="shared" si="94"/>
        <v>1.3447151486435285E-2</v>
      </c>
      <c r="K124" s="59">
        <f t="shared" si="95"/>
        <v>0.15393608947839862</v>
      </c>
      <c r="L124" s="59">
        <f t="shared" si="96"/>
        <v>6.734371981199179E-2</v>
      </c>
      <c r="M124" s="59">
        <f t="shared" si="97"/>
        <v>0.15189448654929416</v>
      </c>
      <c r="N124" s="59">
        <f t="shared" si="137"/>
        <v>6.2276739485210605E-2</v>
      </c>
      <c r="O124" s="59">
        <f t="shared" si="98"/>
        <v>947.83081392704582</v>
      </c>
      <c r="P124" s="59">
        <f t="shared" si="99"/>
        <v>5.7005635653440592E-2</v>
      </c>
      <c r="Q124" s="59">
        <f t="shared" si="100"/>
        <v>0.10385247285120588</v>
      </c>
      <c r="R124" s="60">
        <f t="shared" si="76"/>
        <v>132</v>
      </c>
      <c r="S124" s="59">
        <f t="shared" si="138"/>
        <v>0.27898361201540345</v>
      </c>
      <c r="T124" s="59">
        <f t="shared" si="139"/>
        <v>2.5086155178520881E-2</v>
      </c>
      <c r="U124" s="61">
        <f t="shared" si="140"/>
        <v>3.1397908952835028E-2</v>
      </c>
      <c r="V124" s="62">
        <f t="shared" si="141"/>
        <v>4.4375599905236438E-4</v>
      </c>
      <c r="W124" s="61">
        <f t="shared" si="142"/>
        <v>5.0798909527871548E-3</v>
      </c>
      <c r="X124" s="61">
        <f t="shared" si="143"/>
        <v>2.2223427537957294E-3</v>
      </c>
      <c r="Y124" s="61">
        <f t="shared" si="144"/>
        <v>5.0125180561267071E-3</v>
      </c>
      <c r="Z124" s="61">
        <f t="shared" si="145"/>
        <v>2.0551324030119501E-3</v>
      </c>
      <c r="AA124" s="63">
        <f t="shared" si="146"/>
        <v>31.278416859592511</v>
      </c>
      <c r="AB124" s="61">
        <f t="shared" si="147"/>
        <v>1.8811859765635395E-3</v>
      </c>
      <c r="AC124" s="61">
        <f t="shared" si="148"/>
        <v>3.4271316040897942E-3</v>
      </c>
    </row>
    <row r="125" spans="1:29" x14ac:dyDescent="0.25">
      <c r="A125" s="53" t="s">
        <v>281</v>
      </c>
      <c r="B125" s="54" t="s">
        <v>116</v>
      </c>
      <c r="C125" s="55">
        <v>18</v>
      </c>
      <c r="D125" s="55">
        <v>2015</v>
      </c>
      <c r="E125" s="55">
        <v>35</v>
      </c>
      <c r="F125" s="55">
        <v>80</v>
      </c>
      <c r="G125" s="59">
        <f t="shared" si="91"/>
        <v>10.972605739168657</v>
      </c>
      <c r="H125" s="59">
        <f t="shared" si="92"/>
        <v>0.99007046533121468</v>
      </c>
      <c r="I125" s="59">
        <f t="shared" si="93"/>
        <v>1.0720113574239116</v>
      </c>
      <c r="J125" s="59">
        <f t="shared" si="94"/>
        <v>1.3054442121739899E-2</v>
      </c>
      <c r="K125" s="59">
        <f t="shared" si="95"/>
        <v>0.15618504022736809</v>
      </c>
      <c r="L125" s="59">
        <f t="shared" si="96"/>
        <v>6.930987757356312E-2</v>
      </c>
      <c r="M125" s="59">
        <f t="shared" si="97"/>
        <v>0.15189448654929416</v>
      </c>
      <c r="N125" s="59">
        <f t="shared" si="72"/>
        <v>6.2276739485210605E-2</v>
      </c>
      <c r="O125" s="59">
        <f t="shared" si="98"/>
        <v>1051.9683348892318</v>
      </c>
      <c r="P125" s="59">
        <f t="shared" si="99"/>
        <v>5.7098690502200837E-2</v>
      </c>
      <c r="Q125" s="59">
        <f t="shared" si="100"/>
        <v>0.10389341728690304</v>
      </c>
      <c r="R125" s="60">
        <f t="shared" si="76"/>
        <v>132</v>
      </c>
      <c r="S125" s="59">
        <f t="shared" si="77"/>
        <v>0.36209598939256571</v>
      </c>
      <c r="T125" s="59">
        <f t="shared" si="77"/>
        <v>3.2672325355930086E-2</v>
      </c>
      <c r="U125" s="61">
        <f t="shared" si="77"/>
        <v>3.5376374794989084E-2</v>
      </c>
      <c r="V125" s="62">
        <f t="shared" si="77"/>
        <v>4.3079659001741665E-4</v>
      </c>
      <c r="W125" s="61">
        <f t="shared" si="77"/>
        <v>5.1541063275031473E-3</v>
      </c>
      <c r="X125" s="61">
        <f t="shared" si="77"/>
        <v>2.2872259599275831E-3</v>
      </c>
      <c r="Y125" s="61">
        <f t="shared" si="77"/>
        <v>5.0125180561267071E-3</v>
      </c>
      <c r="Z125" s="61">
        <f t="shared" si="77"/>
        <v>2.0551324030119501E-3</v>
      </c>
      <c r="AA125" s="63">
        <f t="shared" si="77"/>
        <v>34.714955051344646</v>
      </c>
      <c r="AB125" s="61">
        <f t="shared" si="77"/>
        <v>1.8842567865726277E-3</v>
      </c>
      <c r="AC125" s="61">
        <f t="shared" si="77"/>
        <v>3.4284827704678003E-3</v>
      </c>
    </row>
    <row r="126" spans="1:29" x14ac:dyDescent="0.25">
      <c r="A126" s="53" t="s">
        <v>281</v>
      </c>
      <c r="B126" s="54" t="s">
        <v>116</v>
      </c>
      <c r="C126" s="55">
        <v>18</v>
      </c>
      <c r="D126" s="55">
        <v>2016</v>
      </c>
      <c r="E126" s="55">
        <v>35</v>
      </c>
      <c r="F126" s="55">
        <v>80</v>
      </c>
      <c r="G126" s="59">
        <f t="shared" si="91"/>
        <v>10.018920890924033</v>
      </c>
      <c r="H126" s="59">
        <f t="shared" si="92"/>
        <v>0.90481193465270437</v>
      </c>
      <c r="I126" s="59">
        <f t="shared" si="93"/>
        <v>0.99512344836950228</v>
      </c>
      <c r="J126" s="59">
        <f t="shared" si="94"/>
        <v>1.3053104830353402E-2</v>
      </c>
      <c r="K126" s="59">
        <f t="shared" si="95"/>
        <v>0.15528922351799027</v>
      </c>
      <c r="L126" s="59">
        <f t="shared" si="96"/>
        <v>6.8524826579860185E-2</v>
      </c>
      <c r="M126" s="59">
        <f t="shared" si="97"/>
        <v>0.15189448654929416</v>
      </c>
      <c r="N126" s="59">
        <f t="shared" ref="N126:N127" si="149">0.41*M126</f>
        <v>6.2276739485210605E-2</v>
      </c>
      <c r="O126" s="59">
        <f t="shared" si="98"/>
        <v>1018.4389126356028</v>
      </c>
      <c r="P126" s="59">
        <f t="shared" si="99"/>
        <v>5.707136156377033E-2</v>
      </c>
      <c r="Q126" s="59">
        <f t="shared" si="100"/>
        <v>0.10388139246522908</v>
      </c>
      <c r="R126" s="60">
        <f t="shared" si="76"/>
        <v>132</v>
      </c>
      <c r="S126" s="59">
        <f t="shared" ref="S126:S127" si="150">G126*$R126/4000</f>
        <v>0.3306243894004931</v>
      </c>
      <c r="T126" s="59">
        <f t="shared" ref="T126:T127" si="151">H126*$R126/4000</f>
        <v>2.9858793843539247E-2</v>
      </c>
      <c r="U126" s="61">
        <f t="shared" ref="U126:U127" si="152">I126*$R126/4000</f>
        <v>3.2839073796193573E-2</v>
      </c>
      <c r="V126" s="62">
        <f t="shared" ref="V126:V127" si="153">J126*$R126/4000</f>
        <v>4.3075245940166223E-4</v>
      </c>
      <c r="W126" s="61">
        <f t="shared" ref="W126:W127" si="154">K126*$R126/4000</f>
        <v>5.1245443760936787E-3</v>
      </c>
      <c r="X126" s="61">
        <f t="shared" ref="X126:X127" si="155">L126*$R126/4000</f>
        <v>2.2613192771353862E-3</v>
      </c>
      <c r="Y126" s="61">
        <f t="shared" ref="Y126:Y127" si="156">M126*$R126/4000</f>
        <v>5.0125180561267071E-3</v>
      </c>
      <c r="Z126" s="61">
        <f t="shared" ref="Z126:Z127" si="157">N126*$R126/4000</f>
        <v>2.0551324030119501E-3</v>
      </c>
      <c r="AA126" s="63">
        <f t="shared" ref="AA126:AA127" si="158">O126*$R126/4000</f>
        <v>33.608484116974893</v>
      </c>
      <c r="AB126" s="61">
        <f t="shared" ref="AB126:AB127" si="159">P126*$R126/4000</f>
        <v>1.8833549316044208E-3</v>
      </c>
      <c r="AC126" s="61">
        <f t="shared" ref="AC126:AC127" si="160">Q126*$R126/4000</f>
        <v>3.4280859513525597E-3</v>
      </c>
    </row>
    <row r="127" spans="1:29" x14ac:dyDescent="0.25">
      <c r="A127" s="53" t="s">
        <v>281</v>
      </c>
      <c r="B127" s="54" t="s">
        <v>116</v>
      </c>
      <c r="C127" s="55">
        <v>18</v>
      </c>
      <c r="D127" s="55">
        <v>2018</v>
      </c>
      <c r="E127" s="55">
        <v>35</v>
      </c>
      <c r="F127" s="55">
        <v>80</v>
      </c>
      <c r="G127" s="59">
        <f t="shared" si="91"/>
        <v>8.4540488489516186</v>
      </c>
      <c r="H127" s="59">
        <f t="shared" si="92"/>
        <v>0.76018652056123881</v>
      </c>
      <c r="I127" s="59">
        <f t="shared" si="93"/>
        <v>0.95145178644954631</v>
      </c>
      <c r="J127" s="59">
        <f t="shared" si="94"/>
        <v>1.3447151486435285E-2</v>
      </c>
      <c r="K127" s="59">
        <f t="shared" si="95"/>
        <v>0.15393608947839862</v>
      </c>
      <c r="L127" s="59">
        <f t="shared" si="96"/>
        <v>6.734371981199179E-2</v>
      </c>
      <c r="M127" s="59">
        <f t="shared" si="97"/>
        <v>0.15189448654929416</v>
      </c>
      <c r="N127" s="59">
        <f t="shared" si="149"/>
        <v>6.2276739485210605E-2</v>
      </c>
      <c r="O127" s="59">
        <f t="shared" si="98"/>
        <v>947.83081392704582</v>
      </c>
      <c r="P127" s="59">
        <f t="shared" si="99"/>
        <v>5.7005635653440592E-2</v>
      </c>
      <c r="Q127" s="59">
        <f t="shared" si="100"/>
        <v>0.10385247285120588</v>
      </c>
      <c r="R127" s="60">
        <f t="shared" si="76"/>
        <v>132</v>
      </c>
      <c r="S127" s="59">
        <f t="shared" si="150"/>
        <v>0.27898361201540345</v>
      </c>
      <c r="T127" s="59">
        <f t="shared" si="151"/>
        <v>2.5086155178520881E-2</v>
      </c>
      <c r="U127" s="61">
        <f t="shared" si="152"/>
        <v>3.1397908952835028E-2</v>
      </c>
      <c r="V127" s="62">
        <f t="shared" si="153"/>
        <v>4.4375599905236438E-4</v>
      </c>
      <c r="W127" s="61">
        <f t="shared" si="154"/>
        <v>5.0798909527871548E-3</v>
      </c>
      <c r="X127" s="61">
        <f t="shared" si="155"/>
        <v>2.2223427537957294E-3</v>
      </c>
      <c r="Y127" s="61">
        <f t="shared" si="156"/>
        <v>5.0125180561267071E-3</v>
      </c>
      <c r="Z127" s="61">
        <f t="shared" si="157"/>
        <v>2.0551324030119501E-3</v>
      </c>
      <c r="AA127" s="63">
        <f t="shared" si="158"/>
        <v>31.278416859592511</v>
      </c>
      <c r="AB127" s="61">
        <f t="shared" si="159"/>
        <v>1.8811859765635395E-3</v>
      </c>
      <c r="AC127" s="61">
        <f t="shared" si="160"/>
        <v>3.4271316040897942E-3</v>
      </c>
    </row>
    <row r="128" spans="1:29" x14ac:dyDescent="0.25">
      <c r="A128" s="53" t="s">
        <v>282</v>
      </c>
      <c r="B128" s="54" t="s">
        <v>116</v>
      </c>
      <c r="C128" s="55">
        <v>12</v>
      </c>
      <c r="D128" s="55">
        <v>2017</v>
      </c>
      <c r="E128" s="55">
        <v>35</v>
      </c>
      <c r="F128" s="55">
        <v>80</v>
      </c>
      <c r="G128" s="59">
        <f t="shared" ref="G128" si="161">C19*($F19*$G19+($H19))/453.59</f>
        <v>6.15673961223471</v>
      </c>
      <c r="H128" s="59">
        <f t="shared" ref="H128" si="162">C19*($F19*$I19+($J19))/453.59</f>
        <v>0.55351417227396571</v>
      </c>
      <c r="I128" s="59">
        <f t="shared" si="93"/>
        <v>0.68183768328983896</v>
      </c>
      <c r="J128" s="59">
        <f t="shared" ref="J128" si="163">C19*($F19*$Q19+($R19))/453.59</f>
        <v>8.9695553990491068E-3</v>
      </c>
      <c r="K128" s="59">
        <f t="shared" ref="K128" si="164">C19*(($F19*($S19+$U19+$V19))+($T19))/453.59</f>
        <v>0.10307134984797071</v>
      </c>
      <c r="L128" s="59">
        <f t="shared" ref="L128" si="165">$C19*(($F19*($W19+$Y19+$Z19))+($X19))/453.59</f>
        <v>4.5287517663347494E-2</v>
      </c>
      <c r="M128" s="59">
        <f t="shared" si="97"/>
        <v>0.10126299103286279</v>
      </c>
      <c r="N128" s="59">
        <f t="shared" si="72"/>
        <v>4.1517826323473742E-2</v>
      </c>
      <c r="O128" s="59">
        <f t="shared" ref="O128" si="166">C19*($F19*$AA19+($AB19))/453.59</f>
        <v>654.63087086317057</v>
      </c>
      <c r="P128" s="59">
        <f t="shared" ref="P128" si="167">C19*($F19*$AC19+($AD19))/453.59</f>
        <v>3.802339521976663E-2</v>
      </c>
      <c r="Q128" s="59">
        <f t="shared" ref="Q128" si="168">C19*($F19*$AE19+($AF19))/453.59</f>
        <v>6.9243622736276711E-2</v>
      </c>
      <c r="R128" s="60">
        <f t="shared" si="76"/>
        <v>132</v>
      </c>
      <c r="S128" s="59">
        <f t="shared" si="77"/>
        <v>0.20317240720374541</v>
      </c>
      <c r="T128" s="59">
        <f t="shared" si="77"/>
        <v>1.8265967685040869E-2</v>
      </c>
      <c r="U128" s="61">
        <f t="shared" si="77"/>
        <v>2.2500643548564684E-2</v>
      </c>
      <c r="V128" s="62">
        <f t="shared" si="77"/>
        <v>2.9599532816862049E-4</v>
      </c>
      <c r="W128" s="61">
        <f t="shared" si="77"/>
        <v>3.4013545449830332E-3</v>
      </c>
      <c r="X128" s="61">
        <f t="shared" si="77"/>
        <v>1.4944880828904675E-3</v>
      </c>
      <c r="Y128" s="61">
        <f t="shared" si="77"/>
        <v>3.341678704084472E-3</v>
      </c>
      <c r="Z128" s="61">
        <f t="shared" si="77"/>
        <v>1.3700882686746333E-3</v>
      </c>
      <c r="AA128" s="63">
        <f t="shared" si="77"/>
        <v>21.602818738484629</v>
      </c>
      <c r="AB128" s="61">
        <f t="shared" si="77"/>
        <v>1.2547720422522988E-3</v>
      </c>
      <c r="AC128" s="61">
        <f t="shared" si="77"/>
        <v>2.2850395502971316E-3</v>
      </c>
    </row>
    <row r="129" spans="1:29" x14ac:dyDescent="0.25">
      <c r="A129" s="53" t="s">
        <v>282</v>
      </c>
      <c r="B129" s="54" t="s">
        <v>116</v>
      </c>
      <c r="C129" s="55">
        <v>12</v>
      </c>
      <c r="D129" s="55">
        <v>2018</v>
      </c>
      <c r="E129" s="55">
        <v>35</v>
      </c>
      <c r="F129" s="55">
        <v>80</v>
      </c>
      <c r="G129" s="59">
        <f>C20*($F20*$G20+($H20))/453.59</f>
        <v>5.6360325659677457</v>
      </c>
      <c r="H129" s="59">
        <f>C20*($F20*$I20+($J20))/453.59</f>
        <v>0.50679101370749258</v>
      </c>
      <c r="I129" s="59">
        <f t="shared" si="93"/>
        <v>0.63430119096636417</v>
      </c>
      <c r="J129" s="59">
        <f>C20*($F20*$Q20+($R20))/453.59</f>
        <v>8.9647676576235218E-3</v>
      </c>
      <c r="K129" s="59">
        <f>C20*(($F20*($S20+$U20+$V20))+($T20))/453.59</f>
        <v>0.10262405965226576</v>
      </c>
      <c r="L129" s="59">
        <f>$C20*(($F20*($W20+$Y20+$Z20))+($X20))/453.59</f>
        <v>4.4895813207994524E-2</v>
      </c>
      <c r="M129" s="59">
        <f t="shared" si="97"/>
        <v>0.10126299103286279</v>
      </c>
      <c r="N129" s="59">
        <f t="shared" ref="N129" si="169">0.41*M129</f>
        <v>4.1517826323473742E-2</v>
      </c>
      <c r="O129" s="59">
        <f>C20*($F20*$AA20+($AB20))/453.59</f>
        <v>631.88720928469718</v>
      </c>
      <c r="P129" s="59">
        <f>C20*($F20*$AC20+($AD20))/453.59</f>
        <v>3.8003757102293735E-2</v>
      </c>
      <c r="Q129" s="59">
        <f>C20*($F20*$AE20+($AF20))/453.59</f>
        <v>6.9234981900803919E-2</v>
      </c>
      <c r="R129" s="60">
        <f t="shared" si="76"/>
        <v>132</v>
      </c>
      <c r="S129" s="59">
        <f t="shared" ref="S129" si="170">G129*$R129/4000</f>
        <v>0.18598907467693562</v>
      </c>
      <c r="T129" s="59">
        <f t="shared" ref="T129" si="171">H129*$R129/4000</f>
        <v>1.6724103452347254E-2</v>
      </c>
      <c r="U129" s="61">
        <f t="shared" ref="U129" si="172">I129*$R129/4000</f>
        <v>2.093193930189002E-2</v>
      </c>
      <c r="V129" s="62">
        <f t="shared" ref="V129" si="173">J129*$R129/4000</f>
        <v>2.9583733270157622E-4</v>
      </c>
      <c r="W129" s="61">
        <f t="shared" ref="W129" si="174">K129*$R129/4000</f>
        <v>3.3865939685247702E-3</v>
      </c>
      <c r="X129" s="61">
        <f t="shared" ref="X129" si="175">L129*$R129/4000</f>
        <v>1.4815618358638193E-3</v>
      </c>
      <c r="Y129" s="61">
        <f t="shared" ref="Y129" si="176">M129*$R129/4000</f>
        <v>3.341678704084472E-3</v>
      </c>
      <c r="Z129" s="61">
        <f t="shared" ref="Z129" si="177">N129*$R129/4000</f>
        <v>1.3700882686746333E-3</v>
      </c>
      <c r="AA129" s="63">
        <f t="shared" ref="AA129" si="178">O129*$R129/4000</f>
        <v>20.852277906395006</v>
      </c>
      <c r="AB129" s="61">
        <f t="shared" ref="AB129" si="179">P129*$R129/4000</f>
        <v>1.2541239843756934E-3</v>
      </c>
      <c r="AC129" s="61">
        <f t="shared" ref="AC129" si="180">Q129*$R129/4000</f>
        <v>2.2847544027265296E-3</v>
      </c>
    </row>
    <row r="130" spans="1:29" x14ac:dyDescent="0.25">
      <c r="A130" s="154"/>
      <c r="B130" s="50"/>
      <c r="C130" s="50"/>
      <c r="D130" s="50"/>
      <c r="E130" s="50"/>
      <c r="F130" s="50"/>
      <c r="G130" s="156"/>
      <c r="H130" s="156"/>
      <c r="I130" s="156"/>
      <c r="J130" s="156"/>
      <c r="K130" s="156"/>
      <c r="L130" s="156"/>
      <c r="M130" s="155"/>
      <c r="N130" s="155"/>
      <c r="O130" s="155"/>
      <c r="P130" s="155"/>
      <c r="Q130" s="155"/>
      <c r="R130" s="155"/>
      <c r="S130" s="156"/>
      <c r="T130" s="156"/>
      <c r="U130" s="156"/>
      <c r="V130" s="156"/>
      <c r="W130" s="156"/>
      <c r="X130" s="156"/>
      <c r="Y130" s="155"/>
      <c r="Z130" s="155"/>
      <c r="AA130" s="52"/>
      <c r="AB130" s="155"/>
      <c r="AC130" s="155"/>
    </row>
    <row r="131" spans="1:29" x14ac:dyDescent="0.25">
      <c r="A131" s="53" t="s">
        <v>171</v>
      </c>
      <c r="B131" s="54" t="s">
        <v>116</v>
      </c>
      <c r="C131" s="55">
        <v>8</v>
      </c>
      <c r="D131" s="55">
        <v>2016</v>
      </c>
      <c r="E131" s="55">
        <v>35</v>
      </c>
      <c r="F131" s="55">
        <v>80</v>
      </c>
      <c r="G131" s="59">
        <f t="shared" ref="G131:G132" si="181">C22*($F22*$G22+($H22))/453.59</f>
        <v>4.4528537292995702</v>
      </c>
      <c r="H131" s="59">
        <f t="shared" ref="H131:H132" si="182">C22*($F22*$I22+($J22))/453.59</f>
        <v>0.40213863762342417</v>
      </c>
      <c r="I131" s="59">
        <f t="shared" ref="I131:I138" si="183">C22*(($F22*$K22)+($L22)+($M22)+($F22*$O22)+(($N22+$P22)))/453.59</f>
        <v>0.44227708816422323</v>
      </c>
      <c r="J131" s="59">
        <f t="shared" ref="J131:J132" si="184">C22*($F22*$Q22+($R22))/453.59</f>
        <v>5.8013799246015123E-3</v>
      </c>
      <c r="K131" s="59">
        <f t="shared" ref="K131:K132" si="185">C22*(($F22*($S22+$U22+$V22))+($T22))/453.59</f>
        <v>6.9017432674662343E-2</v>
      </c>
      <c r="L131" s="59">
        <f t="shared" ref="L131:L132" si="186">$C22*(($F22*($W22+$Y22+$Z22))+($X22))/453.59</f>
        <v>3.0455478479937861E-2</v>
      </c>
      <c r="M131" s="59">
        <f t="shared" ref="M131:M132" si="187">$B$46*C22*(F22+6)</f>
        <v>6.7508660688575195E-2</v>
      </c>
      <c r="N131" s="59">
        <f t="shared" ref="N131:N133" si="188">0.21*M131</f>
        <v>1.417681874460079E-2</v>
      </c>
      <c r="O131" s="59">
        <f t="shared" ref="O131:O132" si="189">C22*($F22*$AA22+($AB22))/453.59</f>
        <v>452.63951672693457</v>
      </c>
      <c r="P131" s="59">
        <f t="shared" ref="P131:P132" si="190">C22*($F22*$AC22+($AD22))/453.59</f>
        <v>2.5365049583897924E-2</v>
      </c>
      <c r="Q131" s="59">
        <f t="shared" ref="Q131:Q132" si="191">C22*($F22*$AE22+($AF22))/453.59</f>
        <v>4.6169507762324036E-2</v>
      </c>
      <c r="R131" s="60">
        <f t="shared" ref="R131:R138" si="192">3*22</f>
        <v>66</v>
      </c>
      <c r="S131" s="59">
        <f t="shared" ref="S131:AC133" si="193">G131*$R131/2000</f>
        <v>0.14694417306688581</v>
      </c>
      <c r="T131" s="59">
        <f t="shared" si="193"/>
        <v>1.3270575041572997E-2</v>
      </c>
      <c r="U131" s="61">
        <f t="shared" si="193"/>
        <v>1.4595143909419366E-2</v>
      </c>
      <c r="V131" s="62">
        <f t="shared" si="193"/>
        <v>1.9144553751184988E-4</v>
      </c>
      <c r="W131" s="61">
        <f t="shared" si="193"/>
        <v>2.2775752782638573E-3</v>
      </c>
      <c r="X131" s="61">
        <f t="shared" si="193"/>
        <v>1.0050307898379495E-3</v>
      </c>
      <c r="Y131" s="61">
        <f t="shared" si="193"/>
        <v>2.2277858027229813E-3</v>
      </c>
      <c r="Z131" s="61">
        <f t="shared" si="193"/>
        <v>4.6783501857182609E-4</v>
      </c>
      <c r="AA131" s="63">
        <f t="shared" si="193"/>
        <v>14.937104051988841</v>
      </c>
      <c r="AB131" s="61">
        <f t="shared" si="193"/>
        <v>8.3704663626863157E-4</v>
      </c>
      <c r="AC131" s="61">
        <f t="shared" si="193"/>
        <v>1.5235937561566932E-3</v>
      </c>
    </row>
    <row r="132" spans="1:29" ht="26.4" x14ac:dyDescent="0.25">
      <c r="A132" s="116" t="s">
        <v>172</v>
      </c>
      <c r="B132" s="54" t="s">
        <v>116</v>
      </c>
      <c r="C132" s="55">
        <v>8</v>
      </c>
      <c r="D132" s="55">
        <v>2018</v>
      </c>
      <c r="E132" s="55">
        <v>35</v>
      </c>
      <c r="F132" s="55">
        <v>80</v>
      </c>
      <c r="G132" s="59">
        <f t="shared" si="181"/>
        <v>4.5807112820394709</v>
      </c>
      <c r="H132" s="59">
        <f t="shared" si="182"/>
        <v>0.42319876653622734</v>
      </c>
      <c r="I132" s="59">
        <f t="shared" si="183"/>
        <v>0.49448207762551699</v>
      </c>
      <c r="J132" s="59">
        <f t="shared" si="184"/>
        <v>5.8130726974836219E-3</v>
      </c>
      <c r="K132" s="59">
        <f t="shared" si="185"/>
        <v>6.9384060027000191E-2</v>
      </c>
      <c r="L132" s="59">
        <f t="shared" si="186"/>
        <v>3.0772595846464443E-2</v>
      </c>
      <c r="M132" s="59">
        <f t="shared" si="187"/>
        <v>6.7508660688575195E-2</v>
      </c>
      <c r="N132" s="59">
        <f t="shared" si="188"/>
        <v>1.417681874460079E-2</v>
      </c>
      <c r="O132" s="59">
        <f t="shared" si="189"/>
        <v>520.04650213333559</v>
      </c>
      <c r="P132" s="59">
        <f t="shared" si="190"/>
        <v>2.5389232533173437E-2</v>
      </c>
      <c r="Q132" s="59">
        <f t="shared" si="191"/>
        <v>4.6180148338551615E-2</v>
      </c>
      <c r="R132" s="60">
        <f t="shared" si="192"/>
        <v>66</v>
      </c>
      <c r="S132" s="59">
        <f t="shared" si="193"/>
        <v>0.15116347230730254</v>
      </c>
      <c r="T132" s="59">
        <f t="shared" si="193"/>
        <v>1.3965559295695502E-2</v>
      </c>
      <c r="U132" s="61">
        <f t="shared" si="193"/>
        <v>1.6317908561642062E-2</v>
      </c>
      <c r="V132" s="62">
        <f t="shared" si="193"/>
        <v>1.9183139901695953E-4</v>
      </c>
      <c r="W132" s="61">
        <f t="shared" si="193"/>
        <v>2.2896739808910063E-3</v>
      </c>
      <c r="X132" s="61">
        <f t="shared" si="193"/>
        <v>1.0154956629333267E-3</v>
      </c>
      <c r="Y132" s="61">
        <f t="shared" si="193"/>
        <v>2.2277858027229813E-3</v>
      </c>
      <c r="Z132" s="61">
        <f t="shared" si="193"/>
        <v>4.6783501857182609E-4</v>
      </c>
      <c r="AA132" s="63">
        <f t="shared" si="193"/>
        <v>17.161534570400075</v>
      </c>
      <c r="AB132" s="61">
        <f t="shared" si="193"/>
        <v>8.3784467359472343E-4</v>
      </c>
      <c r="AC132" s="61">
        <f t="shared" si="193"/>
        <v>1.5239448951722032E-3</v>
      </c>
    </row>
    <row r="133" spans="1:29" ht="26.4" x14ac:dyDescent="0.25">
      <c r="A133" s="53" t="s">
        <v>658</v>
      </c>
      <c r="B133" s="54" t="s">
        <v>116</v>
      </c>
      <c r="C133" s="55">
        <v>11</v>
      </c>
      <c r="D133" s="55">
        <v>2015</v>
      </c>
      <c r="E133" s="55">
        <v>35</v>
      </c>
      <c r="F133" s="55">
        <v>80</v>
      </c>
      <c r="G133" s="59">
        <f>C24*($F24*$G24+($H24))/453.59</f>
        <v>6.7054812850475116</v>
      </c>
      <c r="H133" s="59">
        <f>C24*($F24*$I24+($J24))/453.59</f>
        <v>0.60504306214685344</v>
      </c>
      <c r="I133" s="59">
        <f t="shared" si="183"/>
        <v>0.65511805175905713</v>
      </c>
      <c r="J133" s="59">
        <f>C24*($F24*$Q24+($R24))/453.59</f>
        <v>7.9777146299521585E-3</v>
      </c>
      <c r="K133" s="59">
        <f>C24*(($F24*($S24+$U24+$V24))+($T24))/453.59</f>
        <v>9.54464134722805E-2</v>
      </c>
      <c r="L133" s="59">
        <f t="shared" ref="L133:L138" si="194">$C24*(($F24*($W24+$Y24+$Z24))+($X24))/453.59</f>
        <v>4.2356036294955247E-2</v>
      </c>
      <c r="M133" s="59">
        <f>$B$46*C24*(F24+6)</f>
        <v>9.2824408446790893E-2</v>
      </c>
      <c r="N133" s="59">
        <f t="shared" si="188"/>
        <v>1.9493125773826087E-2</v>
      </c>
      <c r="O133" s="59">
        <f>C24*($F24*$AA24+($AB24))/453.59</f>
        <v>642.86953798786374</v>
      </c>
      <c r="P133" s="59">
        <f>C24*($F24*$AC24+($AD24))/453.59</f>
        <v>3.48936441957894E-2</v>
      </c>
      <c r="Q133" s="59">
        <f>C24*($F24*$AE24+($AF24))/453.59</f>
        <v>6.3490421675329631E-2</v>
      </c>
      <c r="R133" s="60">
        <f t="shared" si="192"/>
        <v>66</v>
      </c>
      <c r="S133" s="59">
        <f t="shared" si="193"/>
        <v>0.22128088240656787</v>
      </c>
      <c r="T133" s="59">
        <f t="shared" si="193"/>
        <v>1.9966421050846166E-2</v>
      </c>
      <c r="U133" s="61">
        <f t="shared" si="193"/>
        <v>2.1618895708048886E-2</v>
      </c>
      <c r="V133" s="62">
        <f t="shared" si="193"/>
        <v>2.6326458278842123E-4</v>
      </c>
      <c r="W133" s="61">
        <f t="shared" si="193"/>
        <v>3.1497316445852565E-3</v>
      </c>
      <c r="X133" s="61">
        <f t="shared" si="193"/>
        <v>1.3977491977335233E-3</v>
      </c>
      <c r="Y133" s="61">
        <f t="shared" si="193"/>
        <v>3.0632054787440993E-3</v>
      </c>
      <c r="Z133" s="61">
        <f t="shared" si="193"/>
        <v>6.4327315053626084E-4</v>
      </c>
      <c r="AA133" s="63">
        <f t="shared" si="193"/>
        <v>21.214694753599503</v>
      </c>
      <c r="AB133" s="61">
        <f t="shared" si="193"/>
        <v>1.1514902584610503E-3</v>
      </c>
      <c r="AC133" s="61">
        <f t="shared" si="193"/>
        <v>2.0951839152858779E-3</v>
      </c>
    </row>
    <row r="134" spans="1:29" ht="26.4" x14ac:dyDescent="0.25">
      <c r="A134" s="53" t="s">
        <v>174</v>
      </c>
      <c r="B134" s="54" t="s">
        <v>116</v>
      </c>
      <c r="C134" s="55">
        <v>16</v>
      </c>
      <c r="D134" s="55">
        <v>2015</v>
      </c>
      <c r="E134" s="55">
        <v>35</v>
      </c>
      <c r="F134" s="55">
        <v>80</v>
      </c>
      <c r="G134" s="59">
        <f>C25*($F25*$G25+($H25))/453.59</f>
        <v>9.7534273237054734</v>
      </c>
      <c r="H134" s="59">
        <f>C25*($F25*$I25+($J25))/453.59</f>
        <v>0.88006263584996858</v>
      </c>
      <c r="I134" s="59">
        <f t="shared" si="183"/>
        <v>0.95289898437681031</v>
      </c>
      <c r="J134" s="59">
        <f>C25*($F25*$Q25+($R25))/453.59</f>
        <v>1.1603948552657686E-2</v>
      </c>
      <c r="K134" s="59">
        <f>C25*(($F25*($S25+$U25+$V25))+($T25))/453.59</f>
        <v>0.13883114686877163</v>
      </c>
      <c r="L134" s="59">
        <f t="shared" si="194"/>
        <v>6.1608780065389446E-2</v>
      </c>
      <c r="M134" s="59">
        <f>$B$46*C25*(F25+6)</f>
        <v>0.13501732137715039</v>
      </c>
      <c r="N134" s="59">
        <f t="shared" ref="N134:N137" si="195">0.21*M134</f>
        <v>2.835363748920158E-2</v>
      </c>
      <c r="O134" s="59">
        <f>C25*($F25*$AA25+($AB25))/453.59</f>
        <v>935.08296434598378</v>
      </c>
      <c r="P134" s="59">
        <f>C25*($F25*$AC25+($AD25))/453.59</f>
        <v>5.0754391557511859E-2</v>
      </c>
      <c r="Q134" s="59">
        <f>C25*($F25*$AE25+($AF25))/453.59</f>
        <v>9.2349704255024923E-2</v>
      </c>
      <c r="R134" s="60">
        <f t="shared" si="192"/>
        <v>66</v>
      </c>
      <c r="S134" s="59">
        <f t="shared" ref="S134:S137" si="196">G134*$R134/2000</f>
        <v>0.32186310168228061</v>
      </c>
      <c r="T134" s="59">
        <f t="shared" ref="T134:T137" si="197">H134*$R134/2000</f>
        <v>2.904206698304896E-2</v>
      </c>
      <c r="U134" s="61">
        <f t="shared" ref="U134:U137" si="198">I134*$R134/2000</f>
        <v>3.1445666484434739E-2</v>
      </c>
      <c r="V134" s="62">
        <f t="shared" ref="V134:V137" si="199">J134*$R134/2000</f>
        <v>3.8293030223770364E-4</v>
      </c>
      <c r="W134" s="61">
        <f t="shared" ref="W134:W137" si="200">K134*$R134/2000</f>
        <v>4.5814278466694636E-3</v>
      </c>
      <c r="X134" s="61">
        <f t="shared" ref="X134:X137" si="201">L134*$R134/2000</f>
        <v>2.0330897421578517E-3</v>
      </c>
      <c r="Y134" s="61">
        <f t="shared" ref="Y134:Y137" si="202">M134*$R134/2000</f>
        <v>4.4555716054459626E-3</v>
      </c>
      <c r="Z134" s="61">
        <f t="shared" ref="Z134:Z137" si="203">N134*$R134/2000</f>
        <v>9.3567003714365219E-4</v>
      </c>
      <c r="AA134" s="63">
        <f t="shared" ref="AA134:AA137" si="204">O134*$R134/2000</f>
        <v>30.857737823417466</v>
      </c>
      <c r="AB134" s="61">
        <f t="shared" ref="AB134:AB137" si="205">P134*$R134/2000</f>
        <v>1.6748949213978915E-3</v>
      </c>
      <c r="AC134" s="61">
        <f t="shared" ref="AC134:AC137" si="206">Q134*$R134/2000</f>
        <v>3.0475402404158223E-3</v>
      </c>
    </row>
    <row r="135" spans="1:29" ht="26.4" x14ac:dyDescent="0.25">
      <c r="A135" s="53" t="s">
        <v>173</v>
      </c>
      <c r="B135" s="54" t="s">
        <v>116</v>
      </c>
      <c r="C135" s="55">
        <v>11</v>
      </c>
      <c r="D135" s="55">
        <v>2016</v>
      </c>
      <c r="E135" s="55">
        <v>35</v>
      </c>
      <c r="F135" s="55">
        <v>80</v>
      </c>
      <c r="G135" s="59">
        <f>C26*($F26*$G26+($H26))/453.59</f>
        <v>6.1226738777869087</v>
      </c>
      <c r="H135" s="59">
        <f>C26*($F26*$I26+($J26))/453.59</f>
        <v>0.55294062673220823</v>
      </c>
      <c r="I135" s="59">
        <f t="shared" si="183"/>
        <v>0.60813099622580691</v>
      </c>
      <c r="J135" s="59">
        <f>C26*($F26*$Q26+($R26))/453.59</f>
        <v>7.9768973963270789E-3</v>
      </c>
      <c r="K135" s="59">
        <f>C26*(($F26*($S26+$U26+$V26))+($T26))/453.59</f>
        <v>9.4898969927660712E-2</v>
      </c>
      <c r="L135" s="59">
        <f t="shared" si="194"/>
        <v>4.1876282909914561E-2</v>
      </c>
      <c r="M135" s="59">
        <f>$B$46*C26*(F26+6)</f>
        <v>9.2824408446790893E-2</v>
      </c>
      <c r="N135" s="59">
        <f t="shared" si="195"/>
        <v>1.9493125773826087E-2</v>
      </c>
      <c r="O135" s="59">
        <f>C26*($F26*$AA26+($AB26))/453.59</f>
        <v>622.37933549953505</v>
      </c>
      <c r="P135" s="59">
        <f>C26*($F26*$AC26+($AD26))/453.59</f>
        <v>3.4876943177859644E-2</v>
      </c>
      <c r="Q135" s="59">
        <f>C26*($F26*$AE26+($AF26))/453.59</f>
        <v>6.3483073173195556E-2</v>
      </c>
      <c r="R135" s="60">
        <f t="shared" si="192"/>
        <v>66</v>
      </c>
      <c r="S135" s="59">
        <f t="shared" si="196"/>
        <v>0.20204823796696797</v>
      </c>
      <c r="T135" s="59">
        <f t="shared" si="197"/>
        <v>1.824704068216287E-2</v>
      </c>
      <c r="U135" s="61">
        <f t="shared" si="198"/>
        <v>2.0068322875451627E-2</v>
      </c>
      <c r="V135" s="62">
        <f t="shared" si="199"/>
        <v>2.6323761407879361E-4</v>
      </c>
      <c r="W135" s="61">
        <f t="shared" si="200"/>
        <v>3.1316660076128031E-3</v>
      </c>
      <c r="X135" s="61">
        <f t="shared" si="201"/>
        <v>1.3819173360271806E-3</v>
      </c>
      <c r="Y135" s="61">
        <f t="shared" si="202"/>
        <v>3.0632054787440993E-3</v>
      </c>
      <c r="Z135" s="61">
        <f t="shared" si="203"/>
        <v>6.4327315053626084E-4</v>
      </c>
      <c r="AA135" s="63">
        <f t="shared" si="204"/>
        <v>20.538518071484656</v>
      </c>
      <c r="AB135" s="61">
        <f t="shared" si="205"/>
        <v>1.1509391248693682E-3</v>
      </c>
      <c r="AC135" s="61">
        <f t="shared" si="206"/>
        <v>2.0949414147154533E-3</v>
      </c>
    </row>
    <row r="136" spans="1:29" ht="26.4" x14ac:dyDescent="0.25">
      <c r="A136" s="53" t="s">
        <v>175</v>
      </c>
      <c r="B136" s="54" t="s">
        <v>116</v>
      </c>
      <c r="C136" s="55">
        <v>11</v>
      </c>
      <c r="D136" s="55">
        <v>2017</v>
      </c>
      <c r="E136" s="55">
        <v>35</v>
      </c>
      <c r="F136" s="55">
        <v>80</v>
      </c>
      <c r="G136" s="59">
        <f>C27*($F27*$G27+($H27))/453.59</f>
        <v>5.6436779778818167</v>
      </c>
      <c r="H136" s="59">
        <f>C27*($F27*$I27+($J27))/453.59</f>
        <v>0.5073879912511351</v>
      </c>
      <c r="I136" s="59">
        <f t="shared" si="183"/>
        <v>0.62501787634901895</v>
      </c>
      <c r="J136" s="59">
        <f>C27*($F27*$Q27+($R27))/453.59</f>
        <v>8.2220924491283476E-3</v>
      </c>
      <c r="K136" s="59">
        <f>C27*(($F27*($S27+$U27+$V27))+($T27))/453.59</f>
        <v>9.4482070693973158E-2</v>
      </c>
      <c r="L136" s="59">
        <f t="shared" si="194"/>
        <v>4.1513557858068539E-2</v>
      </c>
      <c r="M136" s="59">
        <f>$B$46*C27*(F27+6)</f>
        <v>9.2824408446790893E-2</v>
      </c>
      <c r="N136" s="59">
        <f t="shared" si="195"/>
        <v>1.9493125773826087E-2</v>
      </c>
      <c r="O136" s="59">
        <f>C27*($F27*$AA27+($AB27))/453.59</f>
        <v>600.07829829123966</v>
      </c>
      <c r="P136" s="59">
        <f>C27*($F27*$AC27+($AD27))/453.59</f>
        <v>3.4854778951452753E-2</v>
      </c>
      <c r="Q136" s="59">
        <f>C27*($F27*$AE27+($AF27))/453.59</f>
        <v>6.347332084158698E-2</v>
      </c>
      <c r="R136" s="60">
        <f t="shared" si="192"/>
        <v>66</v>
      </c>
      <c r="S136" s="59">
        <f t="shared" si="196"/>
        <v>0.18624137327009996</v>
      </c>
      <c r="T136" s="59">
        <f t="shared" si="197"/>
        <v>1.6743803711287458E-2</v>
      </c>
      <c r="U136" s="61">
        <f t="shared" si="198"/>
        <v>2.0625589919517625E-2</v>
      </c>
      <c r="V136" s="62">
        <f t="shared" si="199"/>
        <v>2.7132905082123546E-4</v>
      </c>
      <c r="W136" s="61">
        <f t="shared" si="200"/>
        <v>3.1179083329011142E-3</v>
      </c>
      <c r="X136" s="61">
        <f t="shared" si="201"/>
        <v>1.3699474093162617E-3</v>
      </c>
      <c r="Y136" s="61">
        <f t="shared" si="202"/>
        <v>3.0632054787440993E-3</v>
      </c>
      <c r="Z136" s="61">
        <f t="shared" si="203"/>
        <v>6.4327315053626084E-4</v>
      </c>
      <c r="AA136" s="63">
        <f t="shared" si="204"/>
        <v>19.802583843610908</v>
      </c>
      <c r="AB136" s="61">
        <f t="shared" si="205"/>
        <v>1.1502077053979409E-3</v>
      </c>
      <c r="AC136" s="61">
        <f t="shared" si="206"/>
        <v>2.0946195877723705E-3</v>
      </c>
    </row>
    <row r="137" spans="1:29" ht="26.4" x14ac:dyDescent="0.25">
      <c r="A137" s="53" t="s">
        <v>176</v>
      </c>
      <c r="B137" s="54" t="s">
        <v>116</v>
      </c>
      <c r="C137" s="55">
        <v>11</v>
      </c>
      <c r="D137" s="55">
        <v>2018</v>
      </c>
      <c r="E137" s="55">
        <v>35</v>
      </c>
      <c r="F137" s="55">
        <v>80</v>
      </c>
      <c r="G137" s="59">
        <f>C28*($F28*$G28+($H28))/453.59</f>
        <v>5.1663631854704333</v>
      </c>
      <c r="H137" s="59">
        <f>C28*($F28*$I28+($J28))/453.59</f>
        <v>0.46455842923186813</v>
      </c>
      <c r="I137" s="59">
        <f t="shared" si="183"/>
        <v>0.58144275838583392</v>
      </c>
      <c r="J137" s="59">
        <f>C28*($F28*$Q28+($R28))/453.59</f>
        <v>8.2177036861548966E-3</v>
      </c>
      <c r="K137" s="59">
        <f>C28*(($F28*($S28+$U28+$V28))+($T28))/453.59</f>
        <v>9.4072054681243619E-2</v>
      </c>
      <c r="L137" s="59">
        <f t="shared" si="194"/>
        <v>4.1154495440661645E-2</v>
      </c>
      <c r="M137" s="59">
        <f>$B$46*C28*(F28+6)</f>
        <v>9.2824408446790893E-2</v>
      </c>
      <c r="N137" s="59">
        <f t="shared" si="195"/>
        <v>1.9493125773826087E-2</v>
      </c>
      <c r="O137" s="59">
        <f>C28*($F28*$AA28+($AB28))/453.59</f>
        <v>579.2299418443057</v>
      </c>
      <c r="P137" s="59">
        <f>C28*($F28*$AC28+($AD28))/453.59</f>
        <v>3.4836777343769255E-2</v>
      </c>
      <c r="Q137" s="59">
        <f>C28*($F28*$AE28+($AF28))/453.59</f>
        <v>6.3465400075736936E-2</v>
      </c>
      <c r="R137" s="60">
        <f t="shared" si="192"/>
        <v>66</v>
      </c>
      <c r="S137" s="59">
        <f t="shared" si="196"/>
        <v>0.1704899851205243</v>
      </c>
      <c r="T137" s="59">
        <f t="shared" si="197"/>
        <v>1.5330428164651648E-2</v>
      </c>
      <c r="U137" s="61">
        <f t="shared" si="198"/>
        <v>1.9187611026732519E-2</v>
      </c>
      <c r="V137" s="62">
        <f t="shared" si="199"/>
        <v>2.7118422164311158E-4</v>
      </c>
      <c r="W137" s="61">
        <f t="shared" si="200"/>
        <v>3.1043778044810397E-3</v>
      </c>
      <c r="X137" s="61">
        <f t="shared" si="201"/>
        <v>1.3580983495418344E-3</v>
      </c>
      <c r="Y137" s="61">
        <f t="shared" si="202"/>
        <v>3.0632054787440993E-3</v>
      </c>
      <c r="Z137" s="61">
        <f t="shared" si="203"/>
        <v>6.4327315053626084E-4</v>
      </c>
      <c r="AA137" s="63">
        <f t="shared" si="204"/>
        <v>19.114588080862088</v>
      </c>
      <c r="AB137" s="61">
        <f t="shared" si="205"/>
        <v>1.1496136523443854E-3</v>
      </c>
      <c r="AC137" s="61">
        <f t="shared" si="206"/>
        <v>2.0943582024993187E-3</v>
      </c>
    </row>
    <row r="138" spans="1:29" ht="26.4" x14ac:dyDescent="0.25">
      <c r="A138" s="53" t="s">
        <v>626</v>
      </c>
      <c r="B138" s="54" t="s">
        <v>116</v>
      </c>
      <c r="C138" s="55">
        <v>6</v>
      </c>
      <c r="D138" s="55">
        <v>2019</v>
      </c>
      <c r="E138" s="55">
        <v>35</v>
      </c>
      <c r="F138" s="55">
        <v>80</v>
      </c>
      <c r="G138" s="59">
        <f t="shared" ref="G138" si="207">C29*($F29*$G29+($H29))/453.59</f>
        <v>2.6147737873065804</v>
      </c>
      <c r="H138" s="59">
        <f t="shared" ref="H138" si="208">C29*($F29*$I29+($J29))/453.59</f>
        <v>0.23457434087912499</v>
      </c>
      <c r="I138" s="59">
        <f t="shared" si="183"/>
        <v>0.30025477444684034</v>
      </c>
      <c r="J138" s="59">
        <f t="shared" ref="J138" si="209">C29*($F29*$Q29+($R29))/453.59</f>
        <v>4.4729898956838909E-3</v>
      </c>
      <c r="K138" s="59">
        <f t="shared" ref="K138" si="210">C29*(($F29*($S29+$U29+$V29))+($T29))/453.59</f>
        <v>5.1143379029946437E-2</v>
      </c>
      <c r="L138" s="59">
        <f t="shared" si="194"/>
        <v>2.2295096687084289E-2</v>
      </c>
      <c r="M138" s="59">
        <f t="shared" ref="M138" si="211">$B$46*C29*(F29+6)</f>
        <v>5.0631495516431396E-2</v>
      </c>
      <c r="N138" s="59">
        <f t="shared" ref="N138" si="212">0.21*M138</f>
        <v>1.0632614058450594E-2</v>
      </c>
      <c r="O138" s="59">
        <f t="shared" ref="O138" si="213">C29*($F29*$AA29+($AB29))/453.59</f>
        <v>305.31215971533248</v>
      </c>
      <c r="P138" s="59">
        <f t="shared" ref="P138" si="214">C29*($F29*$AC29+($AD29))/453.59</f>
        <v>1.8992672992671444E-2</v>
      </c>
      <c r="Q138" s="59">
        <f t="shared" ref="Q138" si="215">C29*($F29*$AE29+($AF29))/453.59</f>
        <v>3.461344047477307E-2</v>
      </c>
      <c r="R138" s="60">
        <f t="shared" si="192"/>
        <v>66</v>
      </c>
      <c r="S138" s="59">
        <f t="shared" ref="S138" si="216">G138*$R138/2000</f>
        <v>8.6287534981117145E-2</v>
      </c>
      <c r="T138" s="59">
        <f t="shared" ref="T138" si="217">H138*$R138/2000</f>
        <v>7.7409532490111252E-3</v>
      </c>
      <c r="U138" s="61">
        <f t="shared" ref="U138" si="218">I138*$R138/2000</f>
        <v>9.9084075567457304E-3</v>
      </c>
      <c r="V138" s="62">
        <f t="shared" ref="V138" si="219">J138*$R138/2000</f>
        <v>1.4760866655756842E-4</v>
      </c>
      <c r="W138" s="61">
        <f t="shared" ref="W138" si="220">K138*$R138/2000</f>
        <v>1.6877315079882325E-3</v>
      </c>
      <c r="X138" s="61">
        <f t="shared" ref="X138" si="221">L138*$R138/2000</f>
        <v>7.3573819067378156E-4</v>
      </c>
      <c r="Y138" s="61">
        <f t="shared" ref="Y138" si="222">M138*$R138/2000</f>
        <v>1.670839352042236E-3</v>
      </c>
      <c r="Z138" s="61">
        <f t="shared" ref="Z138" si="223">N138*$R138/2000</f>
        <v>3.5087626392886961E-4</v>
      </c>
      <c r="AA138" s="63">
        <f t="shared" ref="AA138" si="224">O138*$R138/2000</f>
        <v>10.075301270605973</v>
      </c>
      <c r="AB138" s="61">
        <f t="shared" ref="AB138" si="225">P138*$R138/2000</f>
        <v>6.2675820875815772E-4</v>
      </c>
      <c r="AC138" s="61">
        <f t="shared" ref="AC138" si="226">Q138*$R138/2000</f>
        <v>1.1422435356675113E-3</v>
      </c>
    </row>
    <row r="143" spans="1:29" x14ac:dyDescent="0.25">
      <c r="A143" s="713" t="s">
        <v>350</v>
      </c>
      <c r="B143" s="713" t="s">
        <v>63</v>
      </c>
      <c r="C143" s="44" t="s">
        <v>115</v>
      </c>
      <c r="D143" s="44"/>
      <c r="E143" s="44" t="s">
        <v>64</v>
      </c>
      <c r="F143" s="44" t="s">
        <v>65</v>
      </c>
      <c r="G143" s="715" t="s">
        <v>75</v>
      </c>
      <c r="H143" s="716"/>
      <c r="I143" s="716"/>
      <c r="J143" s="716"/>
      <c r="K143" s="716"/>
      <c r="L143" s="716"/>
      <c r="M143" s="716"/>
      <c r="N143" s="716"/>
      <c r="O143" s="716"/>
      <c r="P143" s="716"/>
      <c r="Q143" s="717"/>
      <c r="R143" s="48"/>
      <c r="S143" s="715" t="s">
        <v>76</v>
      </c>
      <c r="T143" s="716"/>
      <c r="U143" s="716"/>
      <c r="V143" s="716"/>
      <c r="W143" s="716"/>
      <c r="X143" s="716"/>
      <c r="Y143" s="716"/>
      <c r="Z143" s="716"/>
      <c r="AA143" s="716"/>
      <c r="AB143" s="716"/>
      <c r="AC143" s="717"/>
    </row>
    <row r="144" spans="1:29" ht="66" x14ac:dyDescent="0.25">
      <c r="A144" s="714"/>
      <c r="B144" s="714"/>
      <c r="C144" s="50" t="s">
        <v>77</v>
      </c>
      <c r="D144" s="50" t="s">
        <v>575</v>
      </c>
      <c r="E144" s="50" t="s">
        <v>78</v>
      </c>
      <c r="F144" s="50" t="s">
        <v>79</v>
      </c>
      <c r="G144" s="171" t="s">
        <v>66</v>
      </c>
      <c r="H144" s="171" t="s">
        <v>84</v>
      </c>
      <c r="I144" s="171" t="s">
        <v>85</v>
      </c>
      <c r="J144" s="171" t="s">
        <v>69</v>
      </c>
      <c r="K144" s="171" t="s">
        <v>70</v>
      </c>
      <c r="L144" s="171" t="s">
        <v>71</v>
      </c>
      <c r="M144" s="172" t="s">
        <v>86</v>
      </c>
      <c r="N144" s="172" t="s">
        <v>87</v>
      </c>
      <c r="O144" s="172" t="s">
        <v>72</v>
      </c>
      <c r="P144" s="172" t="s">
        <v>73</v>
      </c>
      <c r="Q144" s="172" t="s">
        <v>74</v>
      </c>
      <c r="R144" s="172" t="s">
        <v>352</v>
      </c>
      <c r="S144" s="171" t="s">
        <v>66</v>
      </c>
      <c r="T144" s="171" t="s">
        <v>84</v>
      </c>
      <c r="U144" s="171" t="s">
        <v>85</v>
      </c>
      <c r="V144" s="171" t="s">
        <v>69</v>
      </c>
      <c r="W144" s="171" t="s">
        <v>70</v>
      </c>
      <c r="X144" s="171" t="s">
        <v>71</v>
      </c>
      <c r="Y144" s="172" t="s">
        <v>86</v>
      </c>
      <c r="Z144" s="172" t="s">
        <v>87</v>
      </c>
      <c r="AA144" s="52" t="s">
        <v>72</v>
      </c>
      <c r="AB144" s="172" t="s">
        <v>73</v>
      </c>
      <c r="AC144" s="172" t="s">
        <v>74</v>
      </c>
    </row>
    <row r="145" spans="1:29" x14ac:dyDescent="0.25">
      <c r="A145" s="53" t="s">
        <v>351</v>
      </c>
      <c r="B145" s="54" t="s">
        <v>116</v>
      </c>
      <c r="C145" s="55">
        <v>10</v>
      </c>
      <c r="D145" s="55">
        <v>2020</v>
      </c>
      <c r="E145" s="55">
        <v>35</v>
      </c>
      <c r="F145" s="55">
        <v>40</v>
      </c>
      <c r="G145" s="59">
        <f>C145*($F145*$G5+($H5))/453.59</f>
        <v>2.2761354165154652</v>
      </c>
      <c r="H145" s="59">
        <f>E145*($F145*$G5+($H5))/453.59</f>
        <v>7.966473957804129</v>
      </c>
      <c r="I145" s="59">
        <f>C145*(($F145*$K5)+($L5)+($M5)+($O5)+(($N5+$P5)))/453.59</f>
        <v>0.15027095160112205</v>
      </c>
      <c r="J145" s="59">
        <f>G145*($F145*$G5+($H5))/453.59</f>
        <v>0.51807924343160316</v>
      </c>
      <c r="K145" s="59">
        <f>C145*(($F145*($S5+$U5+$V5))+($T5))/453.59</f>
        <v>4.2813420839084189E-2</v>
      </c>
      <c r="L145" s="59">
        <f>$C145*(($F145*($W5+$Y5+$Z5))+($X5))/453.59</f>
        <v>1.8760087110086726E-2</v>
      </c>
      <c r="M145" s="59">
        <f>$B$46*C145*(F145+6)</f>
        <v>4.5136604530152009E-2</v>
      </c>
      <c r="N145" s="59">
        <f t="shared" ref="N145" si="227">0.41*M145</f>
        <v>1.8506007857362321E-2</v>
      </c>
      <c r="O145" s="59">
        <f>C145*($F145*$AA5+($AB5))/453.59</f>
        <v>248.89492069973403</v>
      </c>
      <c r="P145" s="59">
        <f>C145*($F145*$AC5+($AD5))/453.59</f>
        <v>1.6028735469968164E-2</v>
      </c>
      <c r="Q145" s="59">
        <f>C145*($F145*$AE5+($AF5))/453.59</f>
        <v>2.8933197892949701E-2</v>
      </c>
      <c r="R145" s="60">
        <v>250</v>
      </c>
      <c r="S145" s="59">
        <f t="shared" ref="S145" si="228">G145*$R145/4000</f>
        <v>0.14225846353221658</v>
      </c>
      <c r="T145" s="59">
        <f t="shared" ref="T145" si="229">H145*$R145/4000</f>
        <v>0.49790462236275806</v>
      </c>
      <c r="U145" s="61">
        <f t="shared" ref="U145" si="230">I145*$R145/4000</f>
        <v>9.3919344750701284E-3</v>
      </c>
      <c r="V145" s="62">
        <f t="shared" ref="V145" si="231">J145*$R145/4000</f>
        <v>3.2379952714475198E-2</v>
      </c>
      <c r="W145" s="61">
        <f t="shared" ref="W145" si="232">K145*$R145/4000</f>
        <v>2.6758388024427618E-3</v>
      </c>
      <c r="X145" s="61">
        <f t="shared" ref="X145" si="233">L145*$R145/4000</f>
        <v>1.1725054443804204E-3</v>
      </c>
      <c r="Y145" s="61">
        <f t="shared" ref="Y145" si="234">M145*$R145/4000</f>
        <v>2.8210377831345006E-3</v>
      </c>
      <c r="Z145" s="61">
        <f t="shared" ref="Z145" si="235">N145*$R145/4000</f>
        <v>1.1566254910851451E-3</v>
      </c>
      <c r="AA145" s="63">
        <f t="shared" ref="AA145" si="236">O145*$R145/4000</f>
        <v>15.555932543733377</v>
      </c>
      <c r="AB145" s="61">
        <f t="shared" ref="AB145" si="237">P145*$R145/4000</f>
        <v>1.0017959668730102E-3</v>
      </c>
      <c r="AC145" s="61">
        <f t="shared" ref="AC145" si="238">Q145*$R145/4000</f>
        <v>1.8083248683093563E-3</v>
      </c>
    </row>
  </sheetData>
  <mergeCells count="21">
    <mergeCell ref="Q2:R2"/>
    <mergeCell ref="A2:A3"/>
    <mergeCell ref="B2:B3"/>
    <mergeCell ref="G2:H2"/>
    <mergeCell ref="I2:J2"/>
    <mergeCell ref="K2:P2"/>
    <mergeCell ref="AS36:BB36"/>
    <mergeCell ref="S2:V2"/>
    <mergeCell ref="W2:Z2"/>
    <mergeCell ref="AA2:AB2"/>
    <mergeCell ref="AC2:AD2"/>
    <mergeCell ref="AE2:AF2"/>
    <mergeCell ref="A143:A144"/>
    <mergeCell ref="B143:B144"/>
    <mergeCell ref="G143:Q143"/>
    <mergeCell ref="S143:AC143"/>
    <mergeCell ref="AG36:AP36"/>
    <mergeCell ref="A111:A112"/>
    <mergeCell ref="B111:B112"/>
    <mergeCell ref="G111:Q111"/>
    <mergeCell ref="S111:AC111"/>
  </mergeCells>
  <pageMargins left="0.75" right="0.75" top="1" bottom="1" header="0.5" footer="0.5"/>
  <pageSetup scale="36" firstPageNumber="16" orientation="landscape" useFirstPageNumber="1" r:id="rId1"/>
  <headerFooter alignWithMargins="0">
    <oddHeader>&amp;CTable A-11
Construction and Operations Worker Commute Emission Calculations
South Orange County Reliability Project</oddHeader>
    <oddFooter>&amp;CA-11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BO222"/>
  <sheetViews>
    <sheetView topLeftCell="A166" zoomScale="75" workbookViewId="0">
      <selection activeCell="C143" sqref="C143"/>
    </sheetView>
  </sheetViews>
  <sheetFormatPr defaultColWidth="9.109375" defaultRowHeight="13.2" x14ac:dyDescent="0.25"/>
  <cols>
    <col min="1" max="1" width="36.5546875" style="41" customWidth="1"/>
    <col min="2" max="2" width="25.6640625" style="41" customWidth="1"/>
    <col min="3" max="3" width="10.88671875" style="41" bestFit="1" customWidth="1"/>
    <col min="4" max="4" width="10.88671875" style="41" customWidth="1"/>
    <col min="5" max="5" width="10.109375" style="41" bestFit="1" customWidth="1"/>
    <col min="6" max="6" width="9.33203125" style="41" bestFit="1" customWidth="1"/>
    <col min="7" max="7" width="11.6640625" style="41" bestFit="1" customWidth="1"/>
    <col min="8" max="8" width="9.33203125" style="41" bestFit="1" customWidth="1"/>
    <col min="9" max="9" width="11.5546875" style="41" bestFit="1" customWidth="1"/>
    <col min="10" max="11" width="9.33203125" style="41" bestFit="1" customWidth="1"/>
    <col min="12" max="13" width="11.5546875" style="41" bestFit="1" customWidth="1"/>
    <col min="14" max="14" width="9.33203125" style="41" bestFit="1" customWidth="1"/>
    <col min="15" max="16" width="10.5546875" style="41" bestFit="1" customWidth="1"/>
    <col min="17" max="17" width="9.33203125" style="41" bestFit="1" customWidth="1"/>
    <col min="18" max="18" width="11.5546875" style="41" bestFit="1" customWidth="1"/>
    <col min="19" max="30" width="9.33203125" style="41" bestFit="1" customWidth="1"/>
    <col min="31" max="31" width="12.33203125" style="43" customWidth="1"/>
    <col min="32" max="33" width="9.33203125" style="41" bestFit="1" customWidth="1"/>
    <col min="34" max="34" width="11.44140625" style="41" customWidth="1"/>
    <col min="35" max="35" width="10.5546875" style="41" customWidth="1"/>
    <col min="36" max="39" width="9.5546875" style="41" customWidth="1"/>
    <col min="40" max="40" width="9.33203125" style="43" bestFit="1" customWidth="1"/>
    <col min="41" max="41" width="9.88671875" style="41" customWidth="1"/>
    <col min="42" max="42" width="9.33203125" style="41" bestFit="1" customWidth="1"/>
    <col min="43" max="16384" width="9.109375" style="41"/>
  </cols>
  <sheetData>
    <row r="6" spans="1:42" ht="26.25" customHeight="1" x14ac:dyDescent="0.35">
      <c r="A6" s="730" t="s">
        <v>113</v>
      </c>
      <c r="B6" s="730" t="s">
        <v>63</v>
      </c>
      <c r="C6" s="730" t="s">
        <v>130</v>
      </c>
      <c r="D6" s="86"/>
      <c r="E6" s="86" t="s">
        <v>64</v>
      </c>
      <c r="F6" s="86" t="s">
        <v>65</v>
      </c>
      <c r="G6" s="45" t="s">
        <v>66</v>
      </c>
      <c r="H6" s="45" t="s">
        <v>67</v>
      </c>
      <c r="I6" s="46" t="s">
        <v>68</v>
      </c>
      <c r="J6" s="45" t="s">
        <v>69</v>
      </c>
      <c r="K6" s="720" t="s">
        <v>70</v>
      </c>
      <c r="L6" s="733"/>
      <c r="M6" s="733"/>
      <c r="N6" s="720" t="s">
        <v>71</v>
      </c>
      <c r="O6" s="733"/>
      <c r="P6" s="733"/>
      <c r="Q6" s="45" t="s">
        <v>72</v>
      </c>
      <c r="R6" s="46" t="s">
        <v>73</v>
      </c>
      <c r="S6" s="46" t="s">
        <v>74</v>
      </c>
      <c r="T6" s="715" t="s">
        <v>75</v>
      </c>
      <c r="U6" s="724"/>
      <c r="V6" s="724"/>
      <c r="W6" s="724"/>
      <c r="X6" s="724"/>
      <c r="Y6" s="725"/>
      <c r="Z6" s="725"/>
      <c r="AA6" s="725"/>
      <c r="AB6" s="725"/>
      <c r="AC6" s="725"/>
      <c r="AD6" s="717"/>
      <c r="AE6" s="69"/>
      <c r="AF6" s="726" t="s">
        <v>76</v>
      </c>
      <c r="AG6" s="727"/>
      <c r="AH6" s="727"/>
      <c r="AI6" s="727"/>
      <c r="AJ6" s="727"/>
      <c r="AK6" s="728"/>
      <c r="AL6" s="728"/>
      <c r="AM6" s="728"/>
      <c r="AN6" s="728"/>
      <c r="AO6" s="728"/>
      <c r="AP6" s="729"/>
    </row>
    <row r="7" spans="1:42" ht="66" x14ac:dyDescent="0.25">
      <c r="A7" s="731"/>
      <c r="B7" s="731"/>
      <c r="C7" s="732"/>
      <c r="D7" s="582" t="s">
        <v>575</v>
      </c>
      <c r="E7" s="87" t="s">
        <v>78</v>
      </c>
      <c r="F7" s="87" t="s">
        <v>79</v>
      </c>
      <c r="G7" s="49" t="s">
        <v>80</v>
      </c>
      <c r="H7" s="50" t="s">
        <v>80</v>
      </c>
      <c r="I7" s="50" t="s">
        <v>80</v>
      </c>
      <c r="J7" s="50" t="s">
        <v>80</v>
      </c>
      <c r="K7" s="46" t="s">
        <v>80</v>
      </c>
      <c r="L7" s="46" t="s">
        <v>82</v>
      </c>
      <c r="M7" s="46" t="s">
        <v>83</v>
      </c>
      <c r="N7" s="46" t="s">
        <v>80</v>
      </c>
      <c r="O7" s="46" t="s">
        <v>82</v>
      </c>
      <c r="P7" s="46" t="s">
        <v>83</v>
      </c>
      <c r="Q7" s="50" t="s">
        <v>80</v>
      </c>
      <c r="R7" s="46" t="s">
        <v>80</v>
      </c>
      <c r="S7" s="46" t="s">
        <v>80</v>
      </c>
      <c r="T7" s="74" t="s">
        <v>66</v>
      </c>
      <c r="U7" s="74" t="s">
        <v>84</v>
      </c>
      <c r="V7" s="74" t="s">
        <v>85</v>
      </c>
      <c r="W7" s="74" t="s">
        <v>69</v>
      </c>
      <c r="X7" s="74" t="s">
        <v>70</v>
      </c>
      <c r="Y7" s="74" t="s">
        <v>71</v>
      </c>
      <c r="Z7" s="75" t="s">
        <v>86</v>
      </c>
      <c r="AA7" s="75" t="s">
        <v>87</v>
      </c>
      <c r="AB7" s="75" t="s">
        <v>72</v>
      </c>
      <c r="AC7" s="75" t="s">
        <v>73</v>
      </c>
      <c r="AD7" s="75" t="s">
        <v>74</v>
      </c>
      <c r="AE7" s="52" t="s">
        <v>129</v>
      </c>
      <c r="AF7" s="74" t="s">
        <v>66</v>
      </c>
      <c r="AG7" s="74" t="s">
        <v>84</v>
      </c>
      <c r="AH7" s="74" t="s">
        <v>85</v>
      </c>
      <c r="AI7" s="74" t="s">
        <v>69</v>
      </c>
      <c r="AJ7" s="74" t="s">
        <v>70</v>
      </c>
      <c r="AK7" s="74" t="s">
        <v>71</v>
      </c>
      <c r="AL7" s="75" t="s">
        <v>86</v>
      </c>
      <c r="AM7" s="75" t="s">
        <v>87</v>
      </c>
      <c r="AN7" s="76" t="s">
        <v>72</v>
      </c>
      <c r="AO7" s="74" t="s">
        <v>73</v>
      </c>
      <c r="AP7" s="74" t="s">
        <v>74</v>
      </c>
    </row>
    <row r="8" spans="1:42" ht="26.4" x14ac:dyDescent="0.25">
      <c r="A8" s="177" t="s">
        <v>277</v>
      </c>
      <c r="B8" s="87"/>
      <c r="C8" s="166"/>
      <c r="D8" s="166"/>
      <c r="E8" s="87"/>
      <c r="F8" s="87"/>
      <c r="G8" s="154"/>
      <c r="H8" s="50"/>
      <c r="I8" s="50"/>
      <c r="J8" s="50"/>
      <c r="K8" s="155"/>
      <c r="L8" s="155"/>
      <c r="M8" s="155"/>
      <c r="N8" s="155"/>
      <c r="O8" s="155"/>
      <c r="P8" s="155"/>
      <c r="Q8" s="50"/>
      <c r="R8" s="155"/>
      <c r="S8" s="155"/>
      <c r="T8" s="74"/>
      <c r="U8" s="74"/>
      <c r="V8" s="74"/>
      <c r="W8" s="74"/>
      <c r="X8" s="74"/>
      <c r="Y8" s="74"/>
      <c r="Z8" s="75"/>
      <c r="AA8" s="75"/>
      <c r="AB8" s="75"/>
      <c r="AC8" s="75"/>
      <c r="AD8" s="75"/>
      <c r="AE8" s="52"/>
      <c r="AF8" s="74"/>
      <c r="AG8" s="74"/>
      <c r="AH8" s="74"/>
      <c r="AI8" s="74"/>
      <c r="AJ8" s="74"/>
      <c r="AK8" s="74"/>
      <c r="AL8" s="75"/>
      <c r="AM8" s="75"/>
      <c r="AN8" s="76"/>
      <c r="AO8" s="74"/>
      <c r="AP8" s="74"/>
    </row>
    <row r="9" spans="1:42" x14ac:dyDescent="0.25">
      <c r="A9" s="91" t="s">
        <v>114</v>
      </c>
      <c r="B9" s="89" t="s">
        <v>107</v>
      </c>
      <c r="C9" s="92">
        <v>5</v>
      </c>
      <c r="D9" s="90">
        <v>2019</v>
      </c>
      <c r="E9" s="90">
        <v>15</v>
      </c>
      <c r="F9" s="90">
        <v>60</v>
      </c>
      <c r="G9" s="145">
        <v>0.495117088409599</v>
      </c>
      <c r="H9" s="145">
        <v>0.55235212666934397</v>
      </c>
      <c r="I9" s="145">
        <v>9.4014833022170702E-2</v>
      </c>
      <c r="J9" s="145">
        <v>3.18613688227605E-3</v>
      </c>
      <c r="K9" s="145">
        <v>7.7197004574779099E-2</v>
      </c>
      <c r="L9" s="56">
        <v>7.99995847163921E-3</v>
      </c>
      <c r="M9" s="56">
        <v>3.6749815577381599E-2</v>
      </c>
      <c r="N9" s="145">
        <v>7.1021248482833699E-2</v>
      </c>
      <c r="O9" s="56">
        <v>1.9999896145790402E-3</v>
      </c>
      <c r="P9" s="56">
        <v>1.57499200131354E-2</v>
      </c>
      <c r="Q9" s="145">
        <v>273.54093417721299</v>
      </c>
      <c r="R9" s="56">
        <f>0.000057143*Q9</f>
        <v>1.5630949601688482E-2</v>
      </c>
      <c r="S9" s="93">
        <f>0.000025616*Q9</f>
        <v>7.0070245698834882E-3</v>
      </c>
      <c r="T9" s="59">
        <f>C9*($F9*$G9)/453.59</f>
        <v>0.32746561106479355</v>
      </c>
      <c r="U9" s="59">
        <f>C9*($F9*$H9)/453.59</f>
        <v>0.36532030688684319</v>
      </c>
      <c r="V9" s="59">
        <f>C9*(($F9*$I9))/453.59</f>
        <v>6.2180493191320831E-2</v>
      </c>
      <c r="W9" s="59">
        <f>C9*($F9*$J9)/453.59</f>
        <v>2.1072798445354065E-3</v>
      </c>
      <c r="X9" s="59">
        <f>C9*(($F9*($K9+$L9+$M9)))/453.59</f>
        <v>8.0654409460393692E-2</v>
      </c>
      <c r="Y9" s="59">
        <f>C9*(($F9*($N9+$O9+$P9)))/453.59</f>
        <v>5.8712377771036488E-2</v>
      </c>
      <c r="Z9" s="59">
        <f>C9*(F9)*$B$220</f>
        <v>2.943691599792523E-2</v>
      </c>
      <c r="AA9" s="59">
        <f>Z9*0.21</f>
        <v>6.181752359564298E-3</v>
      </c>
      <c r="AB9" s="59">
        <f>C9*(($F9*($Q9)))/453.59</f>
        <v>180.91730473150622</v>
      </c>
      <c r="AC9" s="59">
        <f>C9*(($F9*($R9)))/453.59</f>
        <v>1.0338157544272459E-2</v>
      </c>
      <c r="AD9" s="59">
        <f>C9*(($F9*($S9)))/453.59</f>
        <v>4.6343776780022631E-3</v>
      </c>
      <c r="AE9" s="63">
        <f>5*22</f>
        <v>110</v>
      </c>
      <c r="AF9" s="59">
        <f t="shared" ref="AF9:AF11" si="0">T9*$AE9/2000</f>
        <v>1.8010608608563645E-2</v>
      </c>
      <c r="AG9" s="59">
        <f t="shared" ref="AG9:AG11" si="1">U9*$AE9/2000</f>
        <v>2.0092616878776375E-2</v>
      </c>
      <c r="AH9" s="59">
        <f t="shared" ref="AH9:AH11" si="2">V9*$AE9/2000</f>
        <v>3.4199271255226454E-3</v>
      </c>
      <c r="AI9" s="59">
        <f t="shared" ref="AI9:AI11" si="3">W9*$AE9/2000</f>
        <v>1.1590039144944736E-4</v>
      </c>
      <c r="AJ9" s="59">
        <f t="shared" ref="AJ9:AJ11" si="4">X9*$AE9/2000</f>
        <v>4.4359925203216527E-3</v>
      </c>
      <c r="AK9" s="59">
        <f t="shared" ref="AK9:AK11" si="5">Y9*$AE9/2000</f>
        <v>3.2291807774070067E-3</v>
      </c>
      <c r="AL9" s="59">
        <f t="shared" ref="AL9:AL11" si="6">Z9*$AE9/2000</f>
        <v>1.6190303798858875E-3</v>
      </c>
      <c r="AM9" s="59">
        <f t="shared" ref="AM9:AM11" si="7">AA9*$AE9/2000</f>
        <v>3.3999637977603643E-4</v>
      </c>
      <c r="AN9" s="59">
        <f t="shared" ref="AN9:AN11" si="8">AB9*$AE9/2000</f>
        <v>9.9504517602328413</v>
      </c>
      <c r="AO9" s="59">
        <f t="shared" ref="AO9:AO11" si="9">AC9*$AE9/2000</f>
        <v>5.6859866493498524E-4</v>
      </c>
      <c r="AP9" s="59">
        <f t="shared" ref="AP9:AP11" si="10">AD9*$AE9/2000</f>
        <v>2.5489077229012445E-4</v>
      </c>
    </row>
    <row r="10" spans="1:42" x14ac:dyDescent="0.25">
      <c r="A10" s="91" t="s">
        <v>284</v>
      </c>
      <c r="B10" s="89" t="s">
        <v>128</v>
      </c>
      <c r="C10" s="90">
        <v>2</v>
      </c>
      <c r="D10" s="90">
        <v>2019</v>
      </c>
      <c r="E10" s="90">
        <v>35</v>
      </c>
      <c r="F10" s="90">
        <v>80</v>
      </c>
      <c r="G10" s="145">
        <v>0.93944283773317905</v>
      </c>
      <c r="H10" s="145">
        <v>3.0126809140635999</v>
      </c>
      <c r="I10" s="145">
        <v>0.229316560350179</v>
      </c>
      <c r="J10" s="145">
        <v>1.0711818E-2</v>
      </c>
      <c r="K10" s="145">
        <v>6.0331736191857901E-2</v>
      </c>
      <c r="L10" s="157">
        <v>3.5999811999999999E-2</v>
      </c>
      <c r="M10" s="157">
        <v>6.1739677E-2</v>
      </c>
      <c r="N10" s="145">
        <v>5.5505197296509198E-2</v>
      </c>
      <c r="O10" s="157">
        <v>8.9999529999999998E-3</v>
      </c>
      <c r="P10" s="157">
        <v>2.6459862000000001E-2</v>
      </c>
      <c r="Q10" s="145">
        <v>1618.8275904542199</v>
      </c>
      <c r="R10" s="56">
        <f>0.000057143*Q10</f>
        <v>9.2504665001325481E-2</v>
      </c>
      <c r="S10" s="93">
        <f>0.000025616*Q10</f>
        <v>4.1467887557075297E-2</v>
      </c>
      <c r="T10" s="59">
        <f>C10*($F10*$G10)/453.59</f>
        <v>0.3313804405681533</v>
      </c>
      <c r="U10" s="59">
        <f>C10*($F10*$H10)/453.59</f>
        <v>1.0626974718361868</v>
      </c>
      <c r="V10" s="59">
        <f>C10*(($F10*$I10))/453.59</f>
        <v>8.0889458885841051E-2</v>
      </c>
      <c r="W10" s="59">
        <f>C10*($F10*$J10)/453.59</f>
        <v>3.7785023479353602E-3</v>
      </c>
      <c r="X10" s="59">
        <f>C10*(($F10*($K10+$L10+$M10)))/453.59</f>
        <v>5.5758275161924352E-2</v>
      </c>
      <c r="Y10" s="59">
        <f>C10*(($F10*($N10+$O10+$P10)))/453.59</f>
        <v>3.2087131478739553E-2</v>
      </c>
      <c r="Z10" s="59">
        <f>C10*(F10)*$B$220</f>
        <v>1.5699688532226787E-2</v>
      </c>
      <c r="AA10" s="59">
        <f>Z10*0.21</f>
        <v>3.296934591767625E-3</v>
      </c>
      <c r="AB10" s="59">
        <f>C10*(($F10*($Q10)))/453.59</f>
        <v>571.02761188005729</v>
      </c>
      <c r="AC10" s="59">
        <f>C10*(($F10*($R10)))/453.59</f>
        <v>3.2630230825662111E-2</v>
      </c>
      <c r="AD10" s="59">
        <f>C10*(($F10*($S10)))/453.59</f>
        <v>1.4627443305919549E-2</v>
      </c>
      <c r="AE10" s="63">
        <f t="shared" ref="AE10:AE11" si="11">5*22</f>
        <v>110</v>
      </c>
      <c r="AF10" s="59">
        <f t="shared" si="0"/>
        <v>1.8225924231248431E-2</v>
      </c>
      <c r="AG10" s="59">
        <f t="shared" si="1"/>
        <v>5.844836095099027E-2</v>
      </c>
      <c r="AH10" s="59">
        <f t="shared" si="2"/>
        <v>4.4489202387212583E-3</v>
      </c>
      <c r="AI10" s="59">
        <f t="shared" si="3"/>
        <v>2.078176291364448E-4</v>
      </c>
      <c r="AJ10" s="59">
        <f t="shared" si="4"/>
        <v>3.0667051339058394E-3</v>
      </c>
      <c r="AK10" s="59">
        <f t="shared" si="5"/>
        <v>1.7647922313306754E-3</v>
      </c>
      <c r="AL10" s="59">
        <f t="shared" si="6"/>
        <v>8.6348286927247328E-4</v>
      </c>
      <c r="AM10" s="59">
        <f t="shared" si="7"/>
        <v>1.813314025472194E-4</v>
      </c>
      <c r="AN10" s="59">
        <f t="shared" si="8"/>
        <v>31.406518653403154</v>
      </c>
      <c r="AO10" s="59">
        <f t="shared" si="9"/>
        <v>1.7946626954114162E-3</v>
      </c>
      <c r="AP10" s="59">
        <f t="shared" si="10"/>
        <v>8.0450938182557519E-4</v>
      </c>
    </row>
    <row r="11" spans="1:42" x14ac:dyDescent="0.25">
      <c r="A11" s="91" t="s">
        <v>157</v>
      </c>
      <c r="B11" s="89" t="s">
        <v>128</v>
      </c>
      <c r="C11" s="90">
        <v>2</v>
      </c>
      <c r="D11" s="90">
        <v>2019</v>
      </c>
      <c r="E11" s="90">
        <v>35</v>
      </c>
      <c r="F11" s="90">
        <v>80</v>
      </c>
      <c r="G11" s="145">
        <v>0.93944283773317905</v>
      </c>
      <c r="H11" s="145">
        <v>3.0126809140635999</v>
      </c>
      <c r="I11" s="145">
        <v>0.229316560350179</v>
      </c>
      <c r="J11" s="145">
        <v>1.0711818E-2</v>
      </c>
      <c r="K11" s="145">
        <v>6.0331736191857901E-2</v>
      </c>
      <c r="L11" s="567">
        <v>3.5999811999999999E-2</v>
      </c>
      <c r="M11" s="567">
        <v>6.1739677E-2</v>
      </c>
      <c r="N11" s="145">
        <v>5.5505197296509198E-2</v>
      </c>
      <c r="O11" s="567">
        <v>8.9999529999999998E-3</v>
      </c>
      <c r="P11" s="567">
        <v>2.6459862000000001E-2</v>
      </c>
      <c r="Q11" s="145">
        <v>1618.8275904542199</v>
      </c>
      <c r="R11" s="56">
        <f>0.000057143*Q11</f>
        <v>9.2504665001325481E-2</v>
      </c>
      <c r="S11" s="93">
        <f>0.000025616*Q11</f>
        <v>4.1467887557075297E-2</v>
      </c>
      <c r="T11" s="59">
        <f>C11*($F11*$G11)/453.59</f>
        <v>0.3313804405681533</v>
      </c>
      <c r="U11" s="59">
        <f>C11*($F11*$H11)/453.59</f>
        <v>1.0626974718361868</v>
      </c>
      <c r="V11" s="59">
        <f>C11*(($F11*$I11))/453.59</f>
        <v>8.0889458885841051E-2</v>
      </c>
      <c r="W11" s="59">
        <f>C11*($F11*$J11)/453.59</f>
        <v>3.7785023479353602E-3</v>
      </c>
      <c r="X11" s="59">
        <f>C11*(($F11*($K11+$L11+$M11)))/453.59</f>
        <v>5.5758275161924352E-2</v>
      </c>
      <c r="Y11" s="59">
        <f>C11*(($F11*($N11+$O11+$P11)))/453.59</f>
        <v>3.2087131478739553E-2</v>
      </c>
      <c r="Z11" s="59">
        <f>C11*(F11)*$B$220</f>
        <v>1.5699688532226787E-2</v>
      </c>
      <c r="AA11" s="59">
        <f>Z11*0.21</f>
        <v>3.296934591767625E-3</v>
      </c>
      <c r="AB11" s="59">
        <f>C11*(($F11*($Q11)))/453.59</f>
        <v>571.02761188005729</v>
      </c>
      <c r="AC11" s="59">
        <f>C11*(($F11*($R11)))/453.59</f>
        <v>3.2630230825662111E-2</v>
      </c>
      <c r="AD11" s="59">
        <f>C11*(($F11*($S11)))/453.59</f>
        <v>1.4627443305919549E-2</v>
      </c>
      <c r="AE11" s="63">
        <f t="shared" si="11"/>
        <v>110</v>
      </c>
      <c r="AF11" s="59">
        <f t="shared" si="0"/>
        <v>1.8225924231248431E-2</v>
      </c>
      <c r="AG11" s="59">
        <f t="shared" si="1"/>
        <v>5.844836095099027E-2</v>
      </c>
      <c r="AH11" s="59">
        <f t="shared" si="2"/>
        <v>4.4489202387212583E-3</v>
      </c>
      <c r="AI11" s="59">
        <f t="shared" si="3"/>
        <v>2.078176291364448E-4</v>
      </c>
      <c r="AJ11" s="59">
        <f t="shared" si="4"/>
        <v>3.0667051339058394E-3</v>
      </c>
      <c r="AK11" s="59">
        <f t="shared" si="5"/>
        <v>1.7647922313306754E-3</v>
      </c>
      <c r="AL11" s="59">
        <f t="shared" si="6"/>
        <v>8.6348286927247328E-4</v>
      </c>
      <c r="AM11" s="59">
        <f t="shared" si="7"/>
        <v>1.813314025472194E-4</v>
      </c>
      <c r="AN11" s="59">
        <f t="shared" si="8"/>
        <v>31.406518653403154</v>
      </c>
      <c r="AO11" s="59">
        <f t="shared" si="9"/>
        <v>1.7946626954114162E-3</v>
      </c>
      <c r="AP11" s="59">
        <f t="shared" si="10"/>
        <v>8.0450938182557519E-4</v>
      </c>
    </row>
    <row r="12" spans="1:42" x14ac:dyDescent="0.25">
      <c r="A12" s="91" t="s">
        <v>154</v>
      </c>
      <c r="B12" s="89" t="s">
        <v>128</v>
      </c>
      <c r="C12" s="90">
        <v>5</v>
      </c>
      <c r="D12" s="90">
        <v>2019</v>
      </c>
      <c r="E12" s="90">
        <v>35</v>
      </c>
      <c r="F12" s="90">
        <v>160</v>
      </c>
      <c r="G12" s="145">
        <v>0.93944283773317905</v>
      </c>
      <c r="H12" s="145">
        <v>3.0126809140635999</v>
      </c>
      <c r="I12" s="145">
        <v>0.229316560350179</v>
      </c>
      <c r="J12" s="145">
        <v>1.0711818E-2</v>
      </c>
      <c r="K12" s="145">
        <v>6.0331736191857901E-2</v>
      </c>
      <c r="L12" s="567">
        <v>3.5999811999999999E-2</v>
      </c>
      <c r="M12" s="567">
        <v>6.1739677E-2</v>
      </c>
      <c r="N12" s="145">
        <v>5.5505197296509198E-2</v>
      </c>
      <c r="O12" s="567">
        <v>8.9999529999999998E-3</v>
      </c>
      <c r="P12" s="567">
        <v>2.6459862000000001E-2</v>
      </c>
      <c r="Q12" s="145">
        <v>1618.8275904542199</v>
      </c>
      <c r="R12" s="56">
        <f>0.000057143*Q12</f>
        <v>9.2504665001325481E-2</v>
      </c>
      <c r="S12" s="93">
        <f>0.000025616*Q12</f>
        <v>4.1467887557075297E-2</v>
      </c>
      <c r="T12" s="59">
        <f>C12*($F12*$G12)/453.59</f>
        <v>1.6569022028407665</v>
      </c>
      <c r="U12" s="59">
        <f>C12*($F12*$H12)/453.59</f>
        <v>5.3134873591809342</v>
      </c>
      <c r="V12" s="59">
        <f>C12*(($F12*$I12))/453.59</f>
        <v>0.4044472944292053</v>
      </c>
      <c r="W12" s="59">
        <f>C12*($F12*$J12)/453.59</f>
        <v>1.88925117396768E-2</v>
      </c>
      <c r="X12" s="59">
        <f>C12*(($F12*($K12+$L12+$M12)))/453.59</f>
        <v>0.27879137580962171</v>
      </c>
      <c r="Y12" s="59">
        <f>C12*(($F12*($N12+$O12+$P12)))/453.59</f>
        <v>0.16043565739369775</v>
      </c>
      <c r="Z12" s="59">
        <f>C12*(F12)*$B$220</f>
        <v>7.8498442661133941E-2</v>
      </c>
      <c r="AA12" s="59">
        <f>Z12*0.21</f>
        <v>1.6484672958838126E-2</v>
      </c>
      <c r="AB12" s="59">
        <f>C12*(($F12*($Q12)))/453.59</f>
        <v>2855.1380594002867</v>
      </c>
      <c r="AC12" s="59">
        <f>C12*(($F12*($R12)))/453.59</f>
        <v>0.16315115412831058</v>
      </c>
      <c r="AD12" s="59">
        <f>C12*(($F12*($S12)))/453.59</f>
        <v>7.3137216529597746E-2</v>
      </c>
      <c r="AE12" s="63"/>
      <c r="AF12" s="59">
        <f t="shared" ref="AF12" si="12">T12*$AE12/2000</f>
        <v>0</v>
      </c>
      <c r="AG12" s="59">
        <f t="shared" ref="AG12" si="13">U12*$AE12/2000</f>
        <v>0</v>
      </c>
      <c r="AH12" s="59">
        <f t="shared" ref="AH12" si="14">V12*$AE12/2000</f>
        <v>0</v>
      </c>
      <c r="AI12" s="59">
        <f t="shared" ref="AI12" si="15">W12*$AE12/2000</f>
        <v>0</v>
      </c>
      <c r="AJ12" s="59">
        <f t="shared" ref="AJ12" si="16">X12*$AE12/2000</f>
        <v>0</v>
      </c>
      <c r="AK12" s="59">
        <f t="shared" ref="AK12" si="17">Y12*$AE12/2000</f>
        <v>0</v>
      </c>
      <c r="AL12" s="59">
        <f t="shared" ref="AL12" si="18">Z12*$AE12/2000</f>
        <v>0</v>
      </c>
      <c r="AM12" s="59">
        <f t="shared" ref="AM12" si="19">AA12*$AE12/2000</f>
        <v>0</v>
      </c>
      <c r="AN12" s="59">
        <f t="shared" ref="AN12" si="20">AB12*$AE12/2000</f>
        <v>0</v>
      </c>
      <c r="AO12" s="59">
        <f t="shared" ref="AO12" si="21">AC12*$AE12/2000</f>
        <v>0</v>
      </c>
      <c r="AP12" s="59">
        <f t="shared" ref="AP12" si="22">AD12*$AE12/2000</f>
        <v>0</v>
      </c>
    </row>
    <row r="13" spans="1:42" x14ac:dyDescent="0.25">
      <c r="A13" s="88" t="s">
        <v>38</v>
      </c>
      <c r="B13" s="87"/>
      <c r="C13" s="166"/>
      <c r="D13" s="166"/>
      <c r="E13" s="87"/>
      <c r="F13" s="87"/>
      <c r="G13" s="154"/>
      <c r="H13" s="50"/>
      <c r="I13" s="50"/>
      <c r="J13" s="50"/>
      <c r="K13" s="155"/>
      <c r="L13" s="155"/>
      <c r="M13" s="155"/>
      <c r="N13" s="155"/>
      <c r="O13" s="155"/>
      <c r="P13" s="155"/>
      <c r="Q13" s="50"/>
      <c r="R13" s="155"/>
      <c r="S13" s="155"/>
      <c r="T13" s="94">
        <f>SUM(T9:T12)</f>
        <v>2.6471286950418667</v>
      </c>
      <c r="U13" s="94">
        <f t="shared" ref="U13:AD13" si="23">SUM(U9:U12)</f>
        <v>7.8042026097401509</v>
      </c>
      <c r="V13" s="94">
        <f t="shared" si="23"/>
        <v>0.62840670539220822</v>
      </c>
      <c r="W13" s="94">
        <f t="shared" si="23"/>
        <v>2.8556796280082924E-2</v>
      </c>
      <c r="X13" s="94">
        <f t="shared" si="23"/>
        <v>0.47096233559386413</v>
      </c>
      <c r="Y13" s="94">
        <f t="shared" si="23"/>
        <v>0.28332229812221332</v>
      </c>
      <c r="Z13" s="94">
        <f t="shared" si="23"/>
        <v>0.13933473572351274</v>
      </c>
      <c r="AA13" s="94">
        <f t="shared" si="23"/>
        <v>2.9260294501937675E-2</v>
      </c>
      <c r="AB13" s="94">
        <f t="shared" si="23"/>
        <v>4178.1105878919079</v>
      </c>
      <c r="AC13" s="94">
        <f t="shared" si="23"/>
        <v>0.23874977332390726</v>
      </c>
      <c r="AD13" s="94">
        <f t="shared" si="23"/>
        <v>0.10702648081943911</v>
      </c>
      <c r="AE13" s="69"/>
      <c r="AF13" s="94">
        <f t="shared" ref="AF13:AP13" si="24">SUM(AF9:AF12)</f>
        <v>5.446245707106051E-2</v>
      </c>
      <c r="AG13" s="94">
        <f t="shared" si="24"/>
        <v>0.13698933878075692</v>
      </c>
      <c r="AH13" s="94">
        <f t="shared" si="24"/>
        <v>1.2317767602965162E-2</v>
      </c>
      <c r="AI13" s="94">
        <f t="shared" si="24"/>
        <v>5.3153564972233699E-4</v>
      </c>
      <c r="AJ13" s="94">
        <f t="shared" si="24"/>
        <v>1.0569402788133331E-2</v>
      </c>
      <c r="AK13" s="94">
        <f t="shared" si="24"/>
        <v>6.7587652400683575E-3</v>
      </c>
      <c r="AL13" s="94">
        <f t="shared" si="24"/>
        <v>3.3459961184308341E-3</v>
      </c>
      <c r="AM13" s="94">
        <f t="shared" si="24"/>
        <v>7.0265918487047517E-4</v>
      </c>
      <c r="AN13" s="94">
        <f t="shared" si="24"/>
        <v>72.763489067039146</v>
      </c>
      <c r="AO13" s="94">
        <f t="shared" si="24"/>
        <v>4.1579240557578171E-3</v>
      </c>
      <c r="AP13" s="94">
        <f t="shared" si="24"/>
        <v>1.8639095359412748E-3</v>
      </c>
    </row>
    <row r="14" spans="1:42" x14ac:dyDescent="0.25">
      <c r="A14" s="88"/>
      <c r="B14" s="87"/>
      <c r="C14" s="166"/>
      <c r="D14" s="166"/>
      <c r="E14" s="87"/>
      <c r="F14" s="87"/>
      <c r="G14" s="566"/>
      <c r="H14" s="50"/>
      <c r="I14" s="50"/>
      <c r="J14" s="50"/>
      <c r="K14" s="568"/>
      <c r="L14" s="568"/>
      <c r="M14" s="568"/>
      <c r="N14" s="568"/>
      <c r="O14" s="568"/>
      <c r="P14" s="568"/>
      <c r="Q14" s="50"/>
      <c r="R14" s="568"/>
      <c r="S14" s="568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69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</row>
    <row r="15" spans="1:42" ht="26.4" x14ac:dyDescent="0.25">
      <c r="A15" s="177" t="s">
        <v>277</v>
      </c>
      <c r="B15" s="87"/>
      <c r="C15" s="166"/>
      <c r="D15" s="166"/>
      <c r="E15" s="87"/>
      <c r="F15" s="87"/>
      <c r="G15" s="566"/>
      <c r="H15" s="50"/>
      <c r="I15" s="50"/>
      <c r="J15" s="50"/>
      <c r="K15" s="568"/>
      <c r="L15" s="568"/>
      <c r="M15" s="568"/>
      <c r="N15" s="568"/>
      <c r="O15" s="568"/>
      <c r="P15" s="568"/>
      <c r="Q15" s="50"/>
      <c r="R15" s="568"/>
      <c r="S15" s="568"/>
      <c r="T15" s="74"/>
      <c r="U15" s="74"/>
      <c r="V15" s="74"/>
      <c r="W15" s="74"/>
      <c r="X15" s="74"/>
      <c r="Y15" s="74"/>
      <c r="Z15" s="75"/>
      <c r="AA15" s="75"/>
      <c r="AB15" s="75"/>
      <c r="AC15" s="75"/>
      <c r="AD15" s="75"/>
      <c r="AE15" s="52"/>
      <c r="AF15" s="74"/>
      <c r="AG15" s="74"/>
      <c r="AH15" s="74"/>
      <c r="AI15" s="74"/>
      <c r="AJ15" s="74"/>
      <c r="AK15" s="74"/>
      <c r="AL15" s="75"/>
      <c r="AM15" s="75"/>
      <c r="AN15" s="76"/>
      <c r="AO15" s="74"/>
      <c r="AP15" s="74"/>
    </row>
    <row r="16" spans="1:42" x14ac:dyDescent="0.25">
      <c r="A16" s="91" t="s">
        <v>114</v>
      </c>
      <c r="B16" s="89" t="s">
        <v>107</v>
      </c>
      <c r="C16" s="92">
        <v>5</v>
      </c>
      <c r="D16" s="90">
        <v>2020</v>
      </c>
      <c r="E16" s="90">
        <v>15</v>
      </c>
      <c r="F16" s="90">
        <v>60</v>
      </c>
      <c r="G16" s="145">
        <v>0.446217541419338</v>
      </c>
      <c r="H16" s="145">
        <v>0.51866314808008496</v>
      </c>
      <c r="I16" s="145">
        <v>8.3875569462970104E-2</v>
      </c>
      <c r="J16" s="145">
        <v>3.18613688227605E-3</v>
      </c>
      <c r="K16" s="145">
        <v>6.7930538389187098E-2</v>
      </c>
      <c r="L16" s="56">
        <v>7.99995847163921E-3</v>
      </c>
      <c r="M16" s="56">
        <v>3.6749815577381599E-2</v>
      </c>
      <c r="N16" s="145">
        <v>6.2496100790764599E-2</v>
      </c>
      <c r="O16" s="56">
        <v>1.9999896145790402E-3</v>
      </c>
      <c r="P16" s="56">
        <v>1.57499200131354E-2</v>
      </c>
      <c r="Q16" s="145">
        <v>263.10176198027398</v>
      </c>
      <c r="R16" s="56">
        <f>0.000057143*Q16</f>
        <v>1.5034423984838795E-2</v>
      </c>
      <c r="S16" s="93">
        <f>0.000025616*Q16</f>
        <v>6.739614734886698E-3</v>
      </c>
      <c r="T16" s="59">
        <f>C16*($F16*$G16)/453.59</f>
        <v>0.29512392783306823</v>
      </c>
      <c r="U16" s="59">
        <f>C16*($F16*$H16)/453.59</f>
        <v>0.34303874517521438</v>
      </c>
      <c r="V16" s="59">
        <f>C16*(($F16*$I16))/453.59</f>
        <v>5.5474483209266151E-2</v>
      </c>
      <c r="W16" s="59">
        <f>C16*($F16*$J16)/453.59</f>
        <v>2.1072798445354065E-3</v>
      </c>
      <c r="X16" s="59">
        <f>C16*(($F16*($K16+$L16+$M16)))/453.59</f>
        <v>7.4525659144739465E-2</v>
      </c>
      <c r="Y16" s="59">
        <f>C16*(($F16*($N16+$O16+$P16)))/453.59</f>
        <v>5.3073928273426912E-2</v>
      </c>
      <c r="Z16" s="59">
        <f>C16*(F16)*$B$220</f>
        <v>2.943691599792523E-2</v>
      </c>
      <c r="AA16" s="59">
        <f>Z16*0.21</f>
        <v>6.181752359564298E-3</v>
      </c>
      <c r="AB16" s="59">
        <f>C16*(($F16*($Q16)))/453.59</f>
        <v>174.01293810287308</v>
      </c>
      <c r="AC16" s="59">
        <f>C16*(($F16*($R16)))/453.59</f>
        <v>9.9436213220124772E-3</v>
      </c>
      <c r="AD16" s="59">
        <f>C16*(($F16*($S16)))/453.59</f>
        <v>4.4575154224431972E-3</v>
      </c>
      <c r="AE16" s="63">
        <f>5*22</f>
        <v>110</v>
      </c>
      <c r="AF16" s="59">
        <f t="shared" ref="AF16:AF19" si="25">T16*$AE16/2000</f>
        <v>1.6231816030818753E-2</v>
      </c>
      <c r="AG16" s="59">
        <f t="shared" ref="AG16:AG19" si="26">U16*$AE16/2000</f>
        <v>1.8867130984636792E-2</v>
      </c>
      <c r="AH16" s="59">
        <f t="shared" ref="AH16:AH19" si="27">V16*$AE16/2000</f>
        <v>3.0510965765096383E-3</v>
      </c>
      <c r="AI16" s="59">
        <f t="shared" ref="AI16:AI19" si="28">W16*$AE16/2000</f>
        <v>1.1590039144944736E-4</v>
      </c>
      <c r="AJ16" s="59">
        <f t="shared" ref="AJ16:AJ19" si="29">X16*$AE16/2000</f>
        <v>4.09891125296067E-3</v>
      </c>
      <c r="AK16" s="59">
        <f t="shared" ref="AK16:AK19" si="30">Y16*$AE16/2000</f>
        <v>2.9190660550384804E-3</v>
      </c>
      <c r="AL16" s="59">
        <f t="shared" ref="AL16:AL19" si="31">Z16*$AE16/2000</f>
        <v>1.6190303798858875E-3</v>
      </c>
      <c r="AM16" s="59">
        <f t="shared" ref="AM16:AM19" si="32">AA16*$AE16/2000</f>
        <v>3.3999637977603643E-4</v>
      </c>
      <c r="AN16" s="59">
        <f t="shared" ref="AN16:AN19" si="33">AB16*$AE16/2000</f>
        <v>9.57071159565802</v>
      </c>
      <c r="AO16" s="59">
        <f t="shared" ref="AO16:AO19" si="34">AC16*$AE16/2000</f>
        <v>5.4689917271068624E-4</v>
      </c>
      <c r="AP16" s="59">
        <f t="shared" ref="AP16:AP19" si="35">AD16*$AE16/2000</f>
        <v>2.4516334823437586E-4</v>
      </c>
    </row>
    <row r="17" spans="1:42" x14ac:dyDescent="0.25">
      <c r="A17" s="91" t="s">
        <v>284</v>
      </c>
      <c r="B17" s="89" t="s">
        <v>128</v>
      </c>
      <c r="C17" s="90">
        <v>2</v>
      </c>
      <c r="D17" s="90">
        <v>2020</v>
      </c>
      <c r="E17" s="90">
        <v>35</v>
      </c>
      <c r="F17" s="90">
        <v>80</v>
      </c>
      <c r="G17" s="145">
        <v>0.91848545976565099</v>
      </c>
      <c r="H17" s="145">
        <v>2.6747637862801699</v>
      </c>
      <c r="I17" s="145">
        <v>0.22448901249077699</v>
      </c>
      <c r="J17" s="145">
        <v>1.0711818E-2</v>
      </c>
      <c r="K17" s="145">
        <v>5.9175121609859001E-2</v>
      </c>
      <c r="L17" s="567">
        <v>3.5999811999999999E-2</v>
      </c>
      <c r="M17" s="567">
        <v>6.1739677E-2</v>
      </c>
      <c r="N17" s="145">
        <v>5.44411118810703E-2</v>
      </c>
      <c r="O17" s="567">
        <v>8.9999529999999998E-3</v>
      </c>
      <c r="P17" s="567">
        <v>2.6459862000000001E-2</v>
      </c>
      <c r="Q17" s="145">
        <v>1581.73164999767</v>
      </c>
      <c r="R17" s="56">
        <f>0.000057143*Q17</f>
        <v>9.0384891675816856E-2</v>
      </c>
      <c r="S17" s="93">
        <f>0.000025616*Q17</f>
        <v>4.0517637946340314E-2</v>
      </c>
      <c r="T17" s="59">
        <f>C17*($F17*$G17)/453.59</f>
        <v>0.32398790441258446</v>
      </c>
      <c r="U17" s="59">
        <f>C17*($F17*$H17)/453.59</f>
        <v>0.94350008995971524</v>
      </c>
      <c r="V17" s="59">
        <f>C17*(($F17*$I17))/453.59</f>
        <v>7.9186582593364752E-2</v>
      </c>
      <c r="W17" s="59">
        <f>C17*($F17*$J17)/453.59</f>
        <v>3.7785023479353602E-3</v>
      </c>
      <c r="X17" s="59">
        <f>C17*(($F17*($K17+$L17+$M17)))/453.59</f>
        <v>5.5350289242658439E-2</v>
      </c>
      <c r="Y17" s="59">
        <f>C17*(($F17*($N17+$O17+$P17)))/453.59</f>
        <v>3.171178443301495E-2</v>
      </c>
      <c r="Z17" s="59">
        <f>C17*(F17)*$B$220</f>
        <v>1.5699688532226787E-2</v>
      </c>
      <c r="AA17" s="59">
        <f>Z17*0.21</f>
        <v>3.296934591767625E-3</v>
      </c>
      <c r="AB17" s="59">
        <f>C17*(($F17*($Q17)))/453.59</f>
        <v>557.94233558858707</v>
      </c>
      <c r="AC17" s="59">
        <f>C17*(($F17*($R17)))/453.59</f>
        <v>3.1882498882538635E-2</v>
      </c>
      <c r="AD17" s="59">
        <f>C17*(($F17*($S17)))/453.59</f>
        <v>1.4292250868437245E-2</v>
      </c>
      <c r="AE17" s="63">
        <f t="shared" ref="AE17:AE18" si="36">5*22</f>
        <v>110</v>
      </c>
      <c r="AF17" s="59">
        <f t="shared" si="25"/>
        <v>1.7819334742692147E-2</v>
      </c>
      <c r="AG17" s="59">
        <f t="shared" si="26"/>
        <v>5.1892504947784336E-2</v>
      </c>
      <c r="AH17" s="59">
        <f t="shared" si="27"/>
        <v>4.3552620426350616E-3</v>
      </c>
      <c r="AI17" s="59">
        <f t="shared" si="28"/>
        <v>2.078176291364448E-4</v>
      </c>
      <c r="AJ17" s="59">
        <f t="shared" si="29"/>
        <v>3.0442659083462142E-3</v>
      </c>
      <c r="AK17" s="59">
        <f t="shared" si="30"/>
        <v>1.7441481438158222E-3</v>
      </c>
      <c r="AL17" s="59">
        <f t="shared" si="31"/>
        <v>8.6348286927247328E-4</v>
      </c>
      <c r="AM17" s="59">
        <f t="shared" si="32"/>
        <v>1.813314025472194E-4</v>
      </c>
      <c r="AN17" s="59">
        <f t="shared" si="33"/>
        <v>30.68682845737229</v>
      </c>
      <c r="AO17" s="59">
        <f t="shared" si="34"/>
        <v>1.7535374385396249E-3</v>
      </c>
      <c r="AP17" s="59">
        <f t="shared" si="35"/>
        <v>7.8607379776404849E-4</v>
      </c>
    </row>
    <row r="18" spans="1:42" x14ac:dyDescent="0.25">
      <c r="A18" s="91" t="s">
        <v>157</v>
      </c>
      <c r="B18" s="89" t="s">
        <v>128</v>
      </c>
      <c r="C18" s="90">
        <v>2</v>
      </c>
      <c r="D18" s="90">
        <v>2020</v>
      </c>
      <c r="E18" s="90">
        <v>35</v>
      </c>
      <c r="F18" s="90">
        <v>80</v>
      </c>
      <c r="G18" s="145">
        <v>0.91848545976565099</v>
      </c>
      <c r="H18" s="145">
        <v>2.6747637862801699</v>
      </c>
      <c r="I18" s="145">
        <v>0.22448901249077699</v>
      </c>
      <c r="J18" s="145">
        <v>1.0711818E-2</v>
      </c>
      <c r="K18" s="145">
        <v>5.9175121609859001E-2</v>
      </c>
      <c r="L18" s="567">
        <v>3.5999811999999999E-2</v>
      </c>
      <c r="M18" s="567">
        <v>6.1739677E-2</v>
      </c>
      <c r="N18" s="145">
        <v>5.44411118810703E-2</v>
      </c>
      <c r="O18" s="567">
        <v>8.9999529999999998E-3</v>
      </c>
      <c r="P18" s="567">
        <v>2.6459862000000001E-2</v>
      </c>
      <c r="Q18" s="145">
        <v>1581.73164999767</v>
      </c>
      <c r="R18" s="56">
        <f>0.000057143*Q18</f>
        <v>9.0384891675816856E-2</v>
      </c>
      <c r="S18" s="93">
        <f>0.000025616*Q18</f>
        <v>4.0517637946340314E-2</v>
      </c>
      <c r="T18" s="59">
        <f>C18*($F18*$G18)/453.59</f>
        <v>0.32398790441258446</v>
      </c>
      <c r="U18" s="59">
        <f>C18*($F18*$H18)/453.59</f>
        <v>0.94350008995971524</v>
      </c>
      <c r="V18" s="59">
        <f>C18*(($F18*$I18))/453.59</f>
        <v>7.9186582593364752E-2</v>
      </c>
      <c r="W18" s="59">
        <f>C18*($F18*$J18)/453.59</f>
        <v>3.7785023479353602E-3</v>
      </c>
      <c r="X18" s="59">
        <f>C18*(($F18*($K18+$L18+$M18)))/453.59</f>
        <v>5.5350289242658439E-2</v>
      </c>
      <c r="Y18" s="59">
        <f>C18*(($F18*($N18+$O18+$P18)))/453.59</f>
        <v>3.171178443301495E-2</v>
      </c>
      <c r="Z18" s="59">
        <f>C18*(F18)*$B$220</f>
        <v>1.5699688532226787E-2</v>
      </c>
      <c r="AA18" s="59">
        <f>Z18*0.21</f>
        <v>3.296934591767625E-3</v>
      </c>
      <c r="AB18" s="59">
        <f>C18*(($F18*($Q18)))/453.59</f>
        <v>557.94233558858707</v>
      </c>
      <c r="AC18" s="59">
        <f>C18*(($F18*($R18)))/453.59</f>
        <v>3.1882498882538635E-2</v>
      </c>
      <c r="AD18" s="59">
        <f>C18*(($F18*($S18)))/453.59</f>
        <v>1.4292250868437245E-2</v>
      </c>
      <c r="AE18" s="63">
        <f t="shared" si="36"/>
        <v>110</v>
      </c>
      <c r="AF18" s="59">
        <f t="shared" si="25"/>
        <v>1.7819334742692147E-2</v>
      </c>
      <c r="AG18" s="59">
        <f t="shared" si="26"/>
        <v>5.1892504947784336E-2</v>
      </c>
      <c r="AH18" s="59">
        <f t="shared" si="27"/>
        <v>4.3552620426350616E-3</v>
      </c>
      <c r="AI18" s="59">
        <f t="shared" si="28"/>
        <v>2.078176291364448E-4</v>
      </c>
      <c r="AJ18" s="59">
        <f t="shared" si="29"/>
        <v>3.0442659083462142E-3</v>
      </c>
      <c r="AK18" s="59">
        <f t="shared" si="30"/>
        <v>1.7441481438158222E-3</v>
      </c>
      <c r="AL18" s="59">
        <f t="shared" si="31"/>
        <v>8.6348286927247328E-4</v>
      </c>
      <c r="AM18" s="59">
        <f t="shared" si="32"/>
        <v>1.813314025472194E-4</v>
      </c>
      <c r="AN18" s="59">
        <f t="shared" si="33"/>
        <v>30.68682845737229</v>
      </c>
      <c r="AO18" s="59">
        <f t="shared" si="34"/>
        <v>1.7535374385396249E-3</v>
      </c>
      <c r="AP18" s="59">
        <f t="shared" si="35"/>
        <v>7.8607379776404849E-4</v>
      </c>
    </row>
    <row r="19" spans="1:42" x14ac:dyDescent="0.25">
      <c r="A19" s="91" t="s">
        <v>154</v>
      </c>
      <c r="B19" s="89" t="s">
        <v>128</v>
      </c>
      <c r="C19" s="90">
        <v>5</v>
      </c>
      <c r="D19" s="90">
        <v>2020</v>
      </c>
      <c r="E19" s="90">
        <v>35</v>
      </c>
      <c r="F19" s="90">
        <v>160</v>
      </c>
      <c r="G19" s="145">
        <v>0.91848545976565099</v>
      </c>
      <c r="H19" s="145">
        <v>2.6747637862801699</v>
      </c>
      <c r="I19" s="145">
        <v>0.22448901249077699</v>
      </c>
      <c r="J19" s="145">
        <v>1.0711818E-2</v>
      </c>
      <c r="K19" s="145">
        <v>5.9175121609859001E-2</v>
      </c>
      <c r="L19" s="567">
        <v>3.5999811999999999E-2</v>
      </c>
      <c r="M19" s="567">
        <v>6.1739677E-2</v>
      </c>
      <c r="N19" s="145">
        <v>5.44411118810703E-2</v>
      </c>
      <c r="O19" s="567">
        <v>8.9999529999999998E-3</v>
      </c>
      <c r="P19" s="567">
        <v>2.6459862000000001E-2</v>
      </c>
      <c r="Q19" s="145">
        <v>1581.73164999767</v>
      </c>
      <c r="R19" s="56">
        <f>0.000057143*Q19</f>
        <v>9.0384891675816856E-2</v>
      </c>
      <c r="S19" s="93">
        <f>0.000025616*Q19</f>
        <v>4.0517637946340314E-2</v>
      </c>
      <c r="T19" s="59">
        <f>C19*($F19*$G19)/453.59</f>
        <v>1.6199395220629222</v>
      </c>
      <c r="U19" s="59">
        <f>C19*($F19*$H19)/453.59</f>
        <v>4.7175004497985764</v>
      </c>
      <c r="V19" s="59">
        <f>C19*(($F19*$I19))/453.59</f>
        <v>0.39593291296682376</v>
      </c>
      <c r="W19" s="59">
        <f>C19*($F19*$J19)/453.59</f>
        <v>1.88925117396768E-2</v>
      </c>
      <c r="X19" s="59">
        <f>C19*(($F19*($K19+$L19+$M19)))/453.59</f>
        <v>0.27675144621329223</v>
      </c>
      <c r="Y19" s="59">
        <f>C19*(($F19*($N19+$O19+$P19)))/453.59</f>
        <v>0.15855892216507475</v>
      </c>
      <c r="Z19" s="59">
        <f>C19*(F19)*$B$220</f>
        <v>7.8498442661133941E-2</v>
      </c>
      <c r="AA19" s="59">
        <f>Z19*0.21</f>
        <v>1.6484672958838126E-2</v>
      </c>
      <c r="AB19" s="59">
        <f>C19*(($F19*($Q19)))/453.59</f>
        <v>2789.7116779429352</v>
      </c>
      <c r="AC19" s="59">
        <f>C19*(($F19*($R19)))/453.59</f>
        <v>0.15941249441269315</v>
      </c>
      <c r="AD19" s="59">
        <f>C19*(($F19*($S19)))/453.59</f>
        <v>7.1461254342186226E-2</v>
      </c>
      <c r="AE19" s="63"/>
      <c r="AF19" s="59">
        <f t="shared" si="25"/>
        <v>0</v>
      </c>
      <c r="AG19" s="59">
        <f t="shared" si="26"/>
        <v>0</v>
      </c>
      <c r="AH19" s="59">
        <f t="shared" si="27"/>
        <v>0</v>
      </c>
      <c r="AI19" s="59">
        <f t="shared" si="28"/>
        <v>0</v>
      </c>
      <c r="AJ19" s="59">
        <f t="shared" si="29"/>
        <v>0</v>
      </c>
      <c r="AK19" s="59">
        <f t="shared" si="30"/>
        <v>0</v>
      </c>
      <c r="AL19" s="59">
        <f t="shared" si="31"/>
        <v>0</v>
      </c>
      <c r="AM19" s="59">
        <f t="shared" si="32"/>
        <v>0</v>
      </c>
      <c r="AN19" s="59">
        <f t="shared" si="33"/>
        <v>0</v>
      </c>
      <c r="AO19" s="59">
        <f t="shared" si="34"/>
        <v>0</v>
      </c>
      <c r="AP19" s="59">
        <f t="shared" si="35"/>
        <v>0</v>
      </c>
    </row>
    <row r="20" spans="1:42" x14ac:dyDescent="0.25">
      <c r="A20" s="88" t="s">
        <v>38</v>
      </c>
      <c r="B20" s="87"/>
      <c r="C20" s="166"/>
      <c r="D20" s="166"/>
      <c r="E20" s="87"/>
      <c r="F20" s="87"/>
      <c r="G20" s="566"/>
      <c r="H20" s="50"/>
      <c r="I20" s="50"/>
      <c r="J20" s="50"/>
      <c r="K20" s="568"/>
      <c r="L20" s="568"/>
      <c r="M20" s="568"/>
      <c r="N20" s="568"/>
      <c r="O20" s="568"/>
      <c r="P20" s="568"/>
      <c r="Q20" s="50"/>
      <c r="R20" s="568"/>
      <c r="S20" s="568"/>
      <c r="T20" s="94">
        <f>SUM(T16:T19)</f>
        <v>2.5630392587211595</v>
      </c>
      <c r="U20" s="94">
        <f t="shared" ref="U20:AD20" si="37">SUM(U16:U19)</f>
        <v>6.9475393748932213</v>
      </c>
      <c r="V20" s="94">
        <f t="shared" si="37"/>
        <v>0.60978056136281944</v>
      </c>
      <c r="W20" s="94">
        <f t="shared" si="37"/>
        <v>2.8556796280082924E-2</v>
      </c>
      <c r="X20" s="94">
        <f t="shared" si="37"/>
        <v>0.46197768384334859</v>
      </c>
      <c r="Y20" s="94">
        <f t="shared" si="37"/>
        <v>0.27505641930453156</v>
      </c>
      <c r="Z20" s="94">
        <f t="shared" si="37"/>
        <v>0.13933473572351274</v>
      </c>
      <c r="AA20" s="94">
        <f t="shared" si="37"/>
        <v>2.9260294501937675E-2</v>
      </c>
      <c r="AB20" s="94">
        <f t="shared" si="37"/>
        <v>4079.6092872229824</v>
      </c>
      <c r="AC20" s="94">
        <f t="shared" si="37"/>
        <v>0.2331211134997829</v>
      </c>
      <c r="AD20" s="94">
        <f t="shared" si="37"/>
        <v>0.10450327150150392</v>
      </c>
      <c r="AE20" s="69"/>
      <c r="AF20" s="94">
        <f t="shared" ref="AF20:AP20" si="38">SUM(AF16:AF19)</f>
        <v>5.1870485516203046E-2</v>
      </c>
      <c r="AG20" s="94">
        <f t="shared" si="38"/>
        <v>0.12265214088020546</v>
      </c>
      <c r="AH20" s="94">
        <f t="shared" si="38"/>
        <v>1.1761620661779762E-2</v>
      </c>
      <c r="AI20" s="94">
        <f t="shared" si="38"/>
        <v>5.3153564972233699E-4</v>
      </c>
      <c r="AJ20" s="94">
        <f t="shared" si="38"/>
        <v>1.0187443069653098E-2</v>
      </c>
      <c r="AK20" s="94">
        <f t="shared" si="38"/>
        <v>6.4073623426701247E-3</v>
      </c>
      <c r="AL20" s="94">
        <f t="shared" si="38"/>
        <v>3.3459961184308341E-3</v>
      </c>
      <c r="AM20" s="94">
        <f t="shared" si="38"/>
        <v>7.0265918487047517E-4</v>
      </c>
      <c r="AN20" s="94">
        <f t="shared" si="38"/>
        <v>70.944368510402597</v>
      </c>
      <c r="AO20" s="94">
        <f t="shared" si="38"/>
        <v>4.0539740497899362E-3</v>
      </c>
      <c r="AP20" s="94">
        <f t="shared" si="38"/>
        <v>1.8173109437624726E-3</v>
      </c>
    </row>
    <row r="21" spans="1:42" x14ac:dyDescent="0.25">
      <c r="A21" s="88"/>
      <c r="B21" s="87"/>
      <c r="C21" s="166"/>
      <c r="D21" s="166"/>
      <c r="E21" s="87"/>
      <c r="F21" s="87"/>
      <c r="G21" s="566"/>
      <c r="H21" s="50"/>
      <c r="I21" s="50"/>
      <c r="J21" s="50"/>
      <c r="K21" s="568"/>
      <c r="L21" s="568"/>
      <c r="M21" s="568"/>
      <c r="N21" s="568"/>
      <c r="O21" s="568"/>
      <c r="P21" s="568"/>
      <c r="Q21" s="50"/>
      <c r="R21" s="568"/>
      <c r="S21" s="568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69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</row>
    <row r="22" spans="1:42" x14ac:dyDescent="0.25">
      <c r="A22" s="177" t="s">
        <v>278</v>
      </c>
      <c r="B22" s="87"/>
      <c r="C22" s="166"/>
      <c r="D22" s="166"/>
      <c r="E22" s="87"/>
      <c r="F22" s="87"/>
      <c r="G22" s="566"/>
      <c r="H22" s="50"/>
      <c r="I22" s="50"/>
      <c r="J22" s="50"/>
      <c r="K22" s="568"/>
      <c r="L22" s="568"/>
      <c r="M22" s="568"/>
      <c r="N22" s="568"/>
      <c r="O22" s="568"/>
      <c r="P22" s="568"/>
      <c r="Q22" s="50"/>
      <c r="R22" s="568"/>
      <c r="S22" s="568"/>
      <c r="T22" s="74"/>
      <c r="U22" s="74"/>
      <c r="V22" s="74"/>
      <c r="W22" s="74"/>
      <c r="X22" s="74"/>
      <c r="Y22" s="74"/>
      <c r="Z22" s="75"/>
      <c r="AA22" s="75"/>
      <c r="AB22" s="75"/>
      <c r="AC22" s="75"/>
      <c r="AD22" s="75"/>
      <c r="AE22" s="52"/>
      <c r="AF22" s="74"/>
      <c r="AG22" s="74"/>
      <c r="AH22" s="74"/>
      <c r="AI22" s="74"/>
      <c r="AJ22" s="74"/>
      <c r="AK22" s="74"/>
      <c r="AL22" s="75"/>
      <c r="AM22" s="75"/>
      <c r="AN22" s="76"/>
      <c r="AO22" s="74"/>
      <c r="AP22" s="74"/>
    </row>
    <row r="23" spans="1:42" x14ac:dyDescent="0.25">
      <c r="A23" s="91" t="s">
        <v>114</v>
      </c>
      <c r="B23" s="89" t="s">
        <v>107</v>
      </c>
      <c r="C23" s="92">
        <v>4</v>
      </c>
      <c r="D23" s="90">
        <v>2015</v>
      </c>
      <c r="E23" s="90">
        <v>15</v>
      </c>
      <c r="F23" s="90">
        <v>60</v>
      </c>
      <c r="G23" s="145">
        <v>0.83610719342181306</v>
      </c>
      <c r="H23" s="145">
        <v>0.79560737551603999</v>
      </c>
      <c r="I23" s="145">
        <v>0.165670507085864</v>
      </c>
      <c r="J23" s="145">
        <v>3.18613688227605E-3</v>
      </c>
      <c r="K23" s="145">
        <v>0.138831589940137</v>
      </c>
      <c r="L23" s="56">
        <v>7.99995847163921E-3</v>
      </c>
      <c r="M23" s="56">
        <v>3.6749815577381599E-2</v>
      </c>
      <c r="N23" s="145">
        <v>0.127725080361664</v>
      </c>
      <c r="O23" s="56">
        <v>1.9999896145790402E-3</v>
      </c>
      <c r="P23" s="56">
        <v>1.57499200131354E-2</v>
      </c>
      <c r="Q23" s="145">
        <v>320.029950432367</v>
      </c>
      <c r="R23" s="56">
        <f>0.000057143*Q23</f>
        <v>1.8287471457556746E-2</v>
      </c>
      <c r="S23" s="93">
        <f>0.000025616*Q23</f>
        <v>8.1978872102755132E-3</v>
      </c>
      <c r="T23" s="59">
        <f>C23*($F23*$G23)/453.59</f>
        <v>0.44239451138965835</v>
      </c>
      <c r="U23" s="59">
        <f>C23*($F23*$H23)/453.59</f>
        <v>0.42096556388776124</v>
      </c>
      <c r="V23" s="59">
        <f>C23*(($F23*$I23))/453.59</f>
        <v>8.7658285457367591E-2</v>
      </c>
      <c r="W23" s="59">
        <f>C23*($F23*$J23)/453.59</f>
        <v>1.6858238756283252E-3</v>
      </c>
      <c r="X23" s="59">
        <f>C23*(($F23*($K23+$L23+$M23)))/453.59</f>
        <v>9.7135138246870256E-2</v>
      </c>
      <c r="Y23" s="59">
        <f>C23*(($F23*($N23+$O23+$P23)))/453.59</f>
        <v>7.6972591100885876E-2</v>
      </c>
      <c r="Z23" s="59">
        <f>C23*(F23)*$B$220</f>
        <v>2.3549532798340184E-2</v>
      </c>
      <c r="AA23" s="59">
        <f>Z23*0.21</f>
        <v>4.9454018876514388E-3</v>
      </c>
      <c r="AB23" s="59">
        <f>C23*(($F23*($Q23)))/453.59</f>
        <v>169.33174916503469</v>
      </c>
      <c r="AC23" s="59">
        <f>C23*(($F23*($R23)))/453.59</f>
        <v>9.676124142537575E-3</v>
      </c>
      <c r="AD23" s="59">
        <f>C23*(($F23*($S23)))/453.59</f>
        <v>4.337602086611529E-3</v>
      </c>
      <c r="AE23" s="63">
        <f>6*22</f>
        <v>132</v>
      </c>
      <c r="AF23" s="59">
        <f t="shared" ref="AF23:AF26" si="39">T23*$AE23/2000</f>
        <v>2.9198037751717452E-2</v>
      </c>
      <c r="AG23" s="59">
        <f t="shared" ref="AG23:AG26" si="40">U23*$AE23/2000</f>
        <v>2.7783727216592245E-2</v>
      </c>
      <c r="AH23" s="59">
        <f t="shared" ref="AH23:AH26" si="41">V23*$AE23/2000</f>
        <v>5.7854468401862614E-3</v>
      </c>
      <c r="AI23" s="59">
        <f t="shared" ref="AI23:AI26" si="42">W23*$AE23/2000</f>
        <v>1.1126437579146946E-4</v>
      </c>
      <c r="AJ23" s="59">
        <f t="shared" ref="AJ23:AJ26" si="43">X23*$AE23/2000</f>
        <v>6.4109191242934368E-3</v>
      </c>
      <c r="AK23" s="59">
        <f t="shared" ref="AK23:AK26" si="44">Y23*$AE23/2000</f>
        <v>5.0801910126584684E-3</v>
      </c>
      <c r="AL23" s="59">
        <f t="shared" ref="AL23:AL26" si="45">Z23*$AE23/2000</f>
        <v>1.5542691646904521E-3</v>
      </c>
      <c r="AM23" s="59">
        <f t="shared" ref="AM23:AM26" si="46">AA23*$AE23/2000</f>
        <v>3.2639652458499497E-4</v>
      </c>
      <c r="AN23" s="59">
        <f t="shared" ref="AN23:AN26" si="47">AB23*$AE23/2000</f>
        <v>11.175895444892291</v>
      </c>
      <c r="AO23" s="59">
        <f t="shared" ref="AO23:AO26" si="48">AC23*$AE23/2000</f>
        <v>6.3862419340747999E-4</v>
      </c>
      <c r="AP23" s="59">
        <f t="shared" ref="AP23:AP26" si="49">AD23*$AE23/2000</f>
        <v>2.8628173771636092E-4</v>
      </c>
    </row>
    <row r="24" spans="1:42" x14ac:dyDescent="0.25">
      <c r="A24" s="91" t="s">
        <v>284</v>
      </c>
      <c r="B24" s="89" t="s">
        <v>128</v>
      </c>
      <c r="C24" s="90">
        <v>2</v>
      </c>
      <c r="D24" s="90">
        <v>2015</v>
      </c>
      <c r="E24" s="90">
        <v>35</v>
      </c>
      <c r="F24" s="90">
        <v>80</v>
      </c>
      <c r="G24" s="145">
        <v>1.1475010375994501</v>
      </c>
      <c r="H24" s="145">
        <v>6.1597902567033698</v>
      </c>
      <c r="I24" s="145">
        <v>0.27527412390358202</v>
      </c>
      <c r="J24" s="145">
        <v>1.0711818E-2</v>
      </c>
      <c r="K24" s="145">
        <v>7.9574350742464495E-2</v>
      </c>
      <c r="L24" s="567">
        <v>3.5999811999999999E-2</v>
      </c>
      <c r="M24" s="567">
        <v>6.1739677E-2</v>
      </c>
      <c r="N24" s="145">
        <v>7.32084026830674E-2</v>
      </c>
      <c r="O24" s="567">
        <v>8.9999529999999998E-3</v>
      </c>
      <c r="P24" s="567">
        <v>2.6459862000000001E-2</v>
      </c>
      <c r="Q24" s="145">
        <v>1735.6021746639301</v>
      </c>
      <c r="R24" s="56">
        <f>0.000057143*Q24</f>
        <v>9.9177515066820959E-2</v>
      </c>
      <c r="S24" s="93">
        <f>0.000025616*Q24</f>
        <v>4.445918530619123E-2</v>
      </c>
      <c r="T24" s="59">
        <f>C24*($F24*$G24)/453.59</f>
        <v>0.40477119428539432</v>
      </c>
      <c r="U24" s="59">
        <f>C24*($F24*$H24)/453.59</f>
        <v>2.1728134241772068</v>
      </c>
      <c r="V24" s="59">
        <f>C24*(($F24*$I24))/453.59</f>
        <v>9.7100597069100125E-2</v>
      </c>
      <c r="W24" s="59">
        <f>C24*($F24*$J24)/453.59</f>
        <v>3.7785023479353602E-3</v>
      </c>
      <c r="X24" s="59">
        <f>C24*(($F24*($K24+$L24+$M24)))/453.59</f>
        <v>6.2545943161873757E-2</v>
      </c>
      <c r="Y24" s="59">
        <f>C24*(($F24*($N24+$O24+$P24)))/453.59</f>
        <v>3.8331786038693062E-2</v>
      </c>
      <c r="Z24" s="59">
        <f>C24*(F24)*$B$220</f>
        <v>1.5699688532226787E-2</v>
      </c>
      <c r="AA24" s="59">
        <f>Z24*0.21</f>
        <v>3.296934591767625E-3</v>
      </c>
      <c r="AB24" s="59">
        <f>C24*(($F24*($Q24)))/453.59</f>
        <v>612.21884950335948</v>
      </c>
      <c r="AC24" s="59">
        <f>C24*(($F24*($R24)))/453.59</f>
        <v>3.4984021717170473E-2</v>
      </c>
      <c r="AD24" s="59">
        <f>C24*(($F24*($S24)))/453.59</f>
        <v>1.5682598048878057E-2</v>
      </c>
      <c r="AE24" s="63">
        <f t="shared" ref="AE24:AE25" si="50">6*22</f>
        <v>132</v>
      </c>
      <c r="AF24" s="59">
        <f t="shared" si="39"/>
        <v>2.6714898822836026E-2</v>
      </c>
      <c r="AG24" s="59">
        <f t="shared" si="40"/>
        <v>0.14340568599569564</v>
      </c>
      <c r="AH24" s="59">
        <f t="shared" si="41"/>
        <v>6.4086394065606079E-3</v>
      </c>
      <c r="AI24" s="59">
        <f t="shared" si="42"/>
        <v>2.4938115496373376E-4</v>
      </c>
      <c r="AJ24" s="59">
        <f t="shared" si="43"/>
        <v>4.1280322486836676E-3</v>
      </c>
      <c r="AK24" s="59">
        <f t="shared" si="44"/>
        <v>2.5298978785537425E-3</v>
      </c>
      <c r="AL24" s="59">
        <f t="shared" si="45"/>
        <v>1.036179443126968E-3</v>
      </c>
      <c r="AM24" s="59">
        <f t="shared" si="46"/>
        <v>2.1759768305666324E-4</v>
      </c>
      <c r="AN24" s="59">
        <f t="shared" si="47"/>
        <v>40.406444067221727</v>
      </c>
      <c r="AO24" s="59">
        <f t="shared" si="48"/>
        <v>2.308945433333251E-3</v>
      </c>
      <c r="AP24" s="59">
        <f t="shared" si="49"/>
        <v>1.0350514712259519E-3</v>
      </c>
    </row>
    <row r="25" spans="1:42" x14ac:dyDescent="0.25">
      <c r="A25" s="91" t="s">
        <v>157</v>
      </c>
      <c r="B25" s="89" t="s">
        <v>128</v>
      </c>
      <c r="C25" s="90">
        <v>1</v>
      </c>
      <c r="D25" s="90">
        <v>2015</v>
      </c>
      <c r="E25" s="90">
        <v>35</v>
      </c>
      <c r="F25" s="90">
        <v>80</v>
      </c>
      <c r="G25" s="145">
        <v>1.1475010375994501</v>
      </c>
      <c r="H25" s="145">
        <v>6.1597902567033698</v>
      </c>
      <c r="I25" s="145">
        <v>0.27527412390358202</v>
      </c>
      <c r="J25" s="145">
        <v>1.0711818E-2</v>
      </c>
      <c r="K25" s="145">
        <v>7.9574350742464495E-2</v>
      </c>
      <c r="L25" s="567">
        <v>3.5999811999999999E-2</v>
      </c>
      <c r="M25" s="567">
        <v>6.1739677E-2</v>
      </c>
      <c r="N25" s="145">
        <v>7.32084026830674E-2</v>
      </c>
      <c r="O25" s="567">
        <v>8.9999529999999998E-3</v>
      </c>
      <c r="P25" s="567">
        <v>2.6459862000000001E-2</v>
      </c>
      <c r="Q25" s="145">
        <v>1735.6021746639301</v>
      </c>
      <c r="R25" s="56">
        <f>0.000057143*Q25</f>
        <v>9.9177515066820959E-2</v>
      </c>
      <c r="S25" s="93">
        <f>0.000025616*Q25</f>
        <v>4.445918530619123E-2</v>
      </c>
      <c r="T25" s="59">
        <f>C25*($F25*$G25)/453.59</f>
        <v>0.20238559714269716</v>
      </c>
      <c r="U25" s="59">
        <f>C25*($F25*$H25)/453.59</f>
        <v>1.0864067120886034</v>
      </c>
      <c r="V25" s="59">
        <f>C25*(($F25*$I25))/453.59</f>
        <v>4.8550298534550063E-2</v>
      </c>
      <c r="W25" s="59">
        <f>C25*($F25*$J25)/453.59</f>
        <v>1.8892511739676801E-3</v>
      </c>
      <c r="X25" s="59">
        <f>C25*(($F25*($K25+$L25+$M25)))/453.59</f>
        <v>3.1272971580936879E-2</v>
      </c>
      <c r="Y25" s="59">
        <f>C25*(($F25*($N25+$O25+$P25)))/453.59</f>
        <v>1.9165893019346531E-2</v>
      </c>
      <c r="Z25" s="59">
        <f>C25*(F25)*$B$220</f>
        <v>7.8498442661133934E-3</v>
      </c>
      <c r="AA25" s="59">
        <f>Z25*0.21</f>
        <v>1.6484672958838125E-3</v>
      </c>
      <c r="AB25" s="59">
        <f>C25*(($F25*($Q25)))/453.59</f>
        <v>306.10942475167974</v>
      </c>
      <c r="AC25" s="59">
        <f>C25*(($F25*($R25)))/453.59</f>
        <v>1.7492010858585236E-2</v>
      </c>
      <c r="AD25" s="59">
        <f>C25*(($F25*($S25)))/453.59</f>
        <v>7.8412990244390284E-3</v>
      </c>
      <c r="AE25" s="63">
        <f t="shared" si="50"/>
        <v>132</v>
      </c>
      <c r="AF25" s="59">
        <f t="shared" si="39"/>
        <v>1.3357449411418013E-2</v>
      </c>
      <c r="AG25" s="59">
        <f t="shared" si="40"/>
        <v>7.1702842997847821E-2</v>
      </c>
      <c r="AH25" s="59">
        <f t="shared" si="41"/>
        <v>3.204319703280304E-3</v>
      </c>
      <c r="AI25" s="59">
        <f t="shared" si="42"/>
        <v>1.2469057748186688E-4</v>
      </c>
      <c r="AJ25" s="59">
        <f t="shared" si="43"/>
        <v>2.0640161243418338E-3</v>
      </c>
      <c r="AK25" s="59">
        <f t="shared" si="44"/>
        <v>1.2649489392768712E-3</v>
      </c>
      <c r="AL25" s="59">
        <f t="shared" si="45"/>
        <v>5.1808972156348399E-4</v>
      </c>
      <c r="AM25" s="59">
        <f t="shared" si="46"/>
        <v>1.0879884152833162E-4</v>
      </c>
      <c r="AN25" s="59">
        <f t="shared" si="47"/>
        <v>20.203222033610864</v>
      </c>
      <c r="AO25" s="59">
        <f t="shared" si="48"/>
        <v>1.1544727166666255E-3</v>
      </c>
      <c r="AP25" s="59">
        <f t="shared" si="49"/>
        <v>5.1752573561297593E-4</v>
      </c>
    </row>
    <row r="26" spans="1:42" x14ac:dyDescent="0.25">
      <c r="A26" s="91" t="s">
        <v>154</v>
      </c>
      <c r="B26" s="89" t="s">
        <v>128</v>
      </c>
      <c r="C26" s="90">
        <v>2</v>
      </c>
      <c r="D26" s="90">
        <v>2015</v>
      </c>
      <c r="E26" s="90">
        <v>35</v>
      </c>
      <c r="F26" s="90">
        <v>160</v>
      </c>
      <c r="G26" s="145">
        <v>1.1475010375994501</v>
      </c>
      <c r="H26" s="145">
        <v>6.1597902567033698</v>
      </c>
      <c r="I26" s="145">
        <v>0.27527412390358202</v>
      </c>
      <c r="J26" s="145">
        <v>1.0711818E-2</v>
      </c>
      <c r="K26" s="145">
        <v>7.9574350742464495E-2</v>
      </c>
      <c r="L26" s="567">
        <v>3.5999811999999999E-2</v>
      </c>
      <c r="M26" s="567">
        <v>6.1739677E-2</v>
      </c>
      <c r="N26" s="145">
        <v>7.32084026830674E-2</v>
      </c>
      <c r="O26" s="567">
        <v>8.9999529999999998E-3</v>
      </c>
      <c r="P26" s="567">
        <v>2.6459862000000001E-2</v>
      </c>
      <c r="Q26" s="145">
        <v>1735.6021746639301</v>
      </c>
      <c r="R26" s="56">
        <f>0.000057143*Q26</f>
        <v>9.9177515066820959E-2</v>
      </c>
      <c r="S26" s="93">
        <f>0.000025616*Q26</f>
        <v>4.445918530619123E-2</v>
      </c>
      <c r="T26" s="59">
        <f>C26*($F26*$G26)/453.59</f>
        <v>0.80954238857078864</v>
      </c>
      <c r="U26" s="59">
        <f>C26*($F26*$H26)/453.59</f>
        <v>4.3456268483544136</v>
      </c>
      <c r="V26" s="59">
        <f>C26*(($F26*$I26))/453.59</f>
        <v>0.19420119413820025</v>
      </c>
      <c r="W26" s="59">
        <f>C26*($F26*$J26)/453.59</f>
        <v>7.5570046958707204E-3</v>
      </c>
      <c r="X26" s="59">
        <f>C26*(($F26*($K26+$L26+$M26)))/453.59</f>
        <v>0.12509188632374751</v>
      </c>
      <c r="Y26" s="59">
        <f>C26*(($F26*($N26+$O26+$P26)))/453.59</f>
        <v>7.6663572077386125E-2</v>
      </c>
      <c r="Z26" s="59">
        <f>C26*(F26)*$B$220</f>
        <v>3.1399377064453574E-2</v>
      </c>
      <c r="AA26" s="59">
        <f>Z26*0.21</f>
        <v>6.59386918353525E-3</v>
      </c>
      <c r="AB26" s="59">
        <f>C26*(($F26*($Q26)))/453.59</f>
        <v>1224.437699006719</v>
      </c>
      <c r="AC26" s="59">
        <f>C26*(($F26*($R26)))/453.59</f>
        <v>6.9968043434340946E-2</v>
      </c>
      <c r="AD26" s="59">
        <f>C26*(($F26*($S26)))/453.59</f>
        <v>3.1365196097756114E-2</v>
      </c>
      <c r="AE26" s="63"/>
      <c r="AF26" s="59">
        <f t="shared" si="39"/>
        <v>0</v>
      </c>
      <c r="AG26" s="59">
        <f t="shared" si="40"/>
        <v>0</v>
      </c>
      <c r="AH26" s="59">
        <f t="shared" si="41"/>
        <v>0</v>
      </c>
      <c r="AI26" s="59">
        <f t="shared" si="42"/>
        <v>0</v>
      </c>
      <c r="AJ26" s="59">
        <f t="shared" si="43"/>
        <v>0</v>
      </c>
      <c r="AK26" s="59">
        <f t="shared" si="44"/>
        <v>0</v>
      </c>
      <c r="AL26" s="59">
        <f t="shared" si="45"/>
        <v>0</v>
      </c>
      <c r="AM26" s="59">
        <f t="shared" si="46"/>
        <v>0</v>
      </c>
      <c r="AN26" s="59">
        <f t="shared" si="47"/>
        <v>0</v>
      </c>
      <c r="AO26" s="59">
        <f t="shared" si="48"/>
        <v>0</v>
      </c>
      <c r="AP26" s="59">
        <f t="shared" si="49"/>
        <v>0</v>
      </c>
    </row>
    <row r="27" spans="1:42" x14ac:dyDescent="0.25">
      <c r="A27" s="88" t="s">
        <v>38</v>
      </c>
      <c r="B27" s="87"/>
      <c r="C27" s="166"/>
      <c r="D27" s="166"/>
      <c r="E27" s="87"/>
      <c r="F27" s="87"/>
      <c r="G27" s="566"/>
      <c r="H27" s="50"/>
      <c r="I27" s="50"/>
      <c r="J27" s="50"/>
      <c r="K27" s="568"/>
      <c r="L27" s="568"/>
      <c r="M27" s="568"/>
      <c r="N27" s="568"/>
      <c r="O27" s="568"/>
      <c r="P27" s="568"/>
      <c r="Q27" s="50"/>
      <c r="R27" s="568"/>
      <c r="S27" s="568"/>
      <c r="T27" s="94">
        <f>SUM(T23:T26)</f>
        <v>1.8590936913885385</v>
      </c>
      <c r="U27" s="94">
        <f t="shared" ref="U27:AD27" si="51">SUM(U23:U26)</f>
        <v>8.0258125485079859</v>
      </c>
      <c r="V27" s="94">
        <f t="shared" si="51"/>
        <v>0.42751037519921803</v>
      </c>
      <c r="W27" s="94">
        <f t="shared" si="51"/>
        <v>1.4910582093402087E-2</v>
      </c>
      <c r="X27" s="94">
        <f t="shared" si="51"/>
        <v>0.31604593931342839</v>
      </c>
      <c r="Y27" s="94">
        <f t="shared" si="51"/>
        <v>0.2111338422363116</v>
      </c>
      <c r="Z27" s="94">
        <f t="shared" si="51"/>
        <v>7.8498442661133941E-2</v>
      </c>
      <c r="AA27" s="94">
        <f t="shared" si="51"/>
        <v>1.6484672958838126E-2</v>
      </c>
      <c r="AB27" s="94">
        <f t="shared" si="51"/>
        <v>2312.0977224267926</v>
      </c>
      <c r="AC27" s="94">
        <f t="shared" si="51"/>
        <v>0.13212020015263423</v>
      </c>
      <c r="AD27" s="94">
        <f t="shared" si="51"/>
        <v>5.9226695257684731E-2</v>
      </c>
      <c r="AE27" s="69"/>
      <c r="AF27" s="94">
        <f t="shared" ref="AF27:AP27" si="52">SUM(AF23:AF26)</f>
        <v>6.9270385985971489E-2</v>
      </c>
      <c r="AG27" s="94">
        <f t="shared" si="52"/>
        <v>0.24289225621013572</v>
      </c>
      <c r="AH27" s="94">
        <f t="shared" si="52"/>
        <v>1.5398405950027174E-2</v>
      </c>
      <c r="AI27" s="94">
        <f t="shared" si="52"/>
        <v>4.8533610823707008E-4</v>
      </c>
      <c r="AJ27" s="94">
        <f t="shared" si="52"/>
        <v>1.2602967497318939E-2</v>
      </c>
      <c r="AK27" s="94">
        <f t="shared" si="52"/>
        <v>8.8750378304890826E-3</v>
      </c>
      <c r="AL27" s="94">
        <f t="shared" si="52"/>
        <v>3.1085383293809042E-3</v>
      </c>
      <c r="AM27" s="94">
        <f t="shared" si="52"/>
        <v>6.5279304916998984E-4</v>
      </c>
      <c r="AN27" s="94">
        <f t="shared" si="52"/>
        <v>71.785561545724875</v>
      </c>
      <c r="AO27" s="94">
        <f t="shared" si="52"/>
        <v>4.1020423434073566E-3</v>
      </c>
      <c r="AP27" s="94">
        <f t="shared" si="52"/>
        <v>1.8388589445552887E-3</v>
      </c>
    </row>
    <row r="28" spans="1:42" x14ac:dyDescent="0.25">
      <c r="A28" s="159"/>
      <c r="B28" s="87"/>
      <c r="C28" s="166"/>
      <c r="D28" s="166"/>
      <c r="E28" s="87"/>
      <c r="F28" s="87"/>
      <c r="G28" s="154"/>
      <c r="H28" s="50"/>
      <c r="I28" s="50"/>
      <c r="J28" s="50"/>
      <c r="K28" s="155"/>
      <c r="L28" s="155"/>
      <c r="M28" s="155"/>
      <c r="N28" s="155"/>
      <c r="O28" s="155"/>
      <c r="P28" s="155"/>
      <c r="Q28" s="50"/>
      <c r="R28" s="155"/>
      <c r="S28" s="155"/>
      <c r="T28" s="74"/>
      <c r="U28" s="74"/>
      <c r="V28" s="74"/>
      <c r="W28" s="74"/>
      <c r="X28" s="74"/>
      <c r="Y28" s="74"/>
      <c r="Z28" s="75"/>
      <c r="AA28" s="75"/>
      <c r="AB28" s="75"/>
      <c r="AC28" s="75"/>
      <c r="AD28" s="75"/>
      <c r="AE28" s="52"/>
      <c r="AF28" s="74"/>
      <c r="AG28" s="74"/>
      <c r="AH28" s="74"/>
      <c r="AI28" s="74"/>
      <c r="AJ28" s="74"/>
      <c r="AK28" s="74"/>
      <c r="AL28" s="75"/>
      <c r="AM28" s="75"/>
      <c r="AN28" s="76"/>
      <c r="AO28" s="74"/>
      <c r="AP28" s="74"/>
    </row>
    <row r="29" spans="1:42" x14ac:dyDescent="0.25">
      <c r="A29" s="177" t="s">
        <v>278</v>
      </c>
      <c r="B29" s="87"/>
      <c r="C29" s="166"/>
      <c r="D29" s="166"/>
      <c r="E29" s="87"/>
      <c r="F29" s="87"/>
      <c r="G29" s="154"/>
      <c r="H29" s="50"/>
      <c r="I29" s="50"/>
      <c r="J29" s="50"/>
      <c r="K29" s="155"/>
      <c r="L29" s="155"/>
      <c r="M29" s="155"/>
      <c r="N29" s="155"/>
      <c r="O29" s="155"/>
      <c r="P29" s="155"/>
      <c r="Q29" s="50"/>
      <c r="R29" s="155"/>
      <c r="S29" s="155"/>
      <c r="T29" s="74"/>
      <c r="U29" s="74"/>
      <c r="V29" s="74"/>
      <c r="W29" s="74"/>
      <c r="X29" s="74"/>
      <c r="Y29" s="74"/>
      <c r="Z29" s="75"/>
      <c r="AA29" s="75"/>
      <c r="AB29" s="75"/>
      <c r="AC29" s="75"/>
      <c r="AD29" s="75"/>
      <c r="AE29" s="52"/>
      <c r="AF29" s="74"/>
      <c r="AG29" s="74"/>
      <c r="AH29" s="74"/>
      <c r="AI29" s="74"/>
      <c r="AJ29" s="74"/>
      <c r="AK29" s="74"/>
      <c r="AL29" s="75"/>
      <c r="AM29" s="75"/>
      <c r="AN29" s="76"/>
      <c r="AO29" s="74"/>
      <c r="AP29" s="74"/>
    </row>
    <row r="30" spans="1:42" x14ac:dyDescent="0.25">
      <c r="A30" s="91" t="s">
        <v>114</v>
      </c>
      <c r="B30" s="89" t="s">
        <v>107</v>
      </c>
      <c r="C30" s="92">
        <v>4</v>
      </c>
      <c r="D30" s="90">
        <v>2016</v>
      </c>
      <c r="E30" s="90">
        <v>15</v>
      </c>
      <c r="F30" s="90">
        <v>60</v>
      </c>
      <c r="G30" s="145">
        <v>0.70902920600557995</v>
      </c>
      <c r="H30" s="145">
        <v>0.69767352274313099</v>
      </c>
      <c r="I30" s="145">
        <v>0.138100398559698</v>
      </c>
      <c r="J30" s="145">
        <v>3.18613688227605E-3</v>
      </c>
      <c r="K30" s="145">
        <v>0.11526917970440601</v>
      </c>
      <c r="L30" s="56">
        <v>7.99995847163921E-3</v>
      </c>
      <c r="M30" s="56">
        <v>3.6749815577381599E-2</v>
      </c>
      <c r="N30" s="145">
        <v>0.106047654633784</v>
      </c>
      <c r="O30" s="56">
        <v>1.9999896145790402E-3</v>
      </c>
      <c r="P30" s="56">
        <v>1.57499200131354E-2</v>
      </c>
      <c r="Q30" s="145">
        <v>305.602291171589</v>
      </c>
      <c r="R30" s="56">
        <f>0.000057143*Q30</f>
        <v>1.7463031724418109E-2</v>
      </c>
      <c r="S30" s="93">
        <f>0.000025616*Q30</f>
        <v>7.8283082906514239E-3</v>
      </c>
      <c r="T30" s="59">
        <f>C30*($F30*$G30)/453.59</f>
        <v>0.37515599868017196</v>
      </c>
      <c r="U30" s="59">
        <f>C30*($F30*$H30)/453.59</f>
        <v>0.36914756819672273</v>
      </c>
      <c r="V30" s="59">
        <f>C30*(($F30*$I30))/453.59</f>
        <v>7.3070604850917181E-2</v>
      </c>
      <c r="W30" s="59">
        <f>C30*($F30*$J30)/453.59</f>
        <v>1.6858238756283252E-3</v>
      </c>
      <c r="X30" s="59">
        <f>C30*(($F30*($K30+$L30+$M30)))/453.59</f>
        <v>8.4667979675086394E-2</v>
      </c>
      <c r="Y30" s="59">
        <f>C30*(($F30*($N30+$O30+$P30)))/453.59</f>
        <v>6.5502800817389337E-2</v>
      </c>
      <c r="Z30" s="59">
        <f>C30*(F30)*$B$220</f>
        <v>2.3549532798340184E-2</v>
      </c>
      <c r="AA30" s="59">
        <f>Z30*0.21</f>
        <v>4.9454018876514388E-3</v>
      </c>
      <c r="AB30" s="59">
        <f>C30*(($F30*($Q30)))/453.59</f>
        <v>161.69789872171205</v>
      </c>
      <c r="AC30" s="59">
        <f>C30*(($F30*($R30)))/453.59</f>
        <v>9.2399030266547902E-3</v>
      </c>
      <c r="AD30" s="59">
        <f>C30*(($F30*($S30)))/453.59</f>
        <v>4.1420533736553754E-3</v>
      </c>
      <c r="AE30" s="63">
        <f>6*22</f>
        <v>132</v>
      </c>
      <c r="AF30" s="59">
        <f t="shared" ref="AF30:AF33" si="53">T30*$AE30/2000</f>
        <v>2.4760295912891351E-2</v>
      </c>
      <c r="AG30" s="59">
        <f t="shared" ref="AG30:AG33" si="54">U30*$AE30/2000</f>
        <v>2.4363739500983701E-2</v>
      </c>
      <c r="AH30" s="59">
        <f t="shared" ref="AH30:AH33" si="55">V30*$AE30/2000</f>
        <v>4.8226599201605345E-3</v>
      </c>
      <c r="AI30" s="59">
        <f t="shared" ref="AI30:AI33" si="56">W30*$AE30/2000</f>
        <v>1.1126437579146946E-4</v>
      </c>
      <c r="AJ30" s="59">
        <f t="shared" ref="AJ30:AJ33" si="57">X30*$AE30/2000</f>
        <v>5.5880866585557021E-3</v>
      </c>
      <c r="AK30" s="59">
        <f t="shared" ref="AK30:AK33" si="58">Y30*$AE30/2000</f>
        <v>4.3231848539476963E-3</v>
      </c>
      <c r="AL30" s="59">
        <f t="shared" ref="AL30:AL33" si="59">Z30*$AE30/2000</f>
        <v>1.5542691646904521E-3</v>
      </c>
      <c r="AM30" s="59">
        <f t="shared" ref="AM30:AM33" si="60">AA30*$AE30/2000</f>
        <v>3.2639652458499497E-4</v>
      </c>
      <c r="AN30" s="59">
        <f t="shared" ref="AN30:AN33" si="61">AB30*$AE30/2000</f>
        <v>10.672061315632995</v>
      </c>
      <c r="AO30" s="59">
        <f t="shared" ref="AO30:AO33" si="62">AC30*$AE30/2000</f>
        <v>6.0983359975921609E-4</v>
      </c>
      <c r="AP30" s="59">
        <f t="shared" ref="AP30:AP33" si="63">AD30*$AE30/2000</f>
        <v>2.7337552266125473E-4</v>
      </c>
    </row>
    <row r="31" spans="1:42" x14ac:dyDescent="0.25">
      <c r="A31" s="91" t="s">
        <v>284</v>
      </c>
      <c r="B31" s="89" t="s">
        <v>128</v>
      </c>
      <c r="C31" s="90">
        <v>2</v>
      </c>
      <c r="D31" s="90">
        <v>2016</v>
      </c>
      <c r="E31" s="90">
        <v>35</v>
      </c>
      <c r="F31" s="90">
        <v>80</v>
      </c>
      <c r="G31" s="145">
        <v>1.0826397662712</v>
      </c>
      <c r="H31" s="145">
        <v>4.9663485177263196</v>
      </c>
      <c r="I31" s="145">
        <v>0.26248012574830598</v>
      </c>
      <c r="J31" s="145">
        <v>1.0711818E-2</v>
      </c>
      <c r="K31" s="145">
        <v>7.1679901069995999E-2</v>
      </c>
      <c r="L31" s="469">
        <v>3.5999811999999999E-2</v>
      </c>
      <c r="M31" s="469">
        <v>6.1739677E-2</v>
      </c>
      <c r="N31" s="145">
        <v>6.59455089843963E-2</v>
      </c>
      <c r="O31" s="469">
        <v>8.9999529999999998E-3</v>
      </c>
      <c r="P31" s="469">
        <v>2.6459862000000001E-2</v>
      </c>
      <c r="Q31" s="145">
        <v>1710.7260798812899</v>
      </c>
      <c r="R31" s="56">
        <f>0.000057143*Q31</f>
        <v>9.7756020382656544E-2</v>
      </c>
      <c r="S31" s="93">
        <f>0.000025616*Q31</f>
        <v>4.382195926223912E-2</v>
      </c>
      <c r="T31" s="59">
        <f>C31*($F31*$G31)/453.59</f>
        <v>0.38189193457393683</v>
      </c>
      <c r="U31" s="59">
        <f>C31*($F31*$H31)/453.59</f>
        <v>1.7518370396971079</v>
      </c>
      <c r="V31" s="59">
        <f>C31*(($F31*$I31))/453.59</f>
        <v>9.2587623447891176E-2</v>
      </c>
      <c r="W31" s="59">
        <f>C31*($F31*$J31)/453.59</f>
        <v>3.7785023479353602E-3</v>
      </c>
      <c r="X31" s="59">
        <f>C31*(($F31*($K31+$L31+$M31)))/453.59</f>
        <v>5.976124343834599E-2</v>
      </c>
      <c r="Y31" s="59">
        <f>C31*(($F31*($N31+$O31+$P31)))/453.59</f>
        <v>3.5769862293047489E-2</v>
      </c>
      <c r="Z31" s="59">
        <f>C31*(F31)*$B$220</f>
        <v>1.5699688532226787E-2</v>
      </c>
      <c r="AA31" s="59">
        <f>Z31*0.21</f>
        <v>3.296934591767625E-3</v>
      </c>
      <c r="AB31" s="59">
        <f>C31*(($F31*($Q31)))/453.59</f>
        <v>603.44401944709182</v>
      </c>
      <c r="AC31" s="59">
        <f>C31*(($F31*($R31)))/453.59</f>
        <v>3.4482601603265169E-2</v>
      </c>
      <c r="AD31" s="59">
        <f>C31*(($F31*($S31)))/453.59</f>
        <v>1.5457822002156703E-2</v>
      </c>
      <c r="AE31" s="63">
        <f t="shared" ref="AE31:AE32" si="64">6*22</f>
        <v>132</v>
      </c>
      <c r="AF31" s="59">
        <f t="shared" si="53"/>
        <v>2.5204867681879829E-2</v>
      </c>
      <c r="AG31" s="59">
        <f t="shared" si="54"/>
        <v>0.11562124462000913</v>
      </c>
      <c r="AH31" s="59">
        <f t="shared" si="55"/>
        <v>6.1107831475608176E-3</v>
      </c>
      <c r="AI31" s="59">
        <f t="shared" si="56"/>
        <v>2.4938115496373376E-4</v>
      </c>
      <c r="AJ31" s="59">
        <f t="shared" si="57"/>
        <v>3.9442420669308347E-3</v>
      </c>
      <c r="AK31" s="59">
        <f t="shared" si="58"/>
        <v>2.3608109113411346E-3</v>
      </c>
      <c r="AL31" s="59">
        <f t="shared" si="59"/>
        <v>1.036179443126968E-3</v>
      </c>
      <c r="AM31" s="59">
        <f t="shared" si="60"/>
        <v>2.1759768305666324E-4</v>
      </c>
      <c r="AN31" s="59">
        <f t="shared" si="61"/>
        <v>39.827305283508061</v>
      </c>
      <c r="AO31" s="59">
        <f t="shared" si="62"/>
        <v>2.2758517058155008E-3</v>
      </c>
      <c r="AP31" s="59">
        <f t="shared" si="63"/>
        <v>1.0202162521423424E-3</v>
      </c>
    </row>
    <row r="32" spans="1:42" x14ac:dyDescent="0.25">
      <c r="A32" s="91" t="s">
        <v>157</v>
      </c>
      <c r="B32" s="89" t="s">
        <v>128</v>
      </c>
      <c r="C32" s="90">
        <v>1</v>
      </c>
      <c r="D32" s="90">
        <v>2016</v>
      </c>
      <c r="E32" s="90">
        <v>35</v>
      </c>
      <c r="F32" s="90">
        <v>80</v>
      </c>
      <c r="G32" s="145">
        <v>1.0826397662712</v>
      </c>
      <c r="H32" s="145">
        <v>4.9663485177263196</v>
      </c>
      <c r="I32" s="145">
        <v>0.26248012574830598</v>
      </c>
      <c r="J32" s="145">
        <v>1.0711818E-2</v>
      </c>
      <c r="K32" s="145">
        <v>7.1679901069995999E-2</v>
      </c>
      <c r="L32" s="567">
        <v>3.5999811999999999E-2</v>
      </c>
      <c r="M32" s="567">
        <v>6.1739677E-2</v>
      </c>
      <c r="N32" s="145">
        <v>6.59455089843963E-2</v>
      </c>
      <c r="O32" s="567">
        <v>8.9999529999999998E-3</v>
      </c>
      <c r="P32" s="567">
        <v>2.6459862000000001E-2</v>
      </c>
      <c r="Q32" s="145">
        <v>1710.7260798812899</v>
      </c>
      <c r="R32" s="56">
        <f>0.000057143*Q32</f>
        <v>9.7756020382656544E-2</v>
      </c>
      <c r="S32" s="93">
        <f>0.000025616*Q32</f>
        <v>4.382195926223912E-2</v>
      </c>
      <c r="T32" s="59">
        <f>C32*($F32*$G32)/453.59</f>
        <v>0.19094596728696842</v>
      </c>
      <c r="U32" s="59">
        <f>C32*($F32*$H32)/453.59</f>
        <v>0.87591851984855396</v>
      </c>
      <c r="V32" s="59">
        <f>C32*(($F32*$I32))/453.59</f>
        <v>4.6293811723945588E-2</v>
      </c>
      <c r="W32" s="59">
        <f>C32*($F32*$J32)/453.59</f>
        <v>1.8892511739676801E-3</v>
      </c>
      <c r="X32" s="59">
        <f>C32*(($F32*($K32+$L32+$M32)))/453.59</f>
        <v>2.9880621719172995E-2</v>
      </c>
      <c r="Y32" s="59">
        <f>C32*(($F32*($N32+$O32+$P32)))/453.59</f>
        <v>1.7884931146523744E-2</v>
      </c>
      <c r="Z32" s="59">
        <f>C32*(F32)*$B$220</f>
        <v>7.8498442661133934E-3</v>
      </c>
      <c r="AA32" s="59">
        <f>Z32*0.21</f>
        <v>1.6484672958838125E-3</v>
      </c>
      <c r="AB32" s="59">
        <f>C32*(($F32*($Q32)))/453.59</f>
        <v>301.72200972354591</v>
      </c>
      <c r="AC32" s="59">
        <f>C32*(($F32*($R32)))/453.59</f>
        <v>1.7241300801632584E-2</v>
      </c>
      <c r="AD32" s="59">
        <f>C32*(($F32*($S32)))/453.59</f>
        <v>7.7289110010783516E-3</v>
      </c>
      <c r="AE32" s="63">
        <f t="shared" si="64"/>
        <v>132</v>
      </c>
      <c r="AF32" s="59">
        <f t="shared" si="53"/>
        <v>1.2602433840939915E-2</v>
      </c>
      <c r="AG32" s="59">
        <f t="shared" si="54"/>
        <v>5.7810622310004563E-2</v>
      </c>
      <c r="AH32" s="59">
        <f t="shared" si="55"/>
        <v>3.0553915737804088E-3</v>
      </c>
      <c r="AI32" s="59">
        <f t="shared" si="56"/>
        <v>1.2469057748186688E-4</v>
      </c>
      <c r="AJ32" s="59">
        <f t="shared" si="57"/>
        <v>1.9721210334654174E-3</v>
      </c>
      <c r="AK32" s="59">
        <f t="shared" si="58"/>
        <v>1.1804054556705673E-3</v>
      </c>
      <c r="AL32" s="59">
        <f t="shared" si="59"/>
        <v>5.1808972156348399E-4</v>
      </c>
      <c r="AM32" s="59">
        <f t="shared" si="60"/>
        <v>1.0879884152833162E-4</v>
      </c>
      <c r="AN32" s="59">
        <f t="shared" si="61"/>
        <v>19.91365264175403</v>
      </c>
      <c r="AO32" s="59">
        <f t="shared" si="62"/>
        <v>1.1379258529077504E-3</v>
      </c>
      <c r="AP32" s="59">
        <f t="shared" si="63"/>
        <v>5.1010812607117119E-4</v>
      </c>
    </row>
    <row r="33" spans="1:42" x14ac:dyDescent="0.25">
      <c r="A33" s="91" t="s">
        <v>154</v>
      </c>
      <c r="B33" s="89" t="s">
        <v>128</v>
      </c>
      <c r="C33" s="90">
        <v>2</v>
      </c>
      <c r="D33" s="90">
        <v>2016</v>
      </c>
      <c r="E33" s="90">
        <v>35</v>
      </c>
      <c r="F33" s="90">
        <v>160</v>
      </c>
      <c r="G33" s="145">
        <v>1.0826397662712</v>
      </c>
      <c r="H33" s="145">
        <v>4.9663485177263196</v>
      </c>
      <c r="I33" s="145">
        <v>0.26248012574830598</v>
      </c>
      <c r="J33" s="145">
        <v>1.0711818E-2</v>
      </c>
      <c r="K33" s="145">
        <v>7.1679901069995999E-2</v>
      </c>
      <c r="L33" s="567">
        <v>3.5999811999999999E-2</v>
      </c>
      <c r="M33" s="567">
        <v>6.1739677E-2</v>
      </c>
      <c r="N33" s="145">
        <v>6.59455089843963E-2</v>
      </c>
      <c r="O33" s="567">
        <v>8.9999529999999998E-3</v>
      </c>
      <c r="P33" s="567">
        <v>2.6459862000000001E-2</v>
      </c>
      <c r="Q33" s="145">
        <v>1710.7260798812899</v>
      </c>
      <c r="R33" s="56">
        <f>0.000057143*Q33</f>
        <v>9.7756020382656544E-2</v>
      </c>
      <c r="S33" s="93">
        <f>0.000025616*Q33</f>
        <v>4.382195926223912E-2</v>
      </c>
      <c r="T33" s="59">
        <f>C33*($F33*$G33)/453.59</f>
        <v>0.76378386914787366</v>
      </c>
      <c r="U33" s="59">
        <f>C33*($F33*$H33)/453.59</f>
        <v>3.5036740793942158</v>
      </c>
      <c r="V33" s="59">
        <f>C33*(($F33*$I33))/453.59</f>
        <v>0.18517524689578235</v>
      </c>
      <c r="W33" s="59">
        <f>C33*($F33*$J33)/453.59</f>
        <v>7.5570046958707204E-3</v>
      </c>
      <c r="X33" s="59">
        <f>C33*(($F33*($K33+$L33+$M33)))/453.59</f>
        <v>0.11952248687669198</v>
      </c>
      <c r="Y33" s="59">
        <f>C33*(($F33*($N33+$O33+$P33)))/453.59</f>
        <v>7.1539724586094977E-2</v>
      </c>
      <c r="Z33" s="59">
        <f>C33*(F33)*$B$220</f>
        <v>3.1399377064453574E-2</v>
      </c>
      <c r="AA33" s="59">
        <f>Z33*0.21</f>
        <v>6.59386918353525E-3</v>
      </c>
      <c r="AB33" s="59">
        <f>C33*(($F33*($Q33)))/453.59</f>
        <v>1206.8880388941836</v>
      </c>
      <c r="AC33" s="59">
        <f>C33*(($F33*($R33)))/453.59</f>
        <v>6.8965203206530337E-2</v>
      </c>
      <c r="AD33" s="59">
        <f>C33*(($F33*($S33)))/453.59</f>
        <v>3.0915644004313406E-2</v>
      </c>
      <c r="AE33" s="63"/>
      <c r="AF33" s="59">
        <f t="shared" si="53"/>
        <v>0</v>
      </c>
      <c r="AG33" s="59">
        <f t="shared" si="54"/>
        <v>0</v>
      </c>
      <c r="AH33" s="59">
        <f t="shared" si="55"/>
        <v>0</v>
      </c>
      <c r="AI33" s="59">
        <f t="shared" si="56"/>
        <v>0</v>
      </c>
      <c r="AJ33" s="59">
        <f t="shared" si="57"/>
        <v>0</v>
      </c>
      <c r="AK33" s="59">
        <f t="shared" si="58"/>
        <v>0</v>
      </c>
      <c r="AL33" s="59">
        <f t="shared" si="59"/>
        <v>0</v>
      </c>
      <c r="AM33" s="59">
        <f t="shared" si="60"/>
        <v>0</v>
      </c>
      <c r="AN33" s="59">
        <f t="shared" si="61"/>
        <v>0</v>
      </c>
      <c r="AO33" s="59">
        <f t="shared" si="62"/>
        <v>0</v>
      </c>
      <c r="AP33" s="59">
        <f t="shared" si="63"/>
        <v>0</v>
      </c>
    </row>
    <row r="34" spans="1:42" x14ac:dyDescent="0.25">
      <c r="A34" s="88" t="s">
        <v>38</v>
      </c>
      <c r="B34" s="87"/>
      <c r="C34" s="166"/>
      <c r="D34" s="166"/>
      <c r="E34" s="87"/>
      <c r="F34" s="87"/>
      <c r="G34" s="154"/>
      <c r="H34" s="50"/>
      <c r="I34" s="50"/>
      <c r="J34" s="50"/>
      <c r="K34" s="155"/>
      <c r="L34" s="155"/>
      <c r="M34" s="155"/>
      <c r="N34" s="155"/>
      <c r="O34" s="155"/>
      <c r="P34" s="155"/>
      <c r="Q34" s="50"/>
      <c r="R34" s="155"/>
      <c r="S34" s="155"/>
      <c r="T34" s="94">
        <f>SUM(T30:T33)</f>
        <v>1.7117777696889509</v>
      </c>
      <c r="U34" s="94">
        <f t="shared" ref="U34" si="65">SUM(U30:U33)</f>
        <v>6.500577207136601</v>
      </c>
      <c r="V34" s="94">
        <f t="shared" ref="V34" si="66">SUM(V30:V33)</f>
        <v>0.39712728691853627</v>
      </c>
      <c r="W34" s="94">
        <f t="shared" ref="W34" si="67">SUM(W30:W33)</f>
        <v>1.4910582093402087E-2</v>
      </c>
      <c r="X34" s="94">
        <f t="shared" ref="X34" si="68">SUM(X30:X33)</f>
        <v>0.29383233170929735</v>
      </c>
      <c r="Y34" s="94">
        <f t="shared" ref="Y34" si="69">SUM(Y30:Y33)</f>
        <v>0.19069731884305555</v>
      </c>
      <c r="Z34" s="94">
        <f t="shared" ref="Z34" si="70">SUM(Z30:Z33)</f>
        <v>7.8498442661133941E-2</v>
      </c>
      <c r="AA34" s="94">
        <f t="shared" ref="AA34" si="71">SUM(AA30:AA33)</f>
        <v>1.6484672958838126E-2</v>
      </c>
      <c r="AB34" s="94">
        <f t="shared" ref="AB34" si="72">SUM(AB30:AB33)</f>
        <v>2273.7519667865336</v>
      </c>
      <c r="AC34" s="94">
        <f t="shared" ref="AC34" si="73">SUM(AC30:AC33)</f>
        <v>0.12992900863808288</v>
      </c>
      <c r="AD34" s="94">
        <f t="shared" ref="AD34" si="74">SUM(AD30:AD33)</f>
        <v>5.8244430381203832E-2</v>
      </c>
      <c r="AE34" s="69"/>
      <c r="AF34" s="94">
        <f t="shared" ref="AF34" si="75">SUM(AF30:AF33)</f>
        <v>6.2567597435711095E-2</v>
      </c>
      <c r="AG34" s="94">
        <f t="shared" ref="AG34" si="76">SUM(AG30:AG33)</f>
        <v>0.19779560643099739</v>
      </c>
      <c r="AH34" s="94">
        <f t="shared" ref="AH34" si="77">SUM(AH30:AH33)</f>
        <v>1.398883464150176E-2</v>
      </c>
      <c r="AI34" s="94">
        <f t="shared" ref="AI34" si="78">SUM(AI30:AI33)</f>
        <v>4.8533610823707008E-4</v>
      </c>
      <c r="AJ34" s="94">
        <f t="shared" ref="AJ34" si="79">SUM(AJ30:AJ33)</f>
        <v>1.1504449758951953E-2</v>
      </c>
      <c r="AK34" s="94">
        <f t="shared" ref="AK34" si="80">SUM(AK30:AK33)</f>
        <v>7.8644012209593984E-3</v>
      </c>
      <c r="AL34" s="94">
        <f t="shared" ref="AL34" si="81">SUM(AL30:AL33)</f>
        <v>3.1085383293809042E-3</v>
      </c>
      <c r="AM34" s="94">
        <f t="shared" ref="AM34" si="82">SUM(AM30:AM33)</f>
        <v>6.5279304916998984E-4</v>
      </c>
      <c r="AN34" s="94">
        <f t="shared" ref="AN34" si="83">SUM(AN30:AN33)</f>
        <v>70.413019240895082</v>
      </c>
      <c r="AO34" s="94">
        <f t="shared" ref="AO34" si="84">SUM(AO30:AO33)</f>
        <v>4.0236111584824675E-3</v>
      </c>
      <c r="AP34" s="94">
        <f t="shared" ref="AP34" si="85">SUM(AP30:AP33)</f>
        <v>1.8036999008747682E-3</v>
      </c>
    </row>
    <row r="35" spans="1:42" x14ac:dyDescent="0.25">
      <c r="A35" s="159"/>
      <c r="B35" s="87"/>
      <c r="C35" s="166"/>
      <c r="D35" s="166"/>
      <c r="E35" s="87"/>
      <c r="F35" s="87"/>
      <c r="G35" s="154"/>
      <c r="H35" s="50"/>
      <c r="I35" s="50"/>
      <c r="J35" s="50"/>
      <c r="K35" s="155"/>
      <c r="L35" s="155"/>
      <c r="M35" s="155"/>
      <c r="N35" s="155"/>
      <c r="O35" s="155"/>
      <c r="P35" s="155"/>
      <c r="Q35" s="50"/>
      <c r="R35" s="155"/>
      <c r="S35" s="155"/>
      <c r="T35" s="74"/>
      <c r="U35" s="74"/>
      <c r="V35" s="74"/>
      <c r="W35" s="74"/>
      <c r="X35" s="74"/>
      <c r="Y35" s="74"/>
      <c r="Z35" s="75"/>
      <c r="AA35" s="75"/>
      <c r="AB35" s="75"/>
      <c r="AC35" s="75"/>
      <c r="AD35" s="75"/>
      <c r="AE35" s="52"/>
      <c r="AF35" s="74"/>
      <c r="AG35" s="74"/>
      <c r="AH35" s="74"/>
      <c r="AI35" s="74"/>
      <c r="AJ35" s="74"/>
      <c r="AK35" s="74"/>
      <c r="AL35" s="75"/>
      <c r="AM35" s="75"/>
      <c r="AN35" s="76"/>
      <c r="AO35" s="74"/>
      <c r="AP35" s="74"/>
    </row>
    <row r="36" spans="1:42" ht="26.4" x14ac:dyDescent="0.25">
      <c r="A36" s="177" t="s">
        <v>279</v>
      </c>
      <c r="B36" s="87"/>
      <c r="C36" s="166"/>
      <c r="D36" s="166"/>
      <c r="E36" s="87"/>
      <c r="F36" s="87"/>
      <c r="G36" s="154"/>
      <c r="H36" s="50"/>
      <c r="I36" s="50"/>
      <c r="J36" s="50"/>
      <c r="K36" s="155"/>
      <c r="L36" s="155"/>
      <c r="M36" s="155"/>
      <c r="N36" s="155"/>
      <c r="O36" s="155"/>
      <c r="P36" s="155"/>
      <c r="Q36" s="50"/>
      <c r="R36" s="155"/>
      <c r="S36" s="155"/>
      <c r="T36" s="74"/>
      <c r="U36" s="74"/>
      <c r="V36" s="74"/>
      <c r="W36" s="74"/>
      <c r="X36" s="74"/>
      <c r="Y36" s="74"/>
      <c r="Z36" s="75"/>
      <c r="AA36" s="75"/>
      <c r="AB36" s="75"/>
      <c r="AC36" s="75"/>
      <c r="AD36" s="75"/>
      <c r="AE36" s="52"/>
      <c r="AF36" s="74"/>
      <c r="AG36" s="74"/>
      <c r="AH36" s="74"/>
      <c r="AI36" s="74"/>
      <c r="AJ36" s="74"/>
      <c r="AK36" s="74"/>
      <c r="AL36" s="75"/>
      <c r="AM36" s="75"/>
      <c r="AN36" s="76"/>
      <c r="AO36" s="74"/>
      <c r="AP36" s="74"/>
    </row>
    <row r="37" spans="1:42" x14ac:dyDescent="0.25">
      <c r="A37" s="91" t="s">
        <v>114</v>
      </c>
      <c r="B37" s="89" t="s">
        <v>107</v>
      </c>
      <c r="C37" s="92">
        <v>3</v>
      </c>
      <c r="D37" s="90">
        <v>2015</v>
      </c>
      <c r="E37" s="90">
        <v>15</v>
      </c>
      <c r="F37" s="90">
        <v>60</v>
      </c>
      <c r="G37" s="145">
        <v>0.83610719342181306</v>
      </c>
      <c r="H37" s="145">
        <v>0.79560737551603999</v>
      </c>
      <c r="I37" s="145">
        <v>0.165670507085864</v>
      </c>
      <c r="J37" s="145">
        <v>3.18613688227605E-3</v>
      </c>
      <c r="K37" s="145">
        <v>0.138831589940137</v>
      </c>
      <c r="L37" s="56">
        <v>7.99995847163921E-3</v>
      </c>
      <c r="M37" s="56">
        <v>3.6749815577381599E-2</v>
      </c>
      <c r="N37" s="145">
        <v>0.127725080361664</v>
      </c>
      <c r="O37" s="56">
        <v>1.9999896145790402E-3</v>
      </c>
      <c r="P37" s="56">
        <v>1.57499200131354E-2</v>
      </c>
      <c r="Q37" s="145">
        <v>320.029950432367</v>
      </c>
      <c r="R37" s="56">
        <f>0.000057143*Q37</f>
        <v>1.8287471457556746E-2</v>
      </c>
      <c r="S37" s="93">
        <f>0.000025616*Q37</f>
        <v>8.1978872102755132E-3</v>
      </c>
      <c r="T37" s="59">
        <f>C37*($F37*$G37)/453.59</f>
        <v>0.33179588354224376</v>
      </c>
      <c r="U37" s="59">
        <f>C37*($F37*$H37)/453.59</f>
        <v>0.31572417291582094</v>
      </c>
      <c r="V37" s="59">
        <f>C37*(($F37*$I37))/453.59</f>
        <v>6.5743714093025693E-2</v>
      </c>
      <c r="W37" s="59">
        <f>C37*($F37*$J37)/453.59</f>
        <v>1.2643679067212438E-3</v>
      </c>
      <c r="X37" s="59">
        <f>C37*(($F37*($K37+$L37+$M37)))/453.59</f>
        <v>7.2851353685152692E-2</v>
      </c>
      <c r="Y37" s="59">
        <f>C37*(($F37*($N37+$O37+$P37)))/453.59</f>
        <v>5.772944332566441E-2</v>
      </c>
      <c r="Z37" s="59">
        <f>C37*(F37)*$B$220</f>
        <v>1.7662149598755138E-2</v>
      </c>
      <c r="AA37" s="59">
        <f>Z37*0.21</f>
        <v>3.7090514157385786E-3</v>
      </c>
      <c r="AB37" s="59">
        <f>C37*(($F37*($Q37)))/453.59</f>
        <v>126.99881187377602</v>
      </c>
      <c r="AC37" s="59">
        <f>C37*(($F37*($R37)))/453.59</f>
        <v>7.2570931069031817E-3</v>
      </c>
      <c r="AD37" s="59">
        <f>C37*(($F37*($S37)))/453.59</f>
        <v>3.2532015649586465E-3</v>
      </c>
      <c r="AE37" s="63">
        <f>6*22</f>
        <v>132</v>
      </c>
      <c r="AF37" s="59">
        <f t="shared" ref="AF37:AF40" si="86">T37*$AE37/2000</f>
        <v>2.1898528313788086E-2</v>
      </c>
      <c r="AG37" s="59">
        <f t="shared" ref="AG37:AG40" si="87">U37*$AE37/2000</f>
        <v>2.0837795412444182E-2</v>
      </c>
      <c r="AH37" s="59">
        <f t="shared" ref="AH37:AH40" si="88">V37*$AE37/2000</f>
        <v>4.3390851301396954E-3</v>
      </c>
      <c r="AI37" s="59">
        <f t="shared" ref="AI37:AI40" si="89">W37*$AE37/2000</f>
        <v>8.3448281843602091E-5</v>
      </c>
      <c r="AJ37" s="59">
        <f t="shared" ref="AJ37:AJ40" si="90">X37*$AE37/2000</f>
        <v>4.8081893432200774E-3</v>
      </c>
      <c r="AK37" s="59">
        <f t="shared" ref="AK37:AK40" si="91">Y37*$AE37/2000</f>
        <v>3.8101432594938511E-3</v>
      </c>
      <c r="AL37" s="59">
        <f t="shared" ref="AL37:AL40" si="92">Z37*$AE37/2000</f>
        <v>1.1657018735178391E-3</v>
      </c>
      <c r="AM37" s="59">
        <f t="shared" ref="AM37:AM40" si="93">AA37*$AE37/2000</f>
        <v>2.447973934387462E-4</v>
      </c>
      <c r="AN37" s="59">
        <f t="shared" ref="AN37:AN40" si="94">AB37*$AE37/2000</f>
        <v>8.3819215836692162</v>
      </c>
      <c r="AO37" s="59">
        <f t="shared" ref="AO37:AO40" si="95">AC37*$AE37/2000</f>
        <v>4.7896814505560997E-4</v>
      </c>
      <c r="AP37" s="59">
        <f t="shared" ref="AP37:AP40" si="96">AD37*$AE37/2000</f>
        <v>2.1471130328727068E-4</v>
      </c>
    </row>
    <row r="38" spans="1:42" x14ac:dyDescent="0.25">
      <c r="A38" s="91" t="s">
        <v>205</v>
      </c>
      <c r="B38" s="89" t="s">
        <v>128</v>
      </c>
      <c r="C38" s="90">
        <v>4</v>
      </c>
      <c r="D38" s="90">
        <v>2015</v>
      </c>
      <c r="E38" s="90">
        <v>35</v>
      </c>
      <c r="F38" s="90">
        <v>80</v>
      </c>
      <c r="G38" s="145">
        <v>1.1475010375994501</v>
      </c>
      <c r="H38" s="145">
        <v>6.1597902567033698</v>
      </c>
      <c r="I38" s="145">
        <v>0.27527412390358202</v>
      </c>
      <c r="J38" s="145">
        <v>1.0711818E-2</v>
      </c>
      <c r="K38" s="145">
        <v>7.9574350742464495E-2</v>
      </c>
      <c r="L38" s="567">
        <v>3.5999811999999999E-2</v>
      </c>
      <c r="M38" s="567">
        <v>6.1739677E-2</v>
      </c>
      <c r="N38" s="145">
        <v>7.32084026830674E-2</v>
      </c>
      <c r="O38" s="567">
        <v>8.9999529999999998E-3</v>
      </c>
      <c r="P38" s="567">
        <v>2.6459862000000001E-2</v>
      </c>
      <c r="Q38" s="145">
        <v>1735.6021746639301</v>
      </c>
      <c r="R38" s="56">
        <f>0.000057143*Q38</f>
        <v>9.9177515066820959E-2</v>
      </c>
      <c r="S38" s="93">
        <f>0.000025616*Q38</f>
        <v>4.445918530619123E-2</v>
      </c>
      <c r="T38" s="59">
        <f>C38*($F38*$G38)/453.59</f>
        <v>0.80954238857078864</v>
      </c>
      <c r="U38" s="59">
        <f>C38*($F38*$H38)/453.59</f>
        <v>4.3456268483544136</v>
      </c>
      <c r="V38" s="59">
        <f>C38*(($F38*$I38))/453.59</f>
        <v>0.19420119413820025</v>
      </c>
      <c r="W38" s="59">
        <f>C38*($F38*$J38)/453.59</f>
        <v>7.5570046958707204E-3</v>
      </c>
      <c r="X38" s="59">
        <f>C38*(($F38*($K38+$L38+$M38)))/453.59</f>
        <v>0.12509188632374751</v>
      </c>
      <c r="Y38" s="59">
        <f>C38*(($F38*($N38+$O38+$P38)))/453.59</f>
        <v>7.6663572077386125E-2</v>
      </c>
      <c r="Z38" s="59">
        <f>C38*(F38)*$B$220</f>
        <v>3.1399377064453574E-2</v>
      </c>
      <c r="AA38" s="59">
        <f>Z38*0.21</f>
        <v>6.59386918353525E-3</v>
      </c>
      <c r="AB38" s="59">
        <f>C38*(($F38*($Q38)))/453.59</f>
        <v>1224.437699006719</v>
      </c>
      <c r="AC38" s="59">
        <f>C38*(($F38*($R38)))/453.59</f>
        <v>6.9968043434340946E-2</v>
      </c>
      <c r="AD38" s="59">
        <f>C38*(($F38*($S38)))/453.59</f>
        <v>3.1365196097756114E-2</v>
      </c>
      <c r="AE38" s="63">
        <f t="shared" ref="AE38:AE39" si="97">6*22</f>
        <v>132</v>
      </c>
      <c r="AF38" s="59">
        <f t="shared" si="86"/>
        <v>5.3429797645672052E-2</v>
      </c>
      <c r="AG38" s="59">
        <f t="shared" si="87"/>
        <v>0.28681137199139128</v>
      </c>
      <c r="AH38" s="59">
        <f t="shared" si="88"/>
        <v>1.2817278813121216E-2</v>
      </c>
      <c r="AI38" s="59">
        <f t="shared" si="89"/>
        <v>4.9876230992746751E-4</v>
      </c>
      <c r="AJ38" s="59">
        <f t="shared" si="90"/>
        <v>8.2560644973673353E-3</v>
      </c>
      <c r="AK38" s="59">
        <f t="shared" si="91"/>
        <v>5.059795757107485E-3</v>
      </c>
      <c r="AL38" s="59">
        <f t="shared" si="92"/>
        <v>2.072358886253936E-3</v>
      </c>
      <c r="AM38" s="59">
        <f t="shared" si="93"/>
        <v>4.3519536611332649E-4</v>
      </c>
      <c r="AN38" s="59">
        <f t="shared" si="94"/>
        <v>80.812888134443455</v>
      </c>
      <c r="AO38" s="59">
        <f t="shared" si="95"/>
        <v>4.6178908666665019E-3</v>
      </c>
      <c r="AP38" s="59">
        <f t="shared" si="96"/>
        <v>2.0701029424519037E-3</v>
      </c>
    </row>
    <row r="39" spans="1:42" x14ac:dyDescent="0.25">
      <c r="A39" s="91" t="s">
        <v>157</v>
      </c>
      <c r="B39" s="89" t="s">
        <v>128</v>
      </c>
      <c r="C39" s="90">
        <v>2</v>
      </c>
      <c r="D39" s="90">
        <v>2015</v>
      </c>
      <c r="E39" s="90">
        <v>35</v>
      </c>
      <c r="F39" s="90">
        <v>80</v>
      </c>
      <c r="G39" s="145">
        <v>1.1475010375994501</v>
      </c>
      <c r="H39" s="145">
        <v>6.1597902567033698</v>
      </c>
      <c r="I39" s="145">
        <v>0.27527412390358202</v>
      </c>
      <c r="J39" s="145">
        <v>1.0711818E-2</v>
      </c>
      <c r="K39" s="145">
        <v>7.9574350742464495E-2</v>
      </c>
      <c r="L39" s="567">
        <v>3.5999811999999999E-2</v>
      </c>
      <c r="M39" s="567">
        <v>6.1739677E-2</v>
      </c>
      <c r="N39" s="145">
        <v>7.32084026830674E-2</v>
      </c>
      <c r="O39" s="567">
        <v>8.9999529999999998E-3</v>
      </c>
      <c r="P39" s="567">
        <v>2.6459862000000001E-2</v>
      </c>
      <c r="Q39" s="145">
        <v>1735.6021746639301</v>
      </c>
      <c r="R39" s="56">
        <f>0.000057143*Q39</f>
        <v>9.9177515066820959E-2</v>
      </c>
      <c r="S39" s="93">
        <f>0.000025616*Q39</f>
        <v>4.445918530619123E-2</v>
      </c>
      <c r="T39" s="59">
        <f>C39*($F39*$G39)/453.59</f>
        <v>0.40477119428539432</v>
      </c>
      <c r="U39" s="59">
        <f>C39*($F39*$H39)/453.59</f>
        <v>2.1728134241772068</v>
      </c>
      <c r="V39" s="59">
        <f>C39*(($F39*$I39))/453.59</f>
        <v>9.7100597069100125E-2</v>
      </c>
      <c r="W39" s="59">
        <f>C39*($F39*$J39)/453.59</f>
        <v>3.7785023479353602E-3</v>
      </c>
      <c r="X39" s="59">
        <f>C39*(($F39*($K39+$L39+$M39)))/453.59</f>
        <v>6.2545943161873757E-2</v>
      </c>
      <c r="Y39" s="59">
        <f>C39*(($F39*($N39+$O39+$P39)))/453.59</f>
        <v>3.8331786038693062E-2</v>
      </c>
      <c r="Z39" s="59">
        <f>C39*(F39)*$B$220</f>
        <v>1.5699688532226787E-2</v>
      </c>
      <c r="AA39" s="59">
        <f>Z39*0.21</f>
        <v>3.296934591767625E-3</v>
      </c>
      <c r="AB39" s="59">
        <f>C39*(($F39*($Q39)))/453.59</f>
        <v>612.21884950335948</v>
      </c>
      <c r="AC39" s="59">
        <f>C39*(($F39*($R39)))/453.59</f>
        <v>3.4984021717170473E-2</v>
      </c>
      <c r="AD39" s="59">
        <f>C39*(($F39*($S39)))/453.59</f>
        <v>1.5682598048878057E-2</v>
      </c>
      <c r="AE39" s="63">
        <f t="shared" si="97"/>
        <v>132</v>
      </c>
      <c r="AF39" s="59">
        <f t="shared" si="86"/>
        <v>2.6714898822836026E-2</v>
      </c>
      <c r="AG39" s="59">
        <f t="shared" si="87"/>
        <v>0.14340568599569564</v>
      </c>
      <c r="AH39" s="59">
        <f t="shared" si="88"/>
        <v>6.4086394065606079E-3</v>
      </c>
      <c r="AI39" s="59">
        <f t="shared" si="89"/>
        <v>2.4938115496373376E-4</v>
      </c>
      <c r="AJ39" s="59">
        <f t="shared" si="90"/>
        <v>4.1280322486836676E-3</v>
      </c>
      <c r="AK39" s="59">
        <f t="shared" si="91"/>
        <v>2.5298978785537425E-3</v>
      </c>
      <c r="AL39" s="59">
        <f t="shared" si="92"/>
        <v>1.036179443126968E-3</v>
      </c>
      <c r="AM39" s="59">
        <f t="shared" si="93"/>
        <v>2.1759768305666324E-4</v>
      </c>
      <c r="AN39" s="59">
        <f t="shared" si="94"/>
        <v>40.406444067221727</v>
      </c>
      <c r="AO39" s="59">
        <f t="shared" si="95"/>
        <v>2.308945433333251E-3</v>
      </c>
      <c r="AP39" s="59">
        <f t="shared" si="96"/>
        <v>1.0350514712259519E-3</v>
      </c>
    </row>
    <row r="40" spans="1:42" x14ac:dyDescent="0.25">
      <c r="A40" s="91" t="s">
        <v>154</v>
      </c>
      <c r="B40" s="89" t="s">
        <v>128</v>
      </c>
      <c r="C40" s="90">
        <v>4</v>
      </c>
      <c r="D40" s="90">
        <v>2015</v>
      </c>
      <c r="E40" s="90">
        <v>35</v>
      </c>
      <c r="F40" s="90">
        <v>160</v>
      </c>
      <c r="G40" s="145">
        <v>1.1475010375994501</v>
      </c>
      <c r="H40" s="145">
        <v>6.1597902567033698</v>
      </c>
      <c r="I40" s="145">
        <v>0.27527412390358202</v>
      </c>
      <c r="J40" s="145">
        <v>1.0711818E-2</v>
      </c>
      <c r="K40" s="145">
        <v>7.9574350742464495E-2</v>
      </c>
      <c r="L40" s="567">
        <v>3.5999811999999999E-2</v>
      </c>
      <c r="M40" s="567">
        <v>6.1739677E-2</v>
      </c>
      <c r="N40" s="145">
        <v>7.32084026830674E-2</v>
      </c>
      <c r="O40" s="567">
        <v>8.9999529999999998E-3</v>
      </c>
      <c r="P40" s="567">
        <v>2.6459862000000001E-2</v>
      </c>
      <c r="Q40" s="145">
        <v>1735.6021746639301</v>
      </c>
      <c r="R40" s="56">
        <f>0.000057143*Q40</f>
        <v>9.9177515066820959E-2</v>
      </c>
      <c r="S40" s="93">
        <f>0.000025616*Q40</f>
        <v>4.445918530619123E-2</v>
      </c>
      <c r="T40" s="59">
        <f>C40*($F40*$G40)/453.59</f>
        <v>1.6190847771415773</v>
      </c>
      <c r="U40" s="59">
        <f>C40*($F40*$H40)/453.59</f>
        <v>8.6912536967088272</v>
      </c>
      <c r="V40" s="59">
        <f>C40*(($F40*$I40))/453.59</f>
        <v>0.3884023882764005</v>
      </c>
      <c r="W40" s="59">
        <f>C40*($F40*$J40)/453.59</f>
        <v>1.5114009391741441E-2</v>
      </c>
      <c r="X40" s="59">
        <f>C40*(($F40*($K40+$L40+$M40)))/453.59</f>
        <v>0.25018377264749503</v>
      </c>
      <c r="Y40" s="59">
        <f>C40*(($F40*($N40+$O40+$P40)))/453.59</f>
        <v>0.15332714415477225</v>
      </c>
      <c r="Z40" s="59">
        <f>C40*(F40)*$B$220</f>
        <v>6.2798754128907147E-2</v>
      </c>
      <c r="AA40" s="59">
        <f>Z40*0.21</f>
        <v>1.31877383670705E-2</v>
      </c>
      <c r="AB40" s="59">
        <f>C40*(($F40*($Q40)))/453.59</f>
        <v>2448.8753980134379</v>
      </c>
      <c r="AC40" s="59">
        <f>C40*(($F40*($R40)))/453.59</f>
        <v>0.13993608686868189</v>
      </c>
      <c r="AD40" s="59">
        <f>C40*(($F40*($S40)))/453.59</f>
        <v>6.2730392195512227E-2</v>
      </c>
      <c r="AE40" s="63"/>
      <c r="AF40" s="59">
        <f t="shared" si="86"/>
        <v>0</v>
      </c>
      <c r="AG40" s="59">
        <f t="shared" si="87"/>
        <v>0</v>
      </c>
      <c r="AH40" s="59">
        <f t="shared" si="88"/>
        <v>0</v>
      </c>
      <c r="AI40" s="59">
        <f t="shared" si="89"/>
        <v>0</v>
      </c>
      <c r="AJ40" s="59">
        <f t="shared" si="90"/>
        <v>0</v>
      </c>
      <c r="AK40" s="59">
        <f t="shared" si="91"/>
        <v>0</v>
      </c>
      <c r="AL40" s="59">
        <f t="shared" si="92"/>
        <v>0</v>
      </c>
      <c r="AM40" s="59">
        <f t="shared" si="93"/>
        <v>0</v>
      </c>
      <c r="AN40" s="59">
        <f t="shared" si="94"/>
        <v>0</v>
      </c>
      <c r="AO40" s="59">
        <f t="shared" si="95"/>
        <v>0</v>
      </c>
      <c r="AP40" s="59">
        <f t="shared" si="96"/>
        <v>0</v>
      </c>
    </row>
    <row r="41" spans="1:42" x14ac:dyDescent="0.25">
      <c r="A41" s="88" t="s">
        <v>38</v>
      </c>
      <c r="B41" s="87"/>
      <c r="C41" s="166"/>
      <c r="D41" s="166"/>
      <c r="E41" s="87"/>
      <c r="F41" s="87"/>
      <c r="G41" s="154"/>
      <c r="H41" s="50"/>
      <c r="I41" s="50"/>
      <c r="J41" s="50"/>
      <c r="K41" s="155"/>
      <c r="L41" s="155"/>
      <c r="M41" s="155"/>
      <c r="N41" s="155"/>
      <c r="O41" s="155"/>
      <c r="P41" s="155"/>
      <c r="Q41" s="50"/>
      <c r="R41" s="155"/>
      <c r="S41" s="155"/>
      <c r="T41" s="94">
        <f>SUM(T37:T40)</f>
        <v>3.1651942435400038</v>
      </c>
      <c r="U41" s="94">
        <f t="shared" ref="U41" si="98">SUM(U37:U40)</f>
        <v>15.525418142156269</v>
      </c>
      <c r="V41" s="94">
        <f t="shared" ref="V41" si="99">SUM(V37:V40)</f>
        <v>0.74544789357672658</v>
      </c>
      <c r="W41" s="94">
        <f t="shared" ref="W41" si="100">SUM(W37:W40)</f>
        <v>2.7713884342268763E-2</v>
      </c>
      <c r="X41" s="94">
        <f t="shared" ref="X41" si="101">SUM(X37:X40)</f>
        <v>0.51067295581826899</v>
      </c>
      <c r="Y41" s="94">
        <f t="shared" ref="Y41" si="102">SUM(Y37:Y40)</f>
        <v>0.32605194559651585</v>
      </c>
      <c r="Z41" s="94">
        <f t="shared" ref="Z41" si="103">SUM(Z37:Z40)</f>
        <v>0.12755996932434266</v>
      </c>
      <c r="AA41" s="94">
        <f t="shared" ref="AA41" si="104">SUM(AA37:AA40)</f>
        <v>2.6787593558111954E-2</v>
      </c>
      <c r="AB41" s="94">
        <f t="shared" ref="AB41" si="105">SUM(AB37:AB40)</f>
        <v>4412.5307583972926</v>
      </c>
      <c r="AC41" s="94">
        <f t="shared" ref="AC41" si="106">SUM(AC37:AC40)</f>
        <v>0.25214524512709646</v>
      </c>
      <c r="AD41" s="94">
        <f t="shared" ref="AD41" si="107">SUM(AD37:AD40)</f>
        <v>0.11303138790710504</v>
      </c>
      <c r="AE41" s="69"/>
      <c r="AF41" s="94">
        <f t="shared" ref="AF41" si="108">SUM(AF37:AF40)</f>
        <v>0.10204322478229616</v>
      </c>
      <c r="AG41" s="94">
        <f t="shared" ref="AG41" si="109">SUM(AG37:AG40)</f>
        <v>0.45105485339953111</v>
      </c>
      <c r="AH41" s="94">
        <f t="shared" ref="AH41" si="110">SUM(AH37:AH40)</f>
        <v>2.356500334982152E-2</v>
      </c>
      <c r="AI41" s="94">
        <f t="shared" ref="AI41" si="111">SUM(AI37:AI40)</f>
        <v>8.3159174673480335E-4</v>
      </c>
      <c r="AJ41" s="94">
        <f t="shared" ref="AJ41" si="112">SUM(AJ37:AJ40)</f>
        <v>1.7192286089271081E-2</v>
      </c>
      <c r="AK41" s="94">
        <f t="shared" ref="AK41" si="113">SUM(AK37:AK40)</f>
        <v>1.1399836895155079E-2</v>
      </c>
      <c r="AL41" s="94">
        <f t="shared" ref="AL41" si="114">SUM(AL37:AL40)</f>
        <v>4.2742402028987433E-3</v>
      </c>
      <c r="AM41" s="94">
        <f t="shared" ref="AM41" si="115">SUM(AM37:AM40)</f>
        <v>8.9759044260873588E-4</v>
      </c>
      <c r="AN41" s="94">
        <f t="shared" ref="AN41" si="116">SUM(AN37:AN40)</f>
        <v>129.60125378533439</v>
      </c>
      <c r="AO41" s="94">
        <f t="shared" ref="AO41" si="117">SUM(AO37:AO40)</f>
        <v>7.4058044450553626E-3</v>
      </c>
      <c r="AP41" s="94">
        <f t="shared" ref="AP41" si="118">SUM(AP37:AP40)</f>
        <v>3.3198657169651261E-3</v>
      </c>
    </row>
    <row r="42" spans="1:42" x14ac:dyDescent="0.25">
      <c r="A42" s="159"/>
      <c r="B42" s="87"/>
      <c r="C42" s="166"/>
      <c r="D42" s="166"/>
      <c r="E42" s="87"/>
      <c r="F42" s="87"/>
      <c r="G42" s="154"/>
      <c r="H42" s="50"/>
      <c r="I42" s="50"/>
      <c r="J42" s="50"/>
      <c r="K42" s="155"/>
      <c r="L42" s="155"/>
      <c r="M42" s="155"/>
      <c r="N42" s="155"/>
      <c r="O42" s="155"/>
      <c r="P42" s="155"/>
      <c r="Q42" s="50"/>
      <c r="R42" s="155"/>
      <c r="S42" s="155"/>
      <c r="T42" s="74"/>
      <c r="U42" s="74"/>
      <c r="V42" s="74"/>
      <c r="W42" s="74"/>
      <c r="X42" s="74"/>
      <c r="Y42" s="74"/>
      <c r="Z42" s="75"/>
      <c r="AA42" s="75"/>
      <c r="AB42" s="75"/>
      <c r="AC42" s="75"/>
      <c r="AD42" s="75"/>
      <c r="AE42" s="52"/>
      <c r="AF42" s="74"/>
      <c r="AG42" s="74"/>
      <c r="AH42" s="74"/>
      <c r="AI42" s="74"/>
      <c r="AJ42" s="74"/>
      <c r="AK42" s="74"/>
      <c r="AL42" s="75"/>
      <c r="AM42" s="75"/>
      <c r="AN42" s="76"/>
      <c r="AO42" s="74"/>
      <c r="AP42" s="74"/>
    </row>
    <row r="43" spans="1:42" ht="26.4" x14ac:dyDescent="0.25">
      <c r="A43" s="177" t="s">
        <v>279</v>
      </c>
      <c r="B43" s="87"/>
      <c r="C43" s="166"/>
      <c r="D43" s="166"/>
      <c r="E43" s="87"/>
      <c r="F43" s="87"/>
      <c r="G43" s="566"/>
      <c r="H43" s="50"/>
      <c r="I43" s="50"/>
      <c r="J43" s="50"/>
      <c r="K43" s="568"/>
      <c r="L43" s="568"/>
      <c r="M43" s="568"/>
      <c r="N43" s="568"/>
      <c r="O43" s="568"/>
      <c r="P43" s="568"/>
      <c r="Q43" s="50"/>
      <c r="R43" s="568"/>
      <c r="S43" s="568"/>
      <c r="T43" s="74"/>
      <c r="U43" s="74"/>
      <c r="V43" s="74"/>
      <c r="W43" s="74"/>
      <c r="X43" s="74"/>
      <c r="Y43" s="74"/>
      <c r="Z43" s="75"/>
      <c r="AA43" s="75"/>
      <c r="AB43" s="75"/>
      <c r="AC43" s="75"/>
      <c r="AD43" s="75"/>
      <c r="AE43" s="52"/>
      <c r="AF43" s="74"/>
      <c r="AG43" s="74"/>
      <c r="AH43" s="74"/>
      <c r="AI43" s="74"/>
      <c r="AJ43" s="74"/>
      <c r="AK43" s="74"/>
      <c r="AL43" s="75"/>
      <c r="AM43" s="75"/>
      <c r="AN43" s="76"/>
      <c r="AO43" s="74"/>
      <c r="AP43" s="74"/>
    </row>
    <row r="44" spans="1:42" x14ac:dyDescent="0.25">
      <c r="A44" s="91" t="s">
        <v>114</v>
      </c>
      <c r="B44" s="89" t="s">
        <v>107</v>
      </c>
      <c r="C44" s="92">
        <v>3</v>
      </c>
      <c r="D44" s="90">
        <v>2016</v>
      </c>
      <c r="E44" s="90">
        <v>15</v>
      </c>
      <c r="F44" s="90">
        <v>60</v>
      </c>
      <c r="G44" s="145">
        <v>0.70902920600557995</v>
      </c>
      <c r="H44" s="145">
        <v>0.69767352274313099</v>
      </c>
      <c r="I44" s="145">
        <v>0.138100398559698</v>
      </c>
      <c r="J44" s="145">
        <v>3.18613688227605E-3</v>
      </c>
      <c r="K44" s="145">
        <v>0.11526917970440601</v>
      </c>
      <c r="L44" s="56">
        <v>7.99995847163921E-3</v>
      </c>
      <c r="M44" s="56">
        <v>3.6749815577381599E-2</v>
      </c>
      <c r="N44" s="145">
        <v>0.106047654633784</v>
      </c>
      <c r="O44" s="56">
        <v>1.9999896145790402E-3</v>
      </c>
      <c r="P44" s="56">
        <v>1.57499200131354E-2</v>
      </c>
      <c r="Q44" s="145">
        <v>305.602291171589</v>
      </c>
      <c r="R44" s="56">
        <f>0.000057143*Q44</f>
        <v>1.7463031724418109E-2</v>
      </c>
      <c r="S44" s="93">
        <f>0.000025616*Q44</f>
        <v>7.8283082906514239E-3</v>
      </c>
      <c r="T44" s="59">
        <f>C44*($F44*$G44)/453.59</f>
        <v>0.28136699901012896</v>
      </c>
      <c r="U44" s="59">
        <f>C44*($F44*$H44)/453.59</f>
        <v>0.27686067614754201</v>
      </c>
      <c r="V44" s="59">
        <f>C44*(($F44*$I44))/453.59</f>
        <v>5.4802953638187886E-2</v>
      </c>
      <c r="W44" s="59">
        <f>C44*($F44*$J44)/453.59</f>
        <v>1.2643679067212438E-3</v>
      </c>
      <c r="X44" s="59">
        <f>C44*(($F44*($K44+$L44+$M44)))/453.59</f>
        <v>6.3500984756314799E-2</v>
      </c>
      <c r="Y44" s="59">
        <f>C44*(($F44*($N44+$O44+$P44)))/453.59</f>
        <v>4.9127100613041999E-2</v>
      </c>
      <c r="Z44" s="59">
        <f>C44*(F44)*$B$220</f>
        <v>1.7662149598755138E-2</v>
      </c>
      <c r="AA44" s="59">
        <f>Z44*0.21</f>
        <v>3.7090514157385786E-3</v>
      </c>
      <c r="AB44" s="59">
        <f>C44*(($F44*($Q44)))/453.59</f>
        <v>121.27342404128403</v>
      </c>
      <c r="AC44" s="59">
        <f>C44*(($F44*($R44)))/453.59</f>
        <v>6.9299272699910935E-3</v>
      </c>
      <c r="AD44" s="59">
        <f>C44*(($F44*($S44)))/453.59</f>
        <v>3.1065400302415316E-3</v>
      </c>
      <c r="AE44" s="63">
        <f>6*22</f>
        <v>132</v>
      </c>
      <c r="AF44" s="59">
        <f t="shared" ref="AF44:AF47" si="119">T44*$AE44/2000</f>
        <v>1.8570221934668511E-2</v>
      </c>
      <c r="AG44" s="59">
        <f t="shared" ref="AG44:AG47" si="120">U44*$AE44/2000</f>
        <v>1.8272804625737774E-2</v>
      </c>
      <c r="AH44" s="59">
        <f t="shared" ref="AH44:AH47" si="121">V44*$AE44/2000</f>
        <v>3.6169949401204005E-3</v>
      </c>
      <c r="AI44" s="59">
        <f t="shared" ref="AI44:AI47" si="122">W44*$AE44/2000</f>
        <v>8.3448281843602091E-5</v>
      </c>
      <c r="AJ44" s="59">
        <f t="shared" ref="AJ44:AJ47" si="123">X44*$AE44/2000</f>
        <v>4.1910649939167766E-3</v>
      </c>
      <c r="AK44" s="59">
        <f t="shared" ref="AK44:AK47" si="124">Y44*$AE44/2000</f>
        <v>3.2423886404607722E-3</v>
      </c>
      <c r="AL44" s="59">
        <f t="shared" ref="AL44:AL47" si="125">Z44*$AE44/2000</f>
        <v>1.1657018735178391E-3</v>
      </c>
      <c r="AM44" s="59">
        <f t="shared" ref="AM44:AM47" si="126">AA44*$AE44/2000</f>
        <v>2.447973934387462E-4</v>
      </c>
      <c r="AN44" s="59">
        <f t="shared" ref="AN44:AN47" si="127">AB44*$AE44/2000</f>
        <v>8.004045986724746</v>
      </c>
      <c r="AO44" s="59">
        <f t="shared" ref="AO44:AO47" si="128">AC44*$AE44/2000</f>
        <v>4.5737519981941215E-4</v>
      </c>
      <c r="AP44" s="59">
        <f t="shared" ref="AP44:AP47" si="129">AD44*$AE44/2000</f>
        <v>2.050316419959411E-4</v>
      </c>
    </row>
    <row r="45" spans="1:42" x14ac:dyDescent="0.25">
      <c r="A45" s="91" t="s">
        <v>205</v>
      </c>
      <c r="B45" s="89" t="s">
        <v>128</v>
      </c>
      <c r="C45" s="90">
        <v>4</v>
      </c>
      <c r="D45" s="90">
        <v>2016</v>
      </c>
      <c r="E45" s="90">
        <v>35</v>
      </c>
      <c r="F45" s="90">
        <v>80</v>
      </c>
      <c r="G45" s="145">
        <v>1.0826397662712</v>
      </c>
      <c r="H45" s="145">
        <v>4.9663485177263196</v>
      </c>
      <c r="I45" s="145">
        <v>0.26248012574830598</v>
      </c>
      <c r="J45" s="145">
        <v>1.0711818E-2</v>
      </c>
      <c r="K45" s="145">
        <v>7.1679901069995999E-2</v>
      </c>
      <c r="L45" s="567">
        <v>3.5999811999999999E-2</v>
      </c>
      <c r="M45" s="567">
        <v>6.1739677E-2</v>
      </c>
      <c r="N45" s="145">
        <v>6.59455089843963E-2</v>
      </c>
      <c r="O45" s="567">
        <v>8.9999529999999998E-3</v>
      </c>
      <c r="P45" s="567">
        <v>2.6459862000000001E-2</v>
      </c>
      <c r="Q45" s="145">
        <v>1710.7260798812899</v>
      </c>
      <c r="R45" s="56">
        <f>0.000057143*Q45</f>
        <v>9.7756020382656544E-2</v>
      </c>
      <c r="S45" s="93">
        <f>0.000025616*Q45</f>
        <v>4.382195926223912E-2</v>
      </c>
      <c r="T45" s="59">
        <f>C45*($F45*$G45)/453.59</f>
        <v>0.76378386914787366</v>
      </c>
      <c r="U45" s="59">
        <f>C45*($F45*$H45)/453.59</f>
        <v>3.5036740793942158</v>
      </c>
      <c r="V45" s="59">
        <f>C45*(($F45*$I45))/453.59</f>
        <v>0.18517524689578235</v>
      </c>
      <c r="W45" s="59">
        <f>C45*($F45*$J45)/453.59</f>
        <v>7.5570046958707204E-3</v>
      </c>
      <c r="X45" s="59">
        <f>C45*(($F45*($K45+$L45+$M45)))/453.59</f>
        <v>0.11952248687669198</v>
      </c>
      <c r="Y45" s="59">
        <f>C45*(($F45*($N45+$O45+$P45)))/453.59</f>
        <v>7.1539724586094977E-2</v>
      </c>
      <c r="Z45" s="59">
        <f>C45*(F45)*$B$220</f>
        <v>3.1399377064453574E-2</v>
      </c>
      <c r="AA45" s="59">
        <f>Z45*0.21</f>
        <v>6.59386918353525E-3</v>
      </c>
      <c r="AB45" s="59">
        <f>C45*(($F45*($Q45)))/453.59</f>
        <v>1206.8880388941836</v>
      </c>
      <c r="AC45" s="59">
        <f>C45*(($F45*($R45)))/453.59</f>
        <v>6.8965203206530337E-2</v>
      </c>
      <c r="AD45" s="59">
        <f>C45*(($F45*($S45)))/453.59</f>
        <v>3.0915644004313406E-2</v>
      </c>
      <c r="AE45" s="63">
        <f t="shared" ref="AE45:AE46" si="130">6*22</f>
        <v>132</v>
      </c>
      <c r="AF45" s="59">
        <f t="shared" si="119"/>
        <v>5.0409735363759658E-2</v>
      </c>
      <c r="AG45" s="59">
        <f t="shared" si="120"/>
        <v>0.23124248924001825</v>
      </c>
      <c r="AH45" s="59">
        <f t="shared" si="121"/>
        <v>1.2221566295121635E-2</v>
      </c>
      <c r="AI45" s="59">
        <f t="shared" si="122"/>
        <v>4.9876230992746751E-4</v>
      </c>
      <c r="AJ45" s="59">
        <f t="shared" si="123"/>
        <v>7.8884841338616694E-3</v>
      </c>
      <c r="AK45" s="59">
        <f t="shared" si="124"/>
        <v>4.7216218226822692E-3</v>
      </c>
      <c r="AL45" s="59">
        <f t="shared" si="125"/>
        <v>2.072358886253936E-3</v>
      </c>
      <c r="AM45" s="59">
        <f t="shared" si="126"/>
        <v>4.3519536611332649E-4</v>
      </c>
      <c r="AN45" s="59">
        <f t="shared" si="127"/>
        <v>79.654610567016121</v>
      </c>
      <c r="AO45" s="59">
        <f t="shared" si="128"/>
        <v>4.5517034116310017E-3</v>
      </c>
      <c r="AP45" s="59">
        <f t="shared" si="129"/>
        <v>2.0404325042846848E-3</v>
      </c>
    </row>
    <row r="46" spans="1:42" x14ac:dyDescent="0.25">
      <c r="A46" s="91" t="s">
        <v>157</v>
      </c>
      <c r="B46" s="89" t="s">
        <v>128</v>
      </c>
      <c r="C46" s="90">
        <v>2</v>
      </c>
      <c r="D46" s="90">
        <v>2016</v>
      </c>
      <c r="E46" s="90">
        <v>35</v>
      </c>
      <c r="F46" s="90">
        <v>80</v>
      </c>
      <c r="G46" s="145">
        <v>1.0826397662712</v>
      </c>
      <c r="H46" s="145">
        <v>4.9663485177263196</v>
      </c>
      <c r="I46" s="145">
        <v>0.26248012574830598</v>
      </c>
      <c r="J46" s="145">
        <v>1.0711818E-2</v>
      </c>
      <c r="K46" s="145">
        <v>7.1679901069995999E-2</v>
      </c>
      <c r="L46" s="567">
        <v>3.5999811999999999E-2</v>
      </c>
      <c r="M46" s="567">
        <v>6.1739677E-2</v>
      </c>
      <c r="N46" s="145">
        <v>6.59455089843963E-2</v>
      </c>
      <c r="O46" s="567">
        <v>8.9999529999999998E-3</v>
      </c>
      <c r="P46" s="567">
        <v>2.6459862000000001E-2</v>
      </c>
      <c r="Q46" s="145">
        <v>1710.7260798812899</v>
      </c>
      <c r="R46" s="56">
        <f>0.000057143*Q46</f>
        <v>9.7756020382656544E-2</v>
      </c>
      <c r="S46" s="93">
        <f>0.000025616*Q46</f>
        <v>4.382195926223912E-2</v>
      </c>
      <c r="T46" s="59">
        <f>C46*($F46*$G46)/453.59</f>
        <v>0.38189193457393683</v>
      </c>
      <c r="U46" s="59">
        <f>C46*($F46*$H46)/453.59</f>
        <v>1.7518370396971079</v>
      </c>
      <c r="V46" s="59">
        <f>C46*(($F46*$I46))/453.59</f>
        <v>9.2587623447891176E-2</v>
      </c>
      <c r="W46" s="59">
        <f>C46*($F46*$J46)/453.59</f>
        <v>3.7785023479353602E-3</v>
      </c>
      <c r="X46" s="59">
        <f>C46*(($F46*($K46+$L46+$M46)))/453.59</f>
        <v>5.976124343834599E-2</v>
      </c>
      <c r="Y46" s="59">
        <f>C46*(($F46*($N46+$O46+$P46)))/453.59</f>
        <v>3.5769862293047489E-2</v>
      </c>
      <c r="Z46" s="59">
        <f>C46*(F46)*$B$220</f>
        <v>1.5699688532226787E-2</v>
      </c>
      <c r="AA46" s="59">
        <f>Z46*0.21</f>
        <v>3.296934591767625E-3</v>
      </c>
      <c r="AB46" s="59">
        <f>C46*(($F46*($Q46)))/453.59</f>
        <v>603.44401944709182</v>
      </c>
      <c r="AC46" s="59">
        <f>C46*(($F46*($R46)))/453.59</f>
        <v>3.4482601603265169E-2</v>
      </c>
      <c r="AD46" s="59">
        <f>C46*(($F46*($S46)))/453.59</f>
        <v>1.5457822002156703E-2</v>
      </c>
      <c r="AE46" s="63">
        <f t="shared" si="130"/>
        <v>132</v>
      </c>
      <c r="AF46" s="59">
        <f t="shared" si="119"/>
        <v>2.5204867681879829E-2</v>
      </c>
      <c r="AG46" s="59">
        <f t="shared" si="120"/>
        <v>0.11562124462000913</v>
      </c>
      <c r="AH46" s="59">
        <f t="shared" si="121"/>
        <v>6.1107831475608176E-3</v>
      </c>
      <c r="AI46" s="59">
        <f t="shared" si="122"/>
        <v>2.4938115496373376E-4</v>
      </c>
      <c r="AJ46" s="59">
        <f t="shared" si="123"/>
        <v>3.9442420669308347E-3</v>
      </c>
      <c r="AK46" s="59">
        <f t="shared" si="124"/>
        <v>2.3608109113411346E-3</v>
      </c>
      <c r="AL46" s="59">
        <f t="shared" si="125"/>
        <v>1.036179443126968E-3</v>
      </c>
      <c r="AM46" s="59">
        <f t="shared" si="126"/>
        <v>2.1759768305666324E-4</v>
      </c>
      <c r="AN46" s="59">
        <f t="shared" si="127"/>
        <v>39.827305283508061</v>
      </c>
      <c r="AO46" s="59">
        <f t="shared" si="128"/>
        <v>2.2758517058155008E-3</v>
      </c>
      <c r="AP46" s="59">
        <f t="shared" si="129"/>
        <v>1.0202162521423424E-3</v>
      </c>
    </row>
    <row r="47" spans="1:42" x14ac:dyDescent="0.25">
      <c r="A47" s="91" t="s">
        <v>154</v>
      </c>
      <c r="B47" s="89" t="s">
        <v>128</v>
      </c>
      <c r="C47" s="90">
        <v>4</v>
      </c>
      <c r="D47" s="90">
        <v>2016</v>
      </c>
      <c r="E47" s="90">
        <v>35</v>
      </c>
      <c r="F47" s="90">
        <v>160</v>
      </c>
      <c r="G47" s="145">
        <v>1.0826397662712</v>
      </c>
      <c r="H47" s="145">
        <v>4.9663485177263196</v>
      </c>
      <c r="I47" s="145">
        <v>0.26248012574830598</v>
      </c>
      <c r="J47" s="145">
        <v>1.0711818E-2</v>
      </c>
      <c r="K47" s="145">
        <v>7.1679901069995999E-2</v>
      </c>
      <c r="L47" s="567">
        <v>3.5999811999999999E-2</v>
      </c>
      <c r="M47" s="567">
        <v>6.1739677E-2</v>
      </c>
      <c r="N47" s="145">
        <v>6.59455089843963E-2</v>
      </c>
      <c r="O47" s="567">
        <v>8.9999529999999998E-3</v>
      </c>
      <c r="P47" s="567">
        <v>2.6459862000000001E-2</v>
      </c>
      <c r="Q47" s="145">
        <v>1710.7260798812899</v>
      </c>
      <c r="R47" s="56">
        <f>0.000057143*Q47</f>
        <v>9.7756020382656544E-2</v>
      </c>
      <c r="S47" s="93">
        <f>0.000025616*Q47</f>
        <v>4.382195926223912E-2</v>
      </c>
      <c r="T47" s="59">
        <f>C47*($F47*$G47)/453.59</f>
        <v>1.5275677382957473</v>
      </c>
      <c r="U47" s="59">
        <f>C47*($F47*$H47)/453.59</f>
        <v>7.0073481587884316</v>
      </c>
      <c r="V47" s="59">
        <f>C47*(($F47*$I47))/453.59</f>
        <v>0.37035049379156471</v>
      </c>
      <c r="W47" s="59">
        <f>C47*($F47*$J47)/453.59</f>
        <v>1.5114009391741441E-2</v>
      </c>
      <c r="X47" s="59">
        <f>C47*(($F47*($K47+$L47+$M47)))/453.59</f>
        <v>0.23904497375338396</v>
      </c>
      <c r="Y47" s="59">
        <f>C47*(($F47*($N47+$O47+$P47)))/453.59</f>
        <v>0.14307944917218995</v>
      </c>
      <c r="Z47" s="59">
        <f>C47*(F47)*$B$220</f>
        <v>6.2798754128907147E-2</v>
      </c>
      <c r="AA47" s="59">
        <f>Z47*0.21</f>
        <v>1.31877383670705E-2</v>
      </c>
      <c r="AB47" s="59">
        <f>C47*(($F47*($Q47)))/453.59</f>
        <v>2413.7760777883673</v>
      </c>
      <c r="AC47" s="59">
        <f>C47*(($F47*($R47)))/453.59</f>
        <v>0.13793040641306067</v>
      </c>
      <c r="AD47" s="59">
        <f>C47*(($F47*($S47)))/453.59</f>
        <v>6.1831288008626813E-2</v>
      </c>
      <c r="AE47" s="63"/>
      <c r="AF47" s="59">
        <f t="shared" si="119"/>
        <v>0</v>
      </c>
      <c r="AG47" s="59">
        <f t="shared" si="120"/>
        <v>0</v>
      </c>
      <c r="AH47" s="59">
        <f t="shared" si="121"/>
        <v>0</v>
      </c>
      <c r="AI47" s="59">
        <f t="shared" si="122"/>
        <v>0</v>
      </c>
      <c r="AJ47" s="59">
        <f t="shared" si="123"/>
        <v>0</v>
      </c>
      <c r="AK47" s="59">
        <f t="shared" si="124"/>
        <v>0</v>
      </c>
      <c r="AL47" s="59">
        <f t="shared" si="125"/>
        <v>0</v>
      </c>
      <c r="AM47" s="59">
        <f t="shared" si="126"/>
        <v>0</v>
      </c>
      <c r="AN47" s="59">
        <f t="shared" si="127"/>
        <v>0</v>
      </c>
      <c r="AO47" s="59">
        <f t="shared" si="128"/>
        <v>0</v>
      </c>
      <c r="AP47" s="59">
        <f t="shared" si="129"/>
        <v>0</v>
      </c>
    </row>
    <row r="48" spans="1:42" x14ac:dyDescent="0.25">
      <c r="A48" s="88" t="s">
        <v>38</v>
      </c>
      <c r="B48" s="87"/>
      <c r="C48" s="166"/>
      <c r="D48" s="166"/>
      <c r="E48" s="87"/>
      <c r="F48" s="87"/>
      <c r="G48" s="566"/>
      <c r="H48" s="50"/>
      <c r="I48" s="50"/>
      <c r="J48" s="50"/>
      <c r="K48" s="568"/>
      <c r="L48" s="568"/>
      <c r="M48" s="568"/>
      <c r="N48" s="568"/>
      <c r="O48" s="568"/>
      <c r="P48" s="568"/>
      <c r="Q48" s="50"/>
      <c r="R48" s="568"/>
      <c r="S48" s="568"/>
      <c r="T48" s="94">
        <f>SUM(T44:T47)</f>
        <v>2.9546105410276868</v>
      </c>
      <c r="U48" s="94">
        <f t="shared" ref="U48:AD48" si="131">SUM(U44:U47)</f>
        <v>12.539719954027298</v>
      </c>
      <c r="V48" s="94">
        <f t="shared" si="131"/>
        <v>0.70291631777342611</v>
      </c>
      <c r="W48" s="94">
        <f t="shared" si="131"/>
        <v>2.7713884342268763E-2</v>
      </c>
      <c r="X48" s="94">
        <f t="shared" si="131"/>
        <v>0.48182968882473676</v>
      </c>
      <c r="Y48" s="94">
        <f t="shared" si="131"/>
        <v>0.29951613666437443</v>
      </c>
      <c r="Z48" s="94">
        <f t="shared" si="131"/>
        <v>0.12755996932434266</v>
      </c>
      <c r="AA48" s="94">
        <f t="shared" si="131"/>
        <v>2.6787593558111954E-2</v>
      </c>
      <c r="AB48" s="94">
        <f t="shared" si="131"/>
        <v>4345.3815601709266</v>
      </c>
      <c r="AC48" s="94">
        <f t="shared" si="131"/>
        <v>0.24830813849284727</v>
      </c>
      <c r="AD48" s="94">
        <f t="shared" si="131"/>
        <v>0.11131129404533846</v>
      </c>
      <c r="AE48" s="69"/>
      <c r="AF48" s="94">
        <f t="shared" ref="AF48:AP48" si="132">SUM(AF44:AF47)</f>
        <v>9.4184824980308002E-2</v>
      </c>
      <c r="AG48" s="94">
        <f t="shared" si="132"/>
        <v>0.36513653848576516</v>
      </c>
      <c r="AH48" s="94">
        <f t="shared" si="132"/>
        <v>2.1949344382802854E-2</v>
      </c>
      <c r="AI48" s="94">
        <f t="shared" si="132"/>
        <v>8.3159174673480335E-4</v>
      </c>
      <c r="AJ48" s="94">
        <f t="shared" si="132"/>
        <v>1.6023791194709279E-2</v>
      </c>
      <c r="AK48" s="94">
        <f t="shared" si="132"/>
        <v>1.0324821374484176E-2</v>
      </c>
      <c r="AL48" s="94">
        <f t="shared" si="132"/>
        <v>4.2742402028987433E-3</v>
      </c>
      <c r="AM48" s="94">
        <f t="shared" si="132"/>
        <v>8.9759044260873588E-4</v>
      </c>
      <c r="AN48" s="94">
        <f t="shared" si="132"/>
        <v>127.48596183724894</v>
      </c>
      <c r="AO48" s="94">
        <f t="shared" si="132"/>
        <v>7.2849303172659152E-3</v>
      </c>
      <c r="AP48" s="94">
        <f t="shared" si="132"/>
        <v>3.2656803984229682E-3</v>
      </c>
    </row>
    <row r="49" spans="1:42" x14ac:dyDescent="0.25">
      <c r="A49" s="569"/>
      <c r="B49" s="87"/>
      <c r="C49" s="166"/>
      <c r="D49" s="166"/>
      <c r="E49" s="87"/>
      <c r="F49" s="87"/>
      <c r="G49" s="566"/>
      <c r="H49" s="50"/>
      <c r="I49" s="50"/>
      <c r="J49" s="50"/>
      <c r="K49" s="568"/>
      <c r="L49" s="568"/>
      <c r="M49" s="568"/>
      <c r="N49" s="568"/>
      <c r="O49" s="568"/>
      <c r="P49" s="568"/>
      <c r="Q49" s="50"/>
      <c r="R49" s="568"/>
      <c r="S49" s="568"/>
      <c r="T49" s="74"/>
      <c r="U49" s="74"/>
      <c r="V49" s="74"/>
      <c r="W49" s="74"/>
      <c r="X49" s="74"/>
      <c r="Y49" s="74"/>
      <c r="Z49" s="75"/>
      <c r="AA49" s="75"/>
      <c r="AB49" s="75"/>
      <c r="AC49" s="75"/>
      <c r="AD49" s="75"/>
      <c r="AE49" s="52"/>
      <c r="AF49" s="74"/>
      <c r="AG49" s="74"/>
      <c r="AH49" s="74"/>
      <c r="AI49" s="74"/>
      <c r="AJ49" s="74"/>
      <c r="AK49" s="74"/>
      <c r="AL49" s="75"/>
      <c r="AM49" s="75"/>
      <c r="AN49" s="76"/>
      <c r="AO49" s="74"/>
      <c r="AP49" s="74"/>
    </row>
    <row r="50" spans="1:42" ht="26.4" x14ac:dyDescent="0.25">
      <c r="A50" s="177" t="s">
        <v>279</v>
      </c>
      <c r="B50" s="87"/>
      <c r="C50" s="166"/>
      <c r="D50" s="166"/>
      <c r="E50" s="87"/>
      <c r="F50" s="87"/>
      <c r="G50" s="566"/>
      <c r="H50" s="50"/>
      <c r="I50" s="50"/>
      <c r="J50" s="50"/>
      <c r="K50" s="568"/>
      <c r="L50" s="568"/>
      <c r="M50" s="568"/>
      <c r="N50" s="568"/>
      <c r="O50" s="568"/>
      <c r="P50" s="568"/>
      <c r="Q50" s="50"/>
      <c r="R50" s="568"/>
      <c r="S50" s="568"/>
      <c r="T50" s="74"/>
      <c r="U50" s="74"/>
      <c r="V50" s="74"/>
      <c r="W50" s="74"/>
      <c r="X50" s="74"/>
      <c r="Y50" s="74"/>
      <c r="Z50" s="75"/>
      <c r="AA50" s="75"/>
      <c r="AB50" s="75"/>
      <c r="AC50" s="75"/>
      <c r="AD50" s="75"/>
      <c r="AE50" s="52"/>
      <c r="AF50" s="74"/>
      <c r="AG50" s="74"/>
      <c r="AH50" s="74"/>
      <c r="AI50" s="74"/>
      <c r="AJ50" s="74"/>
      <c r="AK50" s="74"/>
      <c r="AL50" s="75"/>
      <c r="AM50" s="75"/>
      <c r="AN50" s="76"/>
      <c r="AO50" s="74"/>
      <c r="AP50" s="74"/>
    </row>
    <row r="51" spans="1:42" x14ac:dyDescent="0.25">
      <c r="A51" s="91" t="s">
        <v>114</v>
      </c>
      <c r="B51" s="89" t="s">
        <v>107</v>
      </c>
      <c r="C51" s="92">
        <v>3</v>
      </c>
      <c r="D51" s="90">
        <v>2018</v>
      </c>
      <c r="E51" s="90">
        <v>15</v>
      </c>
      <c r="F51" s="90">
        <v>60</v>
      </c>
      <c r="G51" s="145">
        <v>0.56875974610331004</v>
      </c>
      <c r="H51" s="145">
        <v>0.60613619912309102</v>
      </c>
      <c r="I51" s="145">
        <v>0.110002906126779</v>
      </c>
      <c r="J51" s="145">
        <v>3.18613688227605E-3</v>
      </c>
      <c r="K51" s="145">
        <v>9.0901627580601399E-2</v>
      </c>
      <c r="L51" s="56">
        <v>7.99995847163921E-3</v>
      </c>
      <c r="M51" s="56">
        <v>3.6749815577381599E-2</v>
      </c>
      <c r="N51" s="145">
        <v>8.3629500044256497E-2</v>
      </c>
      <c r="O51" s="56">
        <v>1.9999896145790402E-3</v>
      </c>
      <c r="P51" s="56">
        <v>1.57499200131354E-2</v>
      </c>
      <c r="Q51" s="145">
        <v>284.47755884310999</v>
      </c>
      <c r="R51" s="56">
        <f>0.000057143*Q51</f>
        <v>1.6255901144971833E-2</v>
      </c>
      <c r="S51" s="93">
        <f>0.000025616*Q51</f>
        <v>7.2871771473251058E-3</v>
      </c>
      <c r="T51" s="59">
        <f>C51*($F51*$G51)/453.59</f>
        <v>0.22570328776779869</v>
      </c>
      <c r="U51" s="59">
        <f>C51*($F51*$H51)/453.59</f>
        <v>0.24053554055899909</v>
      </c>
      <c r="V51" s="59">
        <f>C51*(($F51*$I51))/453.59</f>
        <v>4.365290924142997E-2</v>
      </c>
      <c r="W51" s="59">
        <f>C51*($F51*$J51)/453.59</f>
        <v>1.2643679067212438E-3</v>
      </c>
      <c r="X51" s="59">
        <f>C51*(($F51*($K51+$L51+$M51)))/453.59</f>
        <v>5.3831108034418748E-2</v>
      </c>
      <c r="Y51" s="59">
        <f>C51*(($F51*($N51+$O51+$P51)))/453.59</f>
        <v>4.023081139565416E-2</v>
      </c>
      <c r="Z51" s="59">
        <f>C51*(F51)*$B$220</f>
        <v>1.7662149598755138E-2</v>
      </c>
      <c r="AA51" s="59">
        <f>Z51*0.21</f>
        <v>3.7090514157385786E-3</v>
      </c>
      <c r="AB51" s="59">
        <f>C51*(($F51*($Q51)))/453.59</f>
        <v>112.89040894146652</v>
      </c>
      <c r="AC51" s="59">
        <f>C51*(($F51*($R51)))/453.59</f>
        <v>6.4508966381422216E-3</v>
      </c>
      <c r="AD51" s="59">
        <f>C51*(($F51*($S51)))/453.59</f>
        <v>2.8918007154446071E-3</v>
      </c>
      <c r="AE51" s="63">
        <f>6*22</f>
        <v>132</v>
      </c>
      <c r="AF51" s="59">
        <f t="shared" ref="AF51:AF53" si="133">T51*$AE51/2000</f>
        <v>1.4896416992674712E-2</v>
      </c>
      <c r="AG51" s="59">
        <f t="shared" ref="AG51:AG53" si="134">U51*$AE51/2000</f>
        <v>1.5875345676893939E-2</v>
      </c>
      <c r="AH51" s="59">
        <f t="shared" ref="AH51:AH53" si="135">V51*$AE51/2000</f>
        <v>2.881092009934378E-3</v>
      </c>
      <c r="AI51" s="59">
        <f t="shared" ref="AI51:AI53" si="136">W51*$AE51/2000</f>
        <v>8.3448281843602091E-5</v>
      </c>
      <c r="AJ51" s="59">
        <f t="shared" ref="AJ51:AJ53" si="137">X51*$AE51/2000</f>
        <v>3.5528531302716371E-3</v>
      </c>
      <c r="AK51" s="59">
        <f t="shared" ref="AK51:AK53" si="138">Y51*$AE51/2000</f>
        <v>2.6552335521131745E-3</v>
      </c>
      <c r="AL51" s="59">
        <f t="shared" ref="AL51:AL53" si="139">Z51*$AE51/2000</f>
        <v>1.1657018735178391E-3</v>
      </c>
      <c r="AM51" s="59">
        <f t="shared" ref="AM51:AM53" si="140">AA51*$AE51/2000</f>
        <v>2.447973934387462E-4</v>
      </c>
      <c r="AN51" s="59">
        <f t="shared" ref="AN51:AN53" si="141">AB51*$AE51/2000</f>
        <v>7.4507669901367901</v>
      </c>
      <c r="AO51" s="59">
        <f t="shared" ref="AO51:AO53" si="142">AC51*$AE51/2000</f>
        <v>4.2575917811738662E-4</v>
      </c>
      <c r="AP51" s="59">
        <f t="shared" ref="AP51:AP53" si="143">AD51*$AE51/2000</f>
        <v>1.9085884721934407E-4</v>
      </c>
    </row>
    <row r="52" spans="1:42" x14ac:dyDescent="0.25">
      <c r="A52" s="91" t="s">
        <v>205</v>
      </c>
      <c r="B52" s="89" t="s">
        <v>128</v>
      </c>
      <c r="C52" s="90">
        <v>5</v>
      </c>
      <c r="D52" s="90">
        <v>2018</v>
      </c>
      <c r="E52" s="90">
        <v>35</v>
      </c>
      <c r="F52" s="90">
        <v>80</v>
      </c>
      <c r="G52" s="145">
        <v>0.97146929489637202</v>
      </c>
      <c r="H52" s="145">
        <v>3.4422916834835999</v>
      </c>
      <c r="I52" s="145">
        <v>0.23701153968834099</v>
      </c>
      <c r="J52" s="145">
        <v>1.0711818E-2</v>
      </c>
      <c r="K52" s="145">
        <v>6.1975092965986203E-2</v>
      </c>
      <c r="L52" s="567">
        <v>3.5999811999999999E-2</v>
      </c>
      <c r="M52" s="567">
        <v>6.1739677E-2</v>
      </c>
      <c r="N52" s="145">
        <v>5.7017085528707302E-2</v>
      </c>
      <c r="O52" s="567">
        <v>8.9999529999999998E-3</v>
      </c>
      <c r="P52" s="567">
        <v>2.6459862000000001E-2</v>
      </c>
      <c r="Q52" s="145">
        <v>1648.0324343581101</v>
      </c>
      <c r="R52" s="56">
        <f>0.000057143*Q52</f>
        <v>9.4173517396525477E-2</v>
      </c>
      <c r="S52" s="93">
        <f>0.000025616*Q52</f>
        <v>4.221599883851735E-2</v>
      </c>
      <c r="T52" s="59">
        <f>C52*($F52*$G52)/453.59</f>
        <v>0.85669374977082557</v>
      </c>
      <c r="U52" s="59">
        <f>C52*($F52*$H52)/453.59</f>
        <v>3.0355975074261781</v>
      </c>
      <c r="V52" s="59">
        <f>C52*(($F52*$I52))/453.59</f>
        <v>0.20900949287977336</v>
      </c>
      <c r="W52" s="59">
        <f>C52*($F52*$J52)/453.59</f>
        <v>9.4462558698383998E-3</v>
      </c>
      <c r="X52" s="59">
        <f>C52*(($F52*($K52+$L52+$M52)))/453.59</f>
        <v>0.14084488808482215</v>
      </c>
      <c r="Y52" s="59">
        <f>C52*(($F52*($N52+$O52+$P52)))/453.59</f>
        <v>8.1551092862459318E-2</v>
      </c>
      <c r="Z52" s="59">
        <f>C52*(F52)*$B$220</f>
        <v>3.924922133056697E-2</v>
      </c>
      <c r="AA52" s="59">
        <f>Z52*0.21</f>
        <v>8.2423364794190629E-3</v>
      </c>
      <c r="AB52" s="59">
        <f>C52*(($F52*($Q52)))/453.59</f>
        <v>1453.3234280809631</v>
      </c>
      <c r="AC52" s="59">
        <f>C52*(($F52*($R52)))/453.59</f>
        <v>8.3047260650830471E-2</v>
      </c>
      <c r="AD52" s="59">
        <f>C52*(($F52*($S52)))/453.59</f>
        <v>3.7228332933721957E-2</v>
      </c>
      <c r="AE52" s="63">
        <f t="shared" ref="AE52" si="144">6*22</f>
        <v>132</v>
      </c>
      <c r="AF52" s="59">
        <f t="shared" si="133"/>
        <v>5.6541787484874491E-2</v>
      </c>
      <c r="AG52" s="59">
        <f t="shared" si="134"/>
        <v>0.20034943549012774</v>
      </c>
      <c r="AH52" s="59">
        <f t="shared" si="135"/>
        <v>1.3794626530065041E-2</v>
      </c>
      <c r="AI52" s="59">
        <f t="shared" si="136"/>
        <v>6.2345288740933431E-4</v>
      </c>
      <c r="AJ52" s="59">
        <f t="shared" si="137"/>
        <v>9.2957626135982616E-3</v>
      </c>
      <c r="AK52" s="59">
        <f t="shared" si="138"/>
        <v>5.3823721289223145E-3</v>
      </c>
      <c r="AL52" s="59">
        <f t="shared" si="139"/>
        <v>2.5904486078174201E-3</v>
      </c>
      <c r="AM52" s="59">
        <f t="shared" si="140"/>
        <v>5.4399420764165822E-4</v>
      </c>
      <c r="AN52" s="59">
        <f t="shared" si="141"/>
        <v>95.919346253343562</v>
      </c>
      <c r="AO52" s="59">
        <f t="shared" si="142"/>
        <v>5.4811192029548105E-3</v>
      </c>
      <c r="AP52" s="59">
        <f t="shared" si="143"/>
        <v>2.4570699736256489E-3</v>
      </c>
    </row>
    <row r="53" spans="1:42" x14ac:dyDescent="0.25">
      <c r="A53" s="91" t="s">
        <v>154</v>
      </c>
      <c r="B53" s="89" t="s">
        <v>128</v>
      </c>
      <c r="C53" s="90">
        <v>5</v>
      </c>
      <c r="D53" s="90">
        <v>2018</v>
      </c>
      <c r="E53" s="90">
        <v>35</v>
      </c>
      <c r="F53" s="90">
        <v>160</v>
      </c>
      <c r="G53" s="145">
        <v>0.97146929489637202</v>
      </c>
      <c r="H53" s="145">
        <v>3.4422916834835999</v>
      </c>
      <c r="I53" s="145">
        <v>0.23701153968834099</v>
      </c>
      <c r="J53" s="145">
        <v>1.0711818E-2</v>
      </c>
      <c r="K53" s="145">
        <v>6.1975092965986203E-2</v>
      </c>
      <c r="L53" s="567">
        <v>3.5999811999999999E-2</v>
      </c>
      <c r="M53" s="567">
        <v>6.1739677E-2</v>
      </c>
      <c r="N53" s="145">
        <v>5.7017085528707302E-2</v>
      </c>
      <c r="O53" s="567">
        <v>8.9999529999999998E-3</v>
      </c>
      <c r="P53" s="567">
        <v>2.6459862000000001E-2</v>
      </c>
      <c r="Q53" s="145">
        <v>1648.0324343581101</v>
      </c>
      <c r="R53" s="56">
        <f>0.000057143*Q53</f>
        <v>9.4173517396525477E-2</v>
      </c>
      <c r="S53" s="93">
        <f>0.000025616*Q53</f>
        <v>4.221599883851735E-2</v>
      </c>
      <c r="T53" s="59">
        <f>C53*($F53*$G53)/453.59</f>
        <v>1.7133874995416511</v>
      </c>
      <c r="U53" s="59">
        <f>C53*($F53*$H53)/453.59</f>
        <v>6.0711950148523561</v>
      </c>
      <c r="V53" s="59">
        <f>C53*(($F53*$I53))/453.59</f>
        <v>0.41801898575954671</v>
      </c>
      <c r="W53" s="59">
        <f>C53*($F53*$J53)/453.59</f>
        <v>1.88925117396768E-2</v>
      </c>
      <c r="X53" s="59">
        <f>C53*(($F53*($K53+$L53+$M53)))/453.59</f>
        <v>0.2816897761696443</v>
      </c>
      <c r="Y53" s="59">
        <f>C53*(($F53*($N53+$O53+$P53)))/453.59</f>
        <v>0.16310218572491864</v>
      </c>
      <c r="Z53" s="59">
        <f>C53*(F53)*$B$220</f>
        <v>7.8498442661133941E-2</v>
      </c>
      <c r="AA53" s="59">
        <f>Z53*0.21</f>
        <v>1.6484672958838126E-2</v>
      </c>
      <c r="AB53" s="59">
        <f>C53*(($F53*($Q53)))/453.59</f>
        <v>2906.6468561619263</v>
      </c>
      <c r="AC53" s="59">
        <f>C53*(($F53*($R53)))/453.59</f>
        <v>0.16609452130166094</v>
      </c>
      <c r="AD53" s="59">
        <f>C53*(($F53*($S53)))/453.59</f>
        <v>7.4456665867443914E-2</v>
      </c>
      <c r="AE53" s="63"/>
      <c r="AF53" s="59">
        <f t="shared" si="133"/>
        <v>0</v>
      </c>
      <c r="AG53" s="59">
        <f t="shared" si="134"/>
        <v>0</v>
      </c>
      <c r="AH53" s="59">
        <f t="shared" si="135"/>
        <v>0</v>
      </c>
      <c r="AI53" s="59">
        <f t="shared" si="136"/>
        <v>0</v>
      </c>
      <c r="AJ53" s="59">
        <f t="shared" si="137"/>
        <v>0</v>
      </c>
      <c r="AK53" s="59">
        <f t="shared" si="138"/>
        <v>0</v>
      </c>
      <c r="AL53" s="59">
        <f t="shared" si="139"/>
        <v>0</v>
      </c>
      <c r="AM53" s="59">
        <f t="shared" si="140"/>
        <v>0</v>
      </c>
      <c r="AN53" s="59">
        <f t="shared" si="141"/>
        <v>0</v>
      </c>
      <c r="AO53" s="59">
        <f t="shared" si="142"/>
        <v>0</v>
      </c>
      <c r="AP53" s="59">
        <f t="shared" si="143"/>
        <v>0</v>
      </c>
    </row>
    <row r="54" spans="1:42" x14ac:dyDescent="0.25">
      <c r="A54" s="88" t="s">
        <v>38</v>
      </c>
      <c r="B54" s="87"/>
      <c r="C54" s="166"/>
      <c r="D54" s="166"/>
      <c r="E54" s="87"/>
      <c r="F54" s="87"/>
      <c r="G54" s="566"/>
      <c r="H54" s="50"/>
      <c r="I54" s="50"/>
      <c r="J54" s="50"/>
      <c r="K54" s="568"/>
      <c r="L54" s="568"/>
      <c r="M54" s="568"/>
      <c r="N54" s="568"/>
      <c r="O54" s="568"/>
      <c r="P54" s="568"/>
      <c r="Q54" s="50"/>
      <c r="R54" s="568"/>
      <c r="S54" s="568"/>
      <c r="T54" s="94">
        <f>SUM(T49:T52)</f>
        <v>1.0823970375386243</v>
      </c>
      <c r="U54" s="94">
        <f t="shared" ref="U54:AD54" si="145">SUM(U49:U52)</f>
        <v>3.2761330479851773</v>
      </c>
      <c r="V54" s="94">
        <f t="shared" si="145"/>
        <v>0.25266240212120333</v>
      </c>
      <c r="W54" s="94">
        <f t="shared" si="145"/>
        <v>1.0710623776559644E-2</v>
      </c>
      <c r="X54" s="94">
        <f t="shared" si="145"/>
        <v>0.19467599611924091</v>
      </c>
      <c r="Y54" s="94">
        <f t="shared" si="145"/>
        <v>0.12178190425811347</v>
      </c>
      <c r="Z54" s="94">
        <f t="shared" si="145"/>
        <v>5.6911370929322108E-2</v>
      </c>
      <c r="AA54" s="94">
        <f t="shared" si="145"/>
        <v>1.1951387895157642E-2</v>
      </c>
      <c r="AB54" s="94">
        <f t="shared" si="145"/>
        <v>1566.2138370224297</v>
      </c>
      <c r="AC54" s="94">
        <f t="shared" si="145"/>
        <v>8.9498157288972688E-2</v>
      </c>
      <c r="AD54" s="94">
        <f t="shared" si="145"/>
        <v>4.0120133649166563E-2</v>
      </c>
      <c r="AE54" s="69"/>
      <c r="AF54" s="94">
        <f t="shared" ref="AF54:AP54" si="146">SUM(AF49:AF52)</f>
        <v>7.14382044775492E-2</v>
      </c>
      <c r="AG54" s="94">
        <f t="shared" si="146"/>
        <v>0.21622478116702168</v>
      </c>
      <c r="AH54" s="94">
        <f t="shared" si="146"/>
        <v>1.6675718539999419E-2</v>
      </c>
      <c r="AI54" s="94">
        <f t="shared" si="146"/>
        <v>7.0690116925293644E-4</v>
      </c>
      <c r="AJ54" s="94">
        <f t="shared" si="146"/>
        <v>1.2848615743869899E-2</v>
      </c>
      <c r="AK54" s="94">
        <f t="shared" si="146"/>
        <v>8.0376056810354882E-3</v>
      </c>
      <c r="AL54" s="94">
        <f t="shared" si="146"/>
        <v>3.7561504813352592E-3</v>
      </c>
      <c r="AM54" s="94">
        <f t="shared" si="146"/>
        <v>7.8879160108040447E-4</v>
      </c>
      <c r="AN54" s="94">
        <f t="shared" si="146"/>
        <v>103.37011324348035</v>
      </c>
      <c r="AO54" s="94">
        <f t="shared" si="146"/>
        <v>5.9068783810721972E-3</v>
      </c>
      <c r="AP54" s="94">
        <f t="shared" si="146"/>
        <v>2.647928820844993E-3</v>
      </c>
    </row>
    <row r="55" spans="1:42" x14ac:dyDescent="0.25">
      <c r="A55" s="569"/>
      <c r="B55" s="87"/>
      <c r="C55" s="166"/>
      <c r="D55" s="166"/>
      <c r="E55" s="87"/>
      <c r="F55" s="87"/>
      <c r="G55" s="566"/>
      <c r="H55" s="50"/>
      <c r="I55" s="50"/>
      <c r="J55" s="50"/>
      <c r="K55" s="568"/>
      <c r="L55" s="568"/>
      <c r="M55" s="568"/>
      <c r="N55" s="568"/>
      <c r="O55" s="568"/>
      <c r="P55" s="568"/>
      <c r="Q55" s="50"/>
      <c r="R55" s="568"/>
      <c r="S55" s="568"/>
      <c r="T55" s="74"/>
      <c r="U55" s="74"/>
      <c r="V55" s="74"/>
      <c r="W55" s="74"/>
      <c r="X55" s="74"/>
      <c r="Y55" s="74"/>
      <c r="Z55" s="75"/>
      <c r="AA55" s="75"/>
      <c r="AB55" s="75"/>
      <c r="AC55" s="75"/>
      <c r="AD55" s="75"/>
      <c r="AE55" s="52"/>
      <c r="AF55" s="74"/>
      <c r="AG55" s="74"/>
      <c r="AH55" s="74"/>
      <c r="AI55" s="74"/>
      <c r="AJ55" s="74"/>
      <c r="AK55" s="74"/>
      <c r="AL55" s="75"/>
      <c r="AM55" s="75"/>
      <c r="AN55" s="76"/>
      <c r="AO55" s="74"/>
      <c r="AP55" s="74"/>
    </row>
    <row r="56" spans="1:42" ht="26.4" x14ac:dyDescent="0.25">
      <c r="A56" s="177" t="s">
        <v>283</v>
      </c>
      <c r="B56" s="87"/>
      <c r="C56" s="166"/>
      <c r="D56" s="166"/>
      <c r="E56" s="87"/>
      <c r="F56" s="87"/>
      <c r="G56" s="154"/>
      <c r="H56" s="50"/>
      <c r="I56" s="50"/>
      <c r="J56" s="50"/>
      <c r="K56" s="155"/>
      <c r="L56" s="155"/>
      <c r="M56" s="155"/>
      <c r="N56" s="155"/>
      <c r="O56" s="155"/>
      <c r="P56" s="155"/>
      <c r="Q56" s="50"/>
      <c r="R56" s="155"/>
      <c r="S56" s="155"/>
      <c r="T56" s="74"/>
      <c r="U56" s="74"/>
      <c r="V56" s="74"/>
      <c r="W56" s="74"/>
      <c r="X56" s="74"/>
      <c r="Y56" s="74"/>
      <c r="Z56" s="75"/>
      <c r="AA56" s="75"/>
      <c r="AB56" s="75"/>
      <c r="AC56" s="75"/>
      <c r="AD56" s="75"/>
      <c r="AE56" s="52"/>
      <c r="AF56" s="74"/>
      <c r="AG56" s="74"/>
      <c r="AH56" s="74"/>
      <c r="AI56" s="74"/>
      <c r="AJ56" s="74"/>
      <c r="AK56" s="74"/>
      <c r="AL56" s="75"/>
      <c r="AM56" s="75"/>
      <c r="AN56" s="76"/>
      <c r="AO56" s="74"/>
      <c r="AP56" s="74"/>
    </row>
    <row r="57" spans="1:42" x14ac:dyDescent="0.25">
      <c r="A57" s="91" t="s">
        <v>114</v>
      </c>
      <c r="B57" s="89" t="s">
        <v>107</v>
      </c>
      <c r="C57" s="92">
        <v>3</v>
      </c>
      <c r="D57" s="90">
        <v>2017</v>
      </c>
      <c r="E57" s="90">
        <v>15</v>
      </c>
      <c r="F57" s="90">
        <v>60</v>
      </c>
      <c r="G57" s="145">
        <v>0.63993288844985996</v>
      </c>
      <c r="H57" s="145">
        <v>0.65182464654293903</v>
      </c>
      <c r="I57" s="145">
        <v>0.124829278285952</v>
      </c>
      <c r="J57" s="145">
        <v>3.18613688227605E-3</v>
      </c>
      <c r="K57" s="145">
        <v>0.10291450019173901</v>
      </c>
      <c r="L57" s="56">
        <v>7.99995847163921E-3</v>
      </c>
      <c r="M57" s="56">
        <v>3.6749815577381599E-2</v>
      </c>
      <c r="N57" s="145">
        <v>9.4681348812781493E-2</v>
      </c>
      <c r="O57" s="56">
        <v>1.9999896145790402E-3</v>
      </c>
      <c r="P57" s="56">
        <v>1.57499200131354E-2</v>
      </c>
      <c r="Q57" s="145">
        <v>294.90083630548003</v>
      </c>
      <c r="R57" s="56">
        <f>0.000057143*Q57</f>
        <v>1.6851518489004045E-2</v>
      </c>
      <c r="S57" s="93">
        <f>0.000025616*Q57</f>
        <v>7.5541798228011764E-3</v>
      </c>
      <c r="T57" s="59">
        <f>C57*($F57*$G57)/453.59</f>
        <v>0.25394722088444366</v>
      </c>
      <c r="U57" s="59">
        <f>C57*($F57*$H57)/453.59</f>
        <v>0.25866627654429997</v>
      </c>
      <c r="V57" s="59">
        <f>C57*(($F57*$I57))/453.59</f>
        <v>4.9536519966205964E-2</v>
      </c>
      <c r="W57" s="59">
        <f>C57*($F57*$J57)/453.59</f>
        <v>1.2643679067212438E-3</v>
      </c>
      <c r="X57" s="59">
        <f>C57*(($F57*($K57+$L57+$M57)))/453.59</f>
        <v>5.8598226070541166E-2</v>
      </c>
      <c r="Y57" s="59">
        <f>C57*(($F57*($N57+$O57+$P57)))/453.59</f>
        <v>4.4616562356509779E-2</v>
      </c>
      <c r="Z57" s="59">
        <f>C57*(F57)*$B$220</f>
        <v>1.7662149598755138E-2</v>
      </c>
      <c r="AA57" s="59">
        <f>Z57*0.21</f>
        <v>3.7090514157385786E-3</v>
      </c>
      <c r="AB57" s="59">
        <f>C57*(($F57*($Q57)))/453.59</f>
        <v>117.02672134523777</v>
      </c>
      <c r="AC57" s="59">
        <f>C57*(($F57*($R57)))/453.59</f>
        <v>6.6872579378309217E-3</v>
      </c>
      <c r="AD57" s="59">
        <f>C57*(($F57*($S57)))/453.59</f>
        <v>2.997756493979611E-3</v>
      </c>
      <c r="AE57" s="63">
        <f>2*22</f>
        <v>44</v>
      </c>
      <c r="AF57" s="59">
        <f t="shared" ref="AF57:AF60" si="147">T57*$AE57/2000</f>
        <v>5.5868388594577604E-3</v>
      </c>
      <c r="AG57" s="59">
        <f t="shared" ref="AG57:AG60" si="148">U57*$AE57/2000</f>
        <v>5.6906580839745985E-3</v>
      </c>
      <c r="AH57" s="59">
        <f t="shared" ref="AH57:AH60" si="149">V57*$AE57/2000</f>
        <v>1.0898034392565312E-3</v>
      </c>
      <c r="AI57" s="59">
        <f t="shared" ref="AI57:AI60" si="150">W57*$AE57/2000</f>
        <v>2.7816093947867365E-5</v>
      </c>
      <c r="AJ57" s="59">
        <f t="shared" ref="AJ57:AJ60" si="151">X57*$AE57/2000</f>
        <v>1.2891609735519057E-3</v>
      </c>
      <c r="AK57" s="59">
        <f t="shared" ref="AK57:AK60" si="152">Y57*$AE57/2000</f>
        <v>9.8156437184321516E-4</v>
      </c>
      <c r="AL57" s="59">
        <f t="shared" ref="AL57:AL60" si="153">Z57*$AE57/2000</f>
        <v>3.8856729117261302E-4</v>
      </c>
      <c r="AM57" s="59">
        <f t="shared" ref="AM57:AM60" si="154">AA57*$AE57/2000</f>
        <v>8.159913114624873E-5</v>
      </c>
      <c r="AN57" s="59">
        <f t="shared" ref="AN57:AN60" si="155">AB57*$AE57/2000</f>
        <v>2.5745878695952311</v>
      </c>
      <c r="AO57" s="59">
        <f t="shared" ref="AO57:AO60" si="156">AC57*$AE57/2000</f>
        <v>1.471196746322803E-4</v>
      </c>
      <c r="AP57" s="59">
        <f t="shared" ref="AP57:AP60" si="157">AD57*$AE57/2000</f>
        <v>6.5950642867551433E-5</v>
      </c>
    </row>
    <row r="58" spans="1:42" x14ac:dyDescent="0.25">
      <c r="A58" s="91" t="s">
        <v>205</v>
      </c>
      <c r="B58" s="89" t="s">
        <v>128</v>
      </c>
      <c r="C58" s="90">
        <v>3</v>
      </c>
      <c r="D58" s="90">
        <v>2017</v>
      </c>
      <c r="E58" s="90">
        <v>35</v>
      </c>
      <c r="F58" s="90">
        <v>80</v>
      </c>
      <c r="G58" s="145">
        <v>1.00932081133512</v>
      </c>
      <c r="H58" s="145">
        <v>4.0761754140815798</v>
      </c>
      <c r="I58" s="145">
        <v>0.24604376740349401</v>
      </c>
      <c r="J58" s="145">
        <v>1.0711818E-2</v>
      </c>
      <c r="K58" s="145">
        <v>6.3985946095635404E-2</v>
      </c>
      <c r="L58" s="469">
        <v>3.5999811999999999E-2</v>
      </c>
      <c r="M58" s="469">
        <v>6.1739677E-2</v>
      </c>
      <c r="N58" s="145">
        <v>5.8867070407984501E-2</v>
      </c>
      <c r="O58" s="469">
        <v>8.9999529999999998E-3</v>
      </c>
      <c r="P58" s="469">
        <v>2.6459862000000001E-2</v>
      </c>
      <c r="Q58" s="145">
        <v>1678.6649107952401</v>
      </c>
      <c r="R58" s="56">
        <f>0.000057143*Q58</f>
        <v>9.5923948997572395E-2</v>
      </c>
      <c r="S58" s="93">
        <f>0.000025616*Q58</f>
        <v>4.3000680354930869E-2</v>
      </c>
      <c r="T58" s="59">
        <f>C58*($F58*$G58)/453.59</f>
        <v>0.53404394876524786</v>
      </c>
      <c r="U58" s="59">
        <f>C58*($F58*$H58)/453.59</f>
        <v>2.1567541157864571</v>
      </c>
      <c r="V58" s="59">
        <f>C58*(($F58*$I58))/453.59</f>
        <v>0.13018475754941369</v>
      </c>
      <c r="W58" s="59">
        <f>C58*($F58*$J58)/453.59</f>
        <v>5.6677535219030401E-3</v>
      </c>
      <c r="X58" s="59">
        <f>C58*(($F58*($K58+$L58+$M58)))/453.59</f>
        <v>8.5570899761794786E-2</v>
      </c>
      <c r="Y58" s="59">
        <f>C58*(($F58*($N58+$O58+$P58)))/453.59</f>
        <v>4.9909505275504938E-2</v>
      </c>
      <c r="Z58" s="59">
        <f>C58*(F58)*$B$220</f>
        <v>2.3549532798340184E-2</v>
      </c>
      <c r="AA58" s="59">
        <f>Z58*0.21</f>
        <v>4.9454018876514388E-3</v>
      </c>
      <c r="AB58" s="59">
        <f>C58*(($F58*($Q58)))/453.59</f>
        <v>888.20207365871761</v>
      </c>
      <c r="AC58" s="59">
        <f>C58*(($F58*($R58)))/453.59</f>
        <v>5.0754531095080081E-2</v>
      </c>
      <c r="AD58" s="59">
        <f>C58*(($F58*($S58)))/453.59</f>
        <v>2.2752184318841705E-2</v>
      </c>
      <c r="AE58" s="63">
        <f t="shared" ref="AE58:AE59" si="158">2*22</f>
        <v>44</v>
      </c>
      <c r="AF58" s="59">
        <f t="shared" si="147"/>
        <v>1.1748966872835453E-2</v>
      </c>
      <c r="AG58" s="59">
        <f t="shared" si="148"/>
        <v>4.7448590547302064E-2</v>
      </c>
      <c r="AH58" s="59">
        <f t="shared" si="149"/>
        <v>2.8640646660871012E-3</v>
      </c>
      <c r="AI58" s="59">
        <f t="shared" si="150"/>
        <v>1.2469057748186688E-4</v>
      </c>
      <c r="AJ58" s="59">
        <f t="shared" si="151"/>
        <v>1.8825597947594852E-3</v>
      </c>
      <c r="AK58" s="59">
        <f t="shared" si="152"/>
        <v>1.0980091160611087E-3</v>
      </c>
      <c r="AL58" s="59">
        <f t="shared" si="153"/>
        <v>5.180897215634841E-4</v>
      </c>
      <c r="AM58" s="59">
        <f t="shared" si="154"/>
        <v>1.0879884152833165E-4</v>
      </c>
      <c r="AN58" s="59">
        <f t="shared" si="155"/>
        <v>19.540445620491788</v>
      </c>
      <c r="AO58" s="59">
        <f t="shared" si="156"/>
        <v>1.1165996840917618E-3</v>
      </c>
      <c r="AP58" s="59">
        <f t="shared" si="157"/>
        <v>5.0054805501451754E-4</v>
      </c>
    </row>
    <row r="59" spans="1:42" x14ac:dyDescent="0.25">
      <c r="A59" s="91" t="s">
        <v>157</v>
      </c>
      <c r="B59" s="89" t="s">
        <v>128</v>
      </c>
      <c r="C59" s="90">
        <v>3</v>
      </c>
      <c r="D59" s="90">
        <v>2017</v>
      </c>
      <c r="E59" s="90">
        <v>35</v>
      </c>
      <c r="F59" s="90">
        <v>80</v>
      </c>
      <c r="G59" s="145">
        <v>1.00932081133512</v>
      </c>
      <c r="H59" s="145">
        <v>4.0761754140815798</v>
      </c>
      <c r="I59" s="145">
        <v>0.24604376740349401</v>
      </c>
      <c r="J59" s="145">
        <v>1.0711818E-2</v>
      </c>
      <c r="K59" s="145">
        <v>6.3985946095635404E-2</v>
      </c>
      <c r="L59" s="567">
        <v>3.5999811999999999E-2</v>
      </c>
      <c r="M59" s="567">
        <v>6.1739677E-2</v>
      </c>
      <c r="N59" s="145">
        <v>5.8867070407984501E-2</v>
      </c>
      <c r="O59" s="567">
        <v>8.9999529999999998E-3</v>
      </c>
      <c r="P59" s="567">
        <v>2.6459862000000001E-2</v>
      </c>
      <c r="Q59" s="145">
        <v>1678.6649107952401</v>
      </c>
      <c r="R59" s="56">
        <f>0.000057143*Q59</f>
        <v>9.5923948997572395E-2</v>
      </c>
      <c r="S59" s="93">
        <f>0.000025616*Q59</f>
        <v>4.3000680354930869E-2</v>
      </c>
      <c r="T59" s="59">
        <f>C59*($F59*$G59)/453.59</f>
        <v>0.53404394876524786</v>
      </c>
      <c r="U59" s="59">
        <f>C59*($F59*$H59)/453.59</f>
        <v>2.1567541157864571</v>
      </c>
      <c r="V59" s="59">
        <f>C59*(($F59*$I59))/453.59</f>
        <v>0.13018475754941369</v>
      </c>
      <c r="W59" s="59">
        <f>C59*($F59*$J59)/453.59</f>
        <v>5.6677535219030401E-3</v>
      </c>
      <c r="X59" s="59">
        <f>C59*(($F59*($K59+$L59+$M59)))/453.59</f>
        <v>8.5570899761794786E-2</v>
      </c>
      <c r="Y59" s="59">
        <f>C59*(($F59*($N59+$O59+$P59)))/453.59</f>
        <v>4.9909505275504938E-2</v>
      </c>
      <c r="Z59" s="59">
        <f>C59*(F59)*$B$220</f>
        <v>2.3549532798340184E-2</v>
      </c>
      <c r="AA59" s="59">
        <f>Z59*0.21</f>
        <v>4.9454018876514388E-3</v>
      </c>
      <c r="AB59" s="59">
        <f>C59*(($F59*($Q59)))/453.59</f>
        <v>888.20207365871761</v>
      </c>
      <c r="AC59" s="59">
        <f>C59*(($F59*($R59)))/453.59</f>
        <v>5.0754531095080081E-2</v>
      </c>
      <c r="AD59" s="59">
        <f>C59*(($F59*($S59)))/453.59</f>
        <v>2.2752184318841705E-2</v>
      </c>
      <c r="AE59" s="63">
        <f t="shared" si="158"/>
        <v>44</v>
      </c>
      <c r="AF59" s="59">
        <f t="shared" si="147"/>
        <v>1.1748966872835453E-2</v>
      </c>
      <c r="AG59" s="59">
        <f t="shared" si="148"/>
        <v>4.7448590547302064E-2</v>
      </c>
      <c r="AH59" s="59">
        <f t="shared" si="149"/>
        <v>2.8640646660871012E-3</v>
      </c>
      <c r="AI59" s="59">
        <f t="shared" si="150"/>
        <v>1.2469057748186688E-4</v>
      </c>
      <c r="AJ59" s="59">
        <f t="shared" si="151"/>
        <v>1.8825597947594852E-3</v>
      </c>
      <c r="AK59" s="59">
        <f t="shared" si="152"/>
        <v>1.0980091160611087E-3</v>
      </c>
      <c r="AL59" s="59">
        <f t="shared" si="153"/>
        <v>5.180897215634841E-4</v>
      </c>
      <c r="AM59" s="59">
        <f t="shared" si="154"/>
        <v>1.0879884152833165E-4</v>
      </c>
      <c r="AN59" s="59">
        <f t="shared" si="155"/>
        <v>19.540445620491788</v>
      </c>
      <c r="AO59" s="59">
        <f t="shared" si="156"/>
        <v>1.1165996840917618E-3</v>
      </c>
      <c r="AP59" s="59">
        <f t="shared" si="157"/>
        <v>5.0054805501451754E-4</v>
      </c>
    </row>
    <row r="60" spans="1:42" x14ac:dyDescent="0.25">
      <c r="A60" s="91" t="s">
        <v>154</v>
      </c>
      <c r="B60" s="89" t="s">
        <v>128</v>
      </c>
      <c r="C60" s="90">
        <v>4</v>
      </c>
      <c r="D60" s="90">
        <v>2017</v>
      </c>
      <c r="E60" s="90">
        <v>35</v>
      </c>
      <c r="F60" s="90">
        <v>160</v>
      </c>
      <c r="G60" s="145">
        <v>1.00932081133512</v>
      </c>
      <c r="H60" s="145">
        <v>4.0761754140815798</v>
      </c>
      <c r="I60" s="145">
        <v>0.24604376740349401</v>
      </c>
      <c r="J60" s="145">
        <v>1.0711818E-2</v>
      </c>
      <c r="K60" s="145">
        <v>6.3985946095635404E-2</v>
      </c>
      <c r="L60" s="567">
        <v>3.5999811999999999E-2</v>
      </c>
      <c r="M60" s="567">
        <v>6.1739677E-2</v>
      </c>
      <c r="N60" s="145">
        <v>5.8867070407984501E-2</v>
      </c>
      <c r="O60" s="567">
        <v>8.9999529999999998E-3</v>
      </c>
      <c r="P60" s="567">
        <v>2.6459862000000001E-2</v>
      </c>
      <c r="Q60" s="145">
        <v>1678.6649107952401</v>
      </c>
      <c r="R60" s="56">
        <f>0.000057143*Q60</f>
        <v>9.5923948997572395E-2</v>
      </c>
      <c r="S60" s="93">
        <f>0.000025616*Q60</f>
        <v>4.3000680354930869E-2</v>
      </c>
      <c r="T60" s="59">
        <f>C60*($F60*$G60)/453.59</f>
        <v>1.4241171967073278</v>
      </c>
      <c r="U60" s="59">
        <f>C60*($F60*$H60)/453.59</f>
        <v>5.751344308763886</v>
      </c>
      <c r="V60" s="59">
        <f>C60*(($F60*$I60))/453.59</f>
        <v>0.34715935346510324</v>
      </c>
      <c r="W60" s="59">
        <f>C60*($F60*$J60)/453.59</f>
        <v>1.5114009391741441E-2</v>
      </c>
      <c r="X60" s="59">
        <f>C60*(($F60*($K60+$L60+$M60)))/453.59</f>
        <v>0.22818906603145275</v>
      </c>
      <c r="Y60" s="59">
        <f>C60*(($F60*($N60+$O60+$P60)))/453.59</f>
        <v>0.13309201406801316</v>
      </c>
      <c r="Z60" s="59">
        <f>C60*(F60)*$B$220</f>
        <v>6.2798754128907147E-2</v>
      </c>
      <c r="AA60" s="59">
        <f>Z60*0.21</f>
        <v>1.31877383670705E-2</v>
      </c>
      <c r="AB60" s="59">
        <f>C60*(($F60*($Q60)))/453.59</f>
        <v>2368.5388630899133</v>
      </c>
      <c r="AC60" s="59">
        <f>C60*(($F60*($R60)))/453.59</f>
        <v>0.1353454162535469</v>
      </c>
      <c r="AD60" s="59">
        <f>C60*(($F60*($S60)))/453.59</f>
        <v>6.0672491516911217E-2</v>
      </c>
      <c r="AE60" s="63"/>
      <c r="AF60" s="59">
        <f t="shared" si="147"/>
        <v>0</v>
      </c>
      <c r="AG60" s="59">
        <f t="shared" si="148"/>
        <v>0</v>
      </c>
      <c r="AH60" s="59">
        <f t="shared" si="149"/>
        <v>0</v>
      </c>
      <c r="AI60" s="59">
        <f t="shared" si="150"/>
        <v>0</v>
      </c>
      <c r="AJ60" s="59">
        <f t="shared" si="151"/>
        <v>0</v>
      </c>
      <c r="AK60" s="59">
        <f t="shared" si="152"/>
        <v>0</v>
      </c>
      <c r="AL60" s="59">
        <f t="shared" si="153"/>
        <v>0</v>
      </c>
      <c r="AM60" s="59">
        <f t="shared" si="154"/>
        <v>0</v>
      </c>
      <c r="AN60" s="59">
        <f t="shared" si="155"/>
        <v>0</v>
      </c>
      <c r="AO60" s="59">
        <f t="shared" si="156"/>
        <v>0</v>
      </c>
      <c r="AP60" s="59">
        <f t="shared" si="157"/>
        <v>0</v>
      </c>
    </row>
    <row r="61" spans="1:42" x14ac:dyDescent="0.25">
      <c r="A61" s="88" t="s">
        <v>38</v>
      </c>
      <c r="B61" s="87"/>
      <c r="C61" s="166"/>
      <c r="D61" s="166"/>
      <c r="E61" s="87"/>
      <c r="F61" s="87"/>
      <c r="G61" s="154"/>
      <c r="H61" s="50"/>
      <c r="I61" s="50"/>
      <c r="J61" s="50"/>
      <c r="K61" s="155"/>
      <c r="L61" s="155"/>
      <c r="M61" s="155"/>
      <c r="N61" s="155"/>
      <c r="O61" s="155"/>
      <c r="P61" s="155"/>
      <c r="Q61" s="50"/>
      <c r="R61" s="155"/>
      <c r="S61" s="155"/>
      <c r="T61" s="94">
        <f>SUM(T57:T60)</f>
        <v>2.7461523151222673</v>
      </c>
      <c r="U61" s="94">
        <f t="shared" ref="U61" si="159">SUM(U57:U60)</f>
        <v>10.323518816881101</v>
      </c>
      <c r="V61" s="94">
        <f t="shared" ref="V61" si="160">SUM(V57:V60)</f>
        <v>0.65706538853013652</v>
      </c>
      <c r="W61" s="94">
        <f t="shared" ref="W61" si="161">SUM(W57:W60)</f>
        <v>2.7713884342268763E-2</v>
      </c>
      <c r="X61" s="94">
        <f t="shared" ref="X61" si="162">SUM(X57:X60)</f>
        <v>0.45792909162558348</v>
      </c>
      <c r="Y61" s="94">
        <f t="shared" ref="Y61" si="163">SUM(Y57:Y60)</f>
        <v>0.27752758697553281</v>
      </c>
      <c r="Z61" s="94">
        <f t="shared" ref="Z61" si="164">SUM(Z57:Z60)</f>
        <v>0.12755996932434266</v>
      </c>
      <c r="AA61" s="94">
        <f t="shared" ref="AA61" si="165">SUM(AA57:AA60)</f>
        <v>2.6787593558111958E-2</v>
      </c>
      <c r="AB61" s="94">
        <f t="shared" ref="AB61" si="166">SUM(AB57:AB60)</f>
        <v>4261.9697317525861</v>
      </c>
      <c r="AC61" s="94">
        <f t="shared" ref="AC61" si="167">SUM(AC57:AC60)</f>
        <v>0.24354173638153798</v>
      </c>
      <c r="AD61" s="94">
        <f t="shared" ref="AD61" si="168">SUM(AD57:AD60)</f>
        <v>0.10917461664857424</v>
      </c>
      <c r="AE61" s="69"/>
      <c r="AF61" s="94">
        <f t="shared" ref="AF61" si="169">SUM(AF57:AF60)</f>
        <v>2.9084772605128668E-2</v>
      </c>
      <c r="AG61" s="94">
        <f t="shared" ref="AG61" si="170">SUM(AG57:AG60)</f>
        <v>0.10058783917857872</v>
      </c>
      <c r="AH61" s="94">
        <f t="shared" ref="AH61" si="171">SUM(AH57:AH60)</f>
        <v>6.817932771430734E-3</v>
      </c>
      <c r="AI61" s="94">
        <f t="shared" ref="AI61" si="172">SUM(AI57:AI60)</f>
        <v>2.7719724891160115E-4</v>
      </c>
      <c r="AJ61" s="94">
        <f t="shared" ref="AJ61" si="173">SUM(AJ57:AJ60)</f>
        <v>5.0542805630708759E-3</v>
      </c>
      <c r="AK61" s="94">
        <f t="shared" ref="AK61" si="174">SUM(AK57:AK60)</f>
        <v>3.1775826039654328E-3</v>
      </c>
      <c r="AL61" s="94">
        <f t="shared" ref="AL61" si="175">SUM(AL57:AL60)</f>
        <v>1.4247467342995812E-3</v>
      </c>
      <c r="AM61" s="94">
        <f t="shared" ref="AM61" si="176">SUM(AM57:AM60)</f>
        <v>2.9919681420291207E-4</v>
      </c>
      <c r="AN61" s="94">
        <f t="shared" ref="AN61" si="177">SUM(AN57:AN60)</f>
        <v>41.65547911057881</v>
      </c>
      <c r="AO61" s="94">
        <f t="shared" ref="AO61" si="178">SUM(AO57:AO60)</f>
        <v>2.380319042815804E-3</v>
      </c>
      <c r="AP61" s="94">
        <f t="shared" ref="AP61" si="179">SUM(AP57:AP60)</f>
        <v>1.0670467528965865E-3</v>
      </c>
    </row>
    <row r="62" spans="1:42" x14ac:dyDescent="0.25">
      <c r="A62" s="159"/>
      <c r="B62" s="87"/>
      <c r="C62" s="166"/>
      <c r="D62" s="166"/>
      <c r="E62" s="87"/>
      <c r="F62" s="87"/>
      <c r="G62" s="154"/>
      <c r="H62" s="50"/>
      <c r="I62" s="50"/>
      <c r="J62" s="50"/>
      <c r="K62" s="155"/>
      <c r="L62" s="155"/>
      <c r="M62" s="155"/>
      <c r="N62" s="155"/>
      <c r="O62" s="155"/>
      <c r="P62" s="155"/>
      <c r="Q62" s="50"/>
      <c r="R62" s="155"/>
      <c r="S62" s="155"/>
      <c r="T62" s="74"/>
      <c r="U62" s="74"/>
      <c r="V62" s="74"/>
      <c r="W62" s="74"/>
      <c r="X62" s="74"/>
      <c r="Y62" s="74"/>
      <c r="Z62" s="75"/>
      <c r="AA62" s="75"/>
      <c r="AB62" s="75"/>
      <c r="AC62" s="75"/>
      <c r="AD62" s="75"/>
      <c r="AE62" s="52"/>
      <c r="AF62" s="74"/>
      <c r="AG62" s="74"/>
      <c r="AH62" s="74"/>
      <c r="AI62" s="74"/>
      <c r="AJ62" s="74"/>
      <c r="AK62" s="74"/>
      <c r="AL62" s="75"/>
      <c r="AM62" s="75"/>
      <c r="AN62" s="76"/>
      <c r="AO62" s="74"/>
      <c r="AP62" s="74"/>
    </row>
    <row r="63" spans="1:42" ht="26.4" x14ac:dyDescent="0.25">
      <c r="A63" s="177" t="s">
        <v>283</v>
      </c>
      <c r="B63" s="87"/>
      <c r="C63" s="166"/>
      <c r="D63" s="166"/>
      <c r="E63" s="87"/>
      <c r="F63" s="87"/>
      <c r="G63" s="566"/>
      <c r="H63" s="50"/>
      <c r="I63" s="50"/>
      <c r="J63" s="50"/>
      <c r="K63" s="568"/>
      <c r="L63" s="568"/>
      <c r="M63" s="568"/>
      <c r="N63" s="568"/>
      <c r="O63" s="568"/>
      <c r="P63" s="568"/>
      <c r="Q63" s="50"/>
      <c r="R63" s="568"/>
      <c r="S63" s="568"/>
      <c r="T63" s="74"/>
      <c r="U63" s="74"/>
      <c r="V63" s="74"/>
      <c r="W63" s="74"/>
      <c r="X63" s="74"/>
      <c r="Y63" s="74"/>
      <c r="Z63" s="75"/>
      <c r="AA63" s="75"/>
      <c r="AB63" s="75"/>
      <c r="AC63" s="75"/>
      <c r="AD63" s="75"/>
      <c r="AE63" s="52"/>
      <c r="AF63" s="74"/>
      <c r="AG63" s="74"/>
      <c r="AH63" s="74"/>
      <c r="AI63" s="74"/>
      <c r="AJ63" s="74"/>
      <c r="AK63" s="74"/>
      <c r="AL63" s="75"/>
      <c r="AM63" s="75"/>
      <c r="AN63" s="76"/>
      <c r="AO63" s="74"/>
      <c r="AP63" s="74"/>
    </row>
    <row r="64" spans="1:42" x14ac:dyDescent="0.25">
      <c r="A64" s="91" t="s">
        <v>114</v>
      </c>
      <c r="B64" s="89" t="s">
        <v>107</v>
      </c>
      <c r="C64" s="92">
        <v>2</v>
      </c>
      <c r="D64" s="90">
        <v>2018</v>
      </c>
      <c r="E64" s="90">
        <v>15</v>
      </c>
      <c r="F64" s="90">
        <v>60</v>
      </c>
      <c r="G64" s="145">
        <v>0.56875974610331004</v>
      </c>
      <c r="H64" s="145">
        <v>0.60613619912309102</v>
      </c>
      <c r="I64" s="145">
        <v>0.110002906126779</v>
      </c>
      <c r="J64" s="145">
        <v>3.18613688227605E-3</v>
      </c>
      <c r="K64" s="145">
        <v>9.0901627580601399E-2</v>
      </c>
      <c r="L64" s="56">
        <v>7.99995847163921E-3</v>
      </c>
      <c r="M64" s="56">
        <v>3.6749815577381599E-2</v>
      </c>
      <c r="N64" s="145">
        <v>8.3629500044256497E-2</v>
      </c>
      <c r="O64" s="56">
        <v>1.9999896145790402E-3</v>
      </c>
      <c r="P64" s="56">
        <v>1.57499200131354E-2</v>
      </c>
      <c r="Q64" s="145">
        <v>284.47755884310999</v>
      </c>
      <c r="R64" s="56">
        <f>0.000057143*Q64</f>
        <v>1.6255901144971833E-2</v>
      </c>
      <c r="S64" s="93">
        <f>0.000025616*Q64</f>
        <v>7.2871771473251058E-3</v>
      </c>
      <c r="T64" s="59">
        <f>C64*($F64*$G64)/453.59</f>
        <v>0.15046885851186578</v>
      </c>
      <c r="U64" s="59">
        <f>C64*($F64*$H64)/453.59</f>
        <v>0.16035702703933272</v>
      </c>
      <c r="V64" s="59">
        <f>C64*(($F64*$I64))/453.59</f>
        <v>2.9101939494286647E-2</v>
      </c>
      <c r="W64" s="59">
        <f>C64*($F64*$J64)/453.59</f>
        <v>8.429119378141626E-4</v>
      </c>
      <c r="X64" s="59">
        <f>C64*(($F64*($K64+$L64+$M64)))/453.59</f>
        <v>3.588740535627917E-2</v>
      </c>
      <c r="Y64" s="59">
        <f>C64*(($F64*($N64+$O64+$P64)))/453.59</f>
        <v>2.6820540930436104E-2</v>
      </c>
      <c r="Z64" s="59">
        <f>C64*(F64)*$B$220</f>
        <v>1.1774766399170092E-2</v>
      </c>
      <c r="AA64" s="59">
        <f>Z64*0.21</f>
        <v>2.4727009438257194E-3</v>
      </c>
      <c r="AB64" s="59">
        <f>C64*(($F64*($Q64)))/453.59</f>
        <v>75.260272627644341</v>
      </c>
      <c r="AC64" s="59">
        <f>C64*(($F64*($R64)))/453.59</f>
        <v>4.3005977587614805E-3</v>
      </c>
      <c r="AD64" s="59">
        <f>C64*(($F64*($S64)))/453.59</f>
        <v>1.9278671436297379E-3</v>
      </c>
      <c r="AE64" s="63">
        <f>2*22</f>
        <v>44</v>
      </c>
      <c r="AF64" s="59">
        <f t="shared" ref="AF64:AF66" si="180">T64*$AE64/2000</f>
        <v>3.3103148872610472E-3</v>
      </c>
      <c r="AG64" s="59">
        <f t="shared" ref="AG64:AG66" si="181">U64*$AE64/2000</f>
        <v>3.5278545948653197E-3</v>
      </c>
      <c r="AH64" s="59">
        <f t="shared" ref="AH64:AH66" si="182">V64*$AE64/2000</f>
        <v>6.4024266887430627E-4</v>
      </c>
      <c r="AI64" s="59">
        <f t="shared" ref="AI64:AI66" si="183">W64*$AE64/2000</f>
        <v>1.854406263191158E-5</v>
      </c>
      <c r="AJ64" s="59">
        <f t="shared" ref="AJ64:AJ66" si="184">X64*$AE64/2000</f>
        <v>7.8952291783814172E-4</v>
      </c>
      <c r="AK64" s="59">
        <f t="shared" ref="AK64:AK66" si="185">Y64*$AE64/2000</f>
        <v>5.9005190046959436E-4</v>
      </c>
      <c r="AL64" s="59">
        <f t="shared" ref="AL64:AL66" si="186">Z64*$AE64/2000</f>
        <v>2.5904486078174205E-4</v>
      </c>
      <c r="AM64" s="59">
        <f t="shared" ref="AM64:AM66" si="187">AA64*$AE64/2000</f>
        <v>5.4399420764165824E-5</v>
      </c>
      <c r="AN64" s="59">
        <f t="shared" ref="AN64:AN66" si="188">AB64*$AE64/2000</f>
        <v>1.6557259978081753</v>
      </c>
      <c r="AO64" s="59">
        <f t="shared" ref="AO64:AO66" si="189">AC64*$AE64/2000</f>
        <v>9.4613150692752571E-5</v>
      </c>
      <c r="AP64" s="59">
        <f t="shared" ref="AP64:AP66" si="190">AD64*$AE64/2000</f>
        <v>4.2413077159854232E-5</v>
      </c>
    </row>
    <row r="65" spans="1:42" x14ac:dyDescent="0.25">
      <c r="A65" s="91" t="s">
        <v>205</v>
      </c>
      <c r="B65" s="89" t="s">
        <v>128</v>
      </c>
      <c r="C65" s="90">
        <v>2</v>
      </c>
      <c r="D65" s="90">
        <v>2018</v>
      </c>
      <c r="E65" s="90">
        <v>35</v>
      </c>
      <c r="F65" s="90">
        <v>80</v>
      </c>
      <c r="G65" s="145">
        <v>0.97146929489637202</v>
      </c>
      <c r="H65" s="145">
        <v>3.4422916834835999</v>
      </c>
      <c r="I65" s="145">
        <v>0.23701153968834099</v>
      </c>
      <c r="J65" s="145">
        <v>1.0711818E-2</v>
      </c>
      <c r="K65" s="145">
        <v>6.1975092965986203E-2</v>
      </c>
      <c r="L65" s="567">
        <v>3.5999811999999999E-2</v>
      </c>
      <c r="M65" s="567">
        <v>6.1739677E-2</v>
      </c>
      <c r="N65" s="145">
        <v>5.7017085528707302E-2</v>
      </c>
      <c r="O65" s="567">
        <v>8.9999529999999998E-3</v>
      </c>
      <c r="P65" s="567">
        <v>2.6459862000000001E-2</v>
      </c>
      <c r="Q65" s="145">
        <v>1648.0324343581101</v>
      </c>
      <c r="R65" s="56">
        <f>0.000057143*Q65</f>
        <v>9.4173517396525477E-2</v>
      </c>
      <c r="S65" s="93">
        <f>0.000025616*Q65</f>
        <v>4.221599883851735E-2</v>
      </c>
      <c r="T65" s="59">
        <f>C65*($F65*$G65)/453.59</f>
        <v>0.34267749990833024</v>
      </c>
      <c r="U65" s="59">
        <f>C65*($F65*$H65)/453.59</f>
        <v>1.2142390029704713</v>
      </c>
      <c r="V65" s="59">
        <f>C65*(($F65*$I65))/453.59</f>
        <v>8.360379715190934E-2</v>
      </c>
      <c r="W65" s="59">
        <f>C65*($F65*$J65)/453.59</f>
        <v>3.7785023479353602E-3</v>
      </c>
      <c r="X65" s="59">
        <f>C65*(($F65*($K65+$L65+$M65)))/453.59</f>
        <v>5.6337955233928864E-2</v>
      </c>
      <c r="Y65" s="59">
        <f>C65*(($F65*($N65+$O65+$P65)))/453.59</f>
        <v>3.2620437144983729E-2</v>
      </c>
      <c r="Z65" s="59">
        <f>C65*(F65)*$B$220</f>
        <v>1.5699688532226787E-2</v>
      </c>
      <c r="AA65" s="59">
        <f>Z65*0.21</f>
        <v>3.296934591767625E-3</v>
      </c>
      <c r="AB65" s="59">
        <f>C65*(($F65*($Q65)))/453.59</f>
        <v>581.32937123238526</v>
      </c>
      <c r="AC65" s="59">
        <f>C65*(($F65*($R65)))/453.59</f>
        <v>3.3218904260332187E-2</v>
      </c>
      <c r="AD65" s="59">
        <f>C65*(($F65*($S65)))/453.59</f>
        <v>1.489133317348878E-2</v>
      </c>
      <c r="AE65" s="63">
        <f t="shared" ref="AE65" si="191">2*22</f>
        <v>44</v>
      </c>
      <c r="AF65" s="59">
        <f t="shared" si="180"/>
        <v>7.5389049979832654E-3</v>
      </c>
      <c r="AG65" s="59">
        <f t="shared" si="181"/>
        <v>2.6713258065350368E-2</v>
      </c>
      <c r="AH65" s="59">
        <f t="shared" si="182"/>
        <v>1.8392835373420055E-3</v>
      </c>
      <c r="AI65" s="59">
        <f t="shared" si="183"/>
        <v>8.3127051654577932E-5</v>
      </c>
      <c r="AJ65" s="59">
        <f t="shared" si="184"/>
        <v>1.239435015146435E-3</v>
      </c>
      <c r="AK65" s="59">
        <f t="shared" si="185"/>
        <v>7.1764961718964206E-4</v>
      </c>
      <c r="AL65" s="59">
        <f t="shared" si="186"/>
        <v>3.4539314770898935E-4</v>
      </c>
      <c r="AM65" s="59">
        <f t="shared" si="187"/>
        <v>7.2532561018887748E-5</v>
      </c>
      <c r="AN65" s="59">
        <f t="shared" si="188"/>
        <v>12.789246167112477</v>
      </c>
      <c r="AO65" s="59">
        <f t="shared" si="189"/>
        <v>7.308158937273082E-4</v>
      </c>
      <c r="AP65" s="59">
        <f t="shared" si="190"/>
        <v>3.2760932981675315E-4</v>
      </c>
    </row>
    <row r="66" spans="1:42" x14ac:dyDescent="0.25">
      <c r="A66" s="91" t="s">
        <v>154</v>
      </c>
      <c r="B66" s="89" t="s">
        <v>128</v>
      </c>
      <c r="C66" s="90">
        <v>3</v>
      </c>
      <c r="D66" s="90">
        <v>2018</v>
      </c>
      <c r="E66" s="90">
        <v>35</v>
      </c>
      <c r="F66" s="90">
        <v>160</v>
      </c>
      <c r="G66" s="145">
        <v>0.97146929489637202</v>
      </c>
      <c r="H66" s="145">
        <v>3.4422916834835999</v>
      </c>
      <c r="I66" s="145">
        <v>0.23701153968834099</v>
      </c>
      <c r="J66" s="145">
        <v>1.0711818E-2</v>
      </c>
      <c r="K66" s="145">
        <v>6.1975092965986203E-2</v>
      </c>
      <c r="L66" s="567">
        <v>3.5999811999999999E-2</v>
      </c>
      <c r="M66" s="567">
        <v>6.1739677E-2</v>
      </c>
      <c r="N66" s="145">
        <v>5.7017085528707302E-2</v>
      </c>
      <c r="O66" s="567">
        <v>8.9999529999999998E-3</v>
      </c>
      <c r="P66" s="567">
        <v>2.6459862000000001E-2</v>
      </c>
      <c r="Q66" s="145">
        <v>1648.0324343581101</v>
      </c>
      <c r="R66" s="56">
        <f>0.000057143*Q66</f>
        <v>9.4173517396525477E-2</v>
      </c>
      <c r="S66" s="93">
        <f>0.000025616*Q66</f>
        <v>4.221599883851735E-2</v>
      </c>
      <c r="T66" s="59">
        <f>C66*($F66*$G66)/453.59</f>
        <v>1.0280324997249908</v>
      </c>
      <c r="U66" s="59">
        <f>C66*($F66*$H66)/453.59</f>
        <v>3.6427170089114136</v>
      </c>
      <c r="V66" s="59">
        <f>C66*(($F66*$I66))/453.59</f>
        <v>0.25081139145572806</v>
      </c>
      <c r="W66" s="59">
        <f>C66*($F66*$J66)/453.59</f>
        <v>1.133550704380608E-2</v>
      </c>
      <c r="X66" s="59">
        <f>C66*(($F66*($K66+$L66+$M66)))/453.59</f>
        <v>0.16901386570178659</v>
      </c>
      <c r="Y66" s="59">
        <f>C66*(($F66*($N66+$O66+$P66)))/453.59</f>
        <v>9.7861311434951179E-2</v>
      </c>
      <c r="Z66" s="59">
        <f>C66*(F66)*$B$220</f>
        <v>4.7099065596680367E-2</v>
      </c>
      <c r="AA66" s="59">
        <f>Z66*0.21</f>
        <v>9.8908037753028775E-3</v>
      </c>
      <c r="AB66" s="59">
        <f>C66*(($F66*($Q66)))/453.59</f>
        <v>1743.9881136971558</v>
      </c>
      <c r="AC66" s="59">
        <f>C66*(($F66*($R66)))/453.59</f>
        <v>9.9656712780996567E-2</v>
      </c>
      <c r="AD66" s="59">
        <f>C66*(($F66*($S66)))/453.59</f>
        <v>4.4673999520466343E-2</v>
      </c>
      <c r="AE66" s="63"/>
      <c r="AF66" s="59">
        <f t="shared" si="180"/>
        <v>0</v>
      </c>
      <c r="AG66" s="59">
        <f t="shared" si="181"/>
        <v>0</v>
      </c>
      <c r="AH66" s="59">
        <f t="shared" si="182"/>
        <v>0</v>
      </c>
      <c r="AI66" s="59">
        <f t="shared" si="183"/>
        <v>0</v>
      </c>
      <c r="AJ66" s="59">
        <f t="shared" si="184"/>
        <v>0</v>
      </c>
      <c r="AK66" s="59">
        <f t="shared" si="185"/>
        <v>0</v>
      </c>
      <c r="AL66" s="59">
        <f t="shared" si="186"/>
        <v>0</v>
      </c>
      <c r="AM66" s="59">
        <f t="shared" si="187"/>
        <v>0</v>
      </c>
      <c r="AN66" s="59">
        <f t="shared" si="188"/>
        <v>0</v>
      </c>
      <c r="AO66" s="59">
        <f t="shared" si="189"/>
        <v>0</v>
      </c>
      <c r="AP66" s="59">
        <f t="shared" si="190"/>
        <v>0</v>
      </c>
    </row>
    <row r="67" spans="1:42" x14ac:dyDescent="0.25">
      <c r="A67" s="88" t="s">
        <v>38</v>
      </c>
      <c r="B67" s="87"/>
      <c r="C67" s="166"/>
      <c r="D67" s="166"/>
      <c r="E67" s="87"/>
      <c r="F67" s="87"/>
      <c r="G67" s="566"/>
      <c r="H67" s="50"/>
      <c r="I67" s="50"/>
      <c r="J67" s="50"/>
      <c r="K67" s="568"/>
      <c r="L67" s="568"/>
      <c r="M67" s="568"/>
      <c r="N67" s="568"/>
      <c r="O67" s="568"/>
      <c r="P67" s="568"/>
      <c r="Q67" s="50"/>
      <c r="R67" s="568"/>
      <c r="S67" s="568"/>
      <c r="T67" s="94">
        <f t="shared" ref="T67:AD67" si="192">SUM(T64:T66)</f>
        <v>1.5211788581451868</v>
      </c>
      <c r="U67" s="94">
        <f t="shared" si="192"/>
        <v>5.0173130389212179</v>
      </c>
      <c r="V67" s="94">
        <f t="shared" si="192"/>
        <v>0.36351712810192405</v>
      </c>
      <c r="W67" s="94">
        <f t="shared" si="192"/>
        <v>1.5956921329555604E-2</v>
      </c>
      <c r="X67" s="94">
        <f t="shared" si="192"/>
        <v>0.26123922629199459</v>
      </c>
      <c r="Y67" s="94">
        <f t="shared" si="192"/>
        <v>0.15730228951037101</v>
      </c>
      <c r="Z67" s="94">
        <f t="shared" si="192"/>
        <v>7.4573520528077253E-2</v>
      </c>
      <c r="AA67" s="94">
        <f t="shared" si="192"/>
        <v>1.5660439310896224E-2</v>
      </c>
      <c r="AB67" s="94">
        <f t="shared" si="192"/>
        <v>2400.5777575571856</v>
      </c>
      <c r="AC67" s="94">
        <f t="shared" si="192"/>
        <v>0.13717621480009023</v>
      </c>
      <c r="AD67" s="94">
        <f t="shared" si="192"/>
        <v>6.1493199837584861E-2</v>
      </c>
      <c r="AE67" s="69"/>
      <c r="AF67" s="94">
        <f t="shared" ref="AF67:AP67" si="193">SUM(AF64:AF66)</f>
        <v>1.0849219885244312E-2</v>
      </c>
      <c r="AG67" s="94">
        <f t="shared" si="193"/>
        <v>3.0241112660215688E-2</v>
      </c>
      <c r="AH67" s="94">
        <f t="shared" si="193"/>
        <v>2.4795262062163115E-3</v>
      </c>
      <c r="AI67" s="94">
        <f t="shared" si="193"/>
        <v>1.0167111428648952E-4</v>
      </c>
      <c r="AJ67" s="94">
        <f t="shared" si="193"/>
        <v>2.0289579329845768E-3</v>
      </c>
      <c r="AK67" s="94">
        <f t="shared" si="193"/>
        <v>1.3077015176592363E-3</v>
      </c>
      <c r="AL67" s="94">
        <f t="shared" si="193"/>
        <v>6.0443800849073145E-4</v>
      </c>
      <c r="AM67" s="94">
        <f t="shared" si="193"/>
        <v>1.2693198178305356E-4</v>
      </c>
      <c r="AN67" s="94">
        <f t="shared" si="193"/>
        <v>14.444972164920653</v>
      </c>
      <c r="AO67" s="94">
        <f t="shared" si="193"/>
        <v>8.2542904442006076E-4</v>
      </c>
      <c r="AP67" s="94">
        <f t="shared" si="193"/>
        <v>3.7002240697660738E-4</v>
      </c>
    </row>
    <row r="68" spans="1:42" x14ac:dyDescent="0.25">
      <c r="A68" s="569"/>
      <c r="B68" s="87"/>
      <c r="C68" s="166"/>
      <c r="D68" s="166"/>
      <c r="E68" s="87"/>
      <c r="F68" s="87"/>
      <c r="G68" s="566"/>
      <c r="H68" s="50"/>
      <c r="I68" s="50"/>
      <c r="J68" s="50"/>
      <c r="K68" s="568"/>
      <c r="L68" s="568"/>
      <c r="M68" s="568"/>
      <c r="N68" s="568"/>
      <c r="O68" s="568"/>
      <c r="P68" s="568"/>
      <c r="Q68" s="50"/>
      <c r="R68" s="568"/>
      <c r="S68" s="568"/>
      <c r="T68" s="74"/>
      <c r="U68" s="74"/>
      <c r="V68" s="74"/>
      <c r="W68" s="74"/>
      <c r="X68" s="74"/>
      <c r="Y68" s="74"/>
      <c r="Z68" s="75"/>
      <c r="AA68" s="75"/>
      <c r="AB68" s="75"/>
      <c r="AC68" s="75"/>
      <c r="AD68" s="75"/>
      <c r="AE68" s="52"/>
      <c r="AF68" s="74"/>
      <c r="AG68" s="74"/>
      <c r="AH68" s="74"/>
      <c r="AI68" s="74"/>
      <c r="AJ68" s="74"/>
      <c r="AK68" s="74"/>
      <c r="AL68" s="75"/>
      <c r="AM68" s="75"/>
      <c r="AN68" s="76"/>
      <c r="AO68" s="74"/>
      <c r="AP68" s="74"/>
    </row>
    <row r="69" spans="1:42" x14ac:dyDescent="0.25">
      <c r="A69" s="177" t="s">
        <v>280</v>
      </c>
      <c r="B69" s="87"/>
      <c r="C69" s="166"/>
      <c r="D69" s="166"/>
      <c r="E69" s="87"/>
      <c r="F69" s="87"/>
      <c r="G69" s="154"/>
      <c r="H69" s="50"/>
      <c r="I69" s="50"/>
      <c r="J69" s="50"/>
      <c r="K69" s="155"/>
      <c r="L69" s="155"/>
      <c r="M69" s="155"/>
      <c r="N69" s="155"/>
      <c r="O69" s="155"/>
      <c r="P69" s="155"/>
      <c r="Q69" s="50"/>
      <c r="R69" s="155"/>
      <c r="S69" s="155"/>
      <c r="T69" s="74"/>
      <c r="U69" s="74"/>
      <c r="V69" s="74"/>
      <c r="W69" s="74"/>
      <c r="X69" s="74"/>
      <c r="Y69" s="74"/>
      <c r="Z69" s="75"/>
      <c r="AA69" s="75"/>
      <c r="AB69" s="75"/>
      <c r="AC69" s="75"/>
      <c r="AD69" s="75"/>
      <c r="AE69" s="52"/>
      <c r="AF69" s="74"/>
      <c r="AG69" s="74"/>
      <c r="AH69" s="74"/>
      <c r="AI69" s="74"/>
      <c r="AJ69" s="74"/>
      <c r="AK69" s="74"/>
      <c r="AL69" s="75"/>
      <c r="AM69" s="75"/>
      <c r="AN69" s="76"/>
      <c r="AO69" s="74"/>
      <c r="AP69" s="74"/>
    </row>
    <row r="70" spans="1:42" x14ac:dyDescent="0.25">
      <c r="A70" s="91" t="s">
        <v>114</v>
      </c>
      <c r="B70" s="89" t="s">
        <v>107</v>
      </c>
      <c r="C70" s="92">
        <v>3</v>
      </c>
      <c r="D70" s="90">
        <v>2015</v>
      </c>
      <c r="E70" s="90">
        <v>15</v>
      </c>
      <c r="F70" s="90">
        <v>60</v>
      </c>
      <c r="G70" s="145">
        <v>0.83610719342181306</v>
      </c>
      <c r="H70" s="145">
        <v>0.79560737551603999</v>
      </c>
      <c r="I70" s="145">
        <v>0.165670507085864</v>
      </c>
      <c r="J70" s="145">
        <v>3.18613688227605E-3</v>
      </c>
      <c r="K70" s="145">
        <v>0.138831589940137</v>
      </c>
      <c r="L70" s="56">
        <v>7.99995847163921E-3</v>
      </c>
      <c r="M70" s="56">
        <v>3.6749815577381599E-2</v>
      </c>
      <c r="N70" s="145">
        <v>0.127725080361664</v>
      </c>
      <c r="O70" s="56">
        <v>1.9999896145790402E-3</v>
      </c>
      <c r="P70" s="56">
        <v>1.57499200131354E-2</v>
      </c>
      <c r="Q70" s="145">
        <v>320.029950432367</v>
      </c>
      <c r="R70" s="56">
        <f>0.000057143*Q70</f>
        <v>1.8287471457556746E-2</v>
      </c>
      <c r="S70" s="93">
        <f>0.000025616*Q70</f>
        <v>8.1978872102755132E-3</v>
      </c>
      <c r="T70" s="59">
        <f>C70*($F70*$G70)/453.59</f>
        <v>0.33179588354224376</v>
      </c>
      <c r="U70" s="59">
        <f>C70*($F70*$H70)/453.59</f>
        <v>0.31572417291582094</v>
      </c>
      <c r="V70" s="59">
        <f>C70*(($F70*$I70))/453.59</f>
        <v>6.5743714093025693E-2</v>
      </c>
      <c r="W70" s="59">
        <f>C70*($F70*$J70)/453.59</f>
        <v>1.2643679067212438E-3</v>
      </c>
      <c r="X70" s="59">
        <f>C70*(($F70*($K70+$L70+$M70)))/453.59</f>
        <v>7.2851353685152692E-2</v>
      </c>
      <c r="Y70" s="59">
        <f>C70*(($F70*($N70+$O70+$P70)))/453.59</f>
        <v>5.772944332566441E-2</v>
      </c>
      <c r="Z70" s="59">
        <f>C70*(F70)*$B$220</f>
        <v>1.7662149598755138E-2</v>
      </c>
      <c r="AA70" s="59">
        <f>Z70*0.21</f>
        <v>3.7090514157385786E-3</v>
      </c>
      <c r="AB70" s="59">
        <f>C70*(($F70*($Q70)))/453.59</f>
        <v>126.99881187377602</v>
      </c>
      <c r="AC70" s="59">
        <f>C70*(($F70*($R70)))/453.59</f>
        <v>7.2570931069031817E-3</v>
      </c>
      <c r="AD70" s="59">
        <f>C70*(($F70*($S70)))/453.59</f>
        <v>3.2532015649586465E-3</v>
      </c>
      <c r="AE70" s="63">
        <f>6*22</f>
        <v>132</v>
      </c>
      <c r="AF70" s="59">
        <f t="shared" ref="AF70:AF73" si="194">T70*$AE70/2000</f>
        <v>2.1898528313788086E-2</v>
      </c>
      <c r="AG70" s="59">
        <f t="shared" ref="AG70:AG73" si="195">U70*$AE70/2000</f>
        <v>2.0837795412444182E-2</v>
      </c>
      <c r="AH70" s="59">
        <f t="shared" ref="AH70:AH73" si="196">V70*$AE70/2000</f>
        <v>4.3390851301396954E-3</v>
      </c>
      <c r="AI70" s="59">
        <f t="shared" ref="AI70:AI73" si="197">W70*$AE70/2000</f>
        <v>8.3448281843602091E-5</v>
      </c>
      <c r="AJ70" s="59">
        <f t="shared" ref="AJ70:AJ73" si="198">X70*$AE70/2000</f>
        <v>4.8081893432200774E-3</v>
      </c>
      <c r="AK70" s="59">
        <f t="shared" ref="AK70:AK73" si="199">Y70*$AE70/2000</f>
        <v>3.8101432594938511E-3</v>
      </c>
      <c r="AL70" s="59">
        <f t="shared" ref="AL70:AL73" si="200">Z70*$AE70/2000</f>
        <v>1.1657018735178391E-3</v>
      </c>
      <c r="AM70" s="59">
        <f t="shared" ref="AM70:AM73" si="201">AA70*$AE70/2000</f>
        <v>2.447973934387462E-4</v>
      </c>
      <c r="AN70" s="59">
        <f t="shared" ref="AN70:AN73" si="202">AB70*$AE70/2000</f>
        <v>8.3819215836692162</v>
      </c>
      <c r="AO70" s="59">
        <f t="shared" ref="AO70:AO73" si="203">AC70*$AE70/2000</f>
        <v>4.7896814505560997E-4</v>
      </c>
      <c r="AP70" s="59">
        <f t="shared" ref="AP70:AP73" si="204">AD70*$AE70/2000</f>
        <v>2.1471130328727068E-4</v>
      </c>
    </row>
    <row r="71" spans="1:42" x14ac:dyDescent="0.25">
      <c r="A71" s="91" t="s">
        <v>205</v>
      </c>
      <c r="B71" s="89" t="s">
        <v>128</v>
      </c>
      <c r="C71" s="90">
        <v>4</v>
      </c>
      <c r="D71" s="90">
        <v>2015</v>
      </c>
      <c r="E71" s="90">
        <v>35</v>
      </c>
      <c r="F71" s="90">
        <v>80</v>
      </c>
      <c r="G71" s="145">
        <v>1.1475010375994501</v>
      </c>
      <c r="H71" s="145">
        <v>6.1597902567033698</v>
      </c>
      <c r="I71" s="145">
        <v>0.27527412390358202</v>
      </c>
      <c r="J71" s="145">
        <v>1.0711818E-2</v>
      </c>
      <c r="K71" s="145">
        <v>7.9574350742464495E-2</v>
      </c>
      <c r="L71" s="567">
        <v>3.5999811999999999E-2</v>
      </c>
      <c r="M71" s="567">
        <v>6.1739677E-2</v>
      </c>
      <c r="N71" s="145">
        <v>7.32084026830674E-2</v>
      </c>
      <c r="O71" s="567">
        <v>8.9999529999999998E-3</v>
      </c>
      <c r="P71" s="567">
        <v>2.6459862000000001E-2</v>
      </c>
      <c r="Q71" s="145">
        <v>1735.6021746639301</v>
      </c>
      <c r="R71" s="56">
        <f>0.000057143*Q71</f>
        <v>9.9177515066820959E-2</v>
      </c>
      <c r="S71" s="93">
        <f>0.000025616*Q71</f>
        <v>4.445918530619123E-2</v>
      </c>
      <c r="T71" s="59">
        <f>C71*($F71*$G71)/453.59</f>
        <v>0.80954238857078864</v>
      </c>
      <c r="U71" s="59">
        <f>C71*($F71*$H71)/453.59</f>
        <v>4.3456268483544136</v>
      </c>
      <c r="V71" s="59">
        <f>C71*(($F71*$I71))/453.59</f>
        <v>0.19420119413820025</v>
      </c>
      <c r="W71" s="59">
        <f>C71*($F71*$J71)/453.59</f>
        <v>7.5570046958707204E-3</v>
      </c>
      <c r="X71" s="59">
        <f>C71*(($F71*($K71+$L71+$M71)))/453.59</f>
        <v>0.12509188632374751</v>
      </c>
      <c r="Y71" s="59">
        <f>C71*(($F71*($N71+$O71+$P71)))/453.59</f>
        <v>7.6663572077386125E-2</v>
      </c>
      <c r="Z71" s="59">
        <f>C71*(F71)*$B$220</f>
        <v>3.1399377064453574E-2</v>
      </c>
      <c r="AA71" s="59">
        <f>Z71*0.21</f>
        <v>6.59386918353525E-3</v>
      </c>
      <c r="AB71" s="59">
        <f>C71*(($F71*($Q71)))/453.59</f>
        <v>1224.437699006719</v>
      </c>
      <c r="AC71" s="59">
        <f>C71*(($F71*($R71)))/453.59</f>
        <v>6.9968043434340946E-2</v>
      </c>
      <c r="AD71" s="59">
        <f>C71*(($F71*($S71)))/453.59</f>
        <v>3.1365196097756114E-2</v>
      </c>
      <c r="AE71" s="63">
        <f t="shared" ref="AE71:AE72" si="205">6*22</f>
        <v>132</v>
      </c>
      <c r="AF71" s="59">
        <f t="shared" si="194"/>
        <v>5.3429797645672052E-2</v>
      </c>
      <c r="AG71" s="59">
        <f t="shared" si="195"/>
        <v>0.28681137199139128</v>
      </c>
      <c r="AH71" s="59">
        <f t="shared" si="196"/>
        <v>1.2817278813121216E-2</v>
      </c>
      <c r="AI71" s="59">
        <f t="shared" si="197"/>
        <v>4.9876230992746751E-4</v>
      </c>
      <c r="AJ71" s="59">
        <f t="shared" si="198"/>
        <v>8.2560644973673353E-3</v>
      </c>
      <c r="AK71" s="59">
        <f t="shared" si="199"/>
        <v>5.059795757107485E-3</v>
      </c>
      <c r="AL71" s="59">
        <f t="shared" si="200"/>
        <v>2.072358886253936E-3</v>
      </c>
      <c r="AM71" s="59">
        <f t="shared" si="201"/>
        <v>4.3519536611332649E-4</v>
      </c>
      <c r="AN71" s="59">
        <f t="shared" si="202"/>
        <v>80.812888134443455</v>
      </c>
      <c r="AO71" s="59">
        <f t="shared" si="203"/>
        <v>4.6178908666665019E-3</v>
      </c>
      <c r="AP71" s="59">
        <f t="shared" si="204"/>
        <v>2.0701029424519037E-3</v>
      </c>
    </row>
    <row r="72" spans="1:42" x14ac:dyDescent="0.25">
      <c r="A72" s="91" t="s">
        <v>157</v>
      </c>
      <c r="B72" s="89" t="s">
        <v>128</v>
      </c>
      <c r="C72" s="90">
        <v>2</v>
      </c>
      <c r="D72" s="90">
        <v>2015</v>
      </c>
      <c r="E72" s="90">
        <v>35</v>
      </c>
      <c r="F72" s="90">
        <v>80</v>
      </c>
      <c r="G72" s="145">
        <v>1.1475010375994501</v>
      </c>
      <c r="H72" s="145">
        <v>6.1597902567033698</v>
      </c>
      <c r="I72" s="145">
        <v>0.27527412390358202</v>
      </c>
      <c r="J72" s="145">
        <v>1.0711818E-2</v>
      </c>
      <c r="K72" s="145">
        <v>7.9574350742464495E-2</v>
      </c>
      <c r="L72" s="567">
        <v>3.5999811999999999E-2</v>
      </c>
      <c r="M72" s="567">
        <v>6.1739677E-2</v>
      </c>
      <c r="N72" s="145">
        <v>7.32084026830674E-2</v>
      </c>
      <c r="O72" s="567">
        <v>8.9999529999999998E-3</v>
      </c>
      <c r="P72" s="567">
        <v>2.6459862000000001E-2</v>
      </c>
      <c r="Q72" s="145">
        <v>1735.6021746639301</v>
      </c>
      <c r="R72" s="56">
        <f>0.000057143*Q72</f>
        <v>9.9177515066820959E-2</v>
      </c>
      <c r="S72" s="93">
        <f>0.000025616*Q72</f>
        <v>4.445918530619123E-2</v>
      </c>
      <c r="T72" s="59">
        <f>C72*($F72*$G72)/453.59</f>
        <v>0.40477119428539432</v>
      </c>
      <c r="U72" s="59">
        <f>C72*($F72*$H72)/453.59</f>
        <v>2.1728134241772068</v>
      </c>
      <c r="V72" s="59">
        <f>C72*(($F72*$I72))/453.59</f>
        <v>9.7100597069100125E-2</v>
      </c>
      <c r="W72" s="59">
        <f>C72*($F72*$J72)/453.59</f>
        <v>3.7785023479353602E-3</v>
      </c>
      <c r="X72" s="59">
        <f>C72*(($F72*($K72+$L72+$M72)))/453.59</f>
        <v>6.2545943161873757E-2</v>
      </c>
      <c r="Y72" s="59">
        <f>C72*(($F72*($N72+$O72+$P72)))/453.59</f>
        <v>3.8331786038693062E-2</v>
      </c>
      <c r="Z72" s="59">
        <f>C72*(F72)*$B$220</f>
        <v>1.5699688532226787E-2</v>
      </c>
      <c r="AA72" s="59">
        <f>Z72*0.21</f>
        <v>3.296934591767625E-3</v>
      </c>
      <c r="AB72" s="59">
        <f>C72*(($F72*($Q72)))/453.59</f>
        <v>612.21884950335948</v>
      </c>
      <c r="AC72" s="59">
        <f>C72*(($F72*($R72)))/453.59</f>
        <v>3.4984021717170473E-2</v>
      </c>
      <c r="AD72" s="59">
        <f>C72*(($F72*($S72)))/453.59</f>
        <v>1.5682598048878057E-2</v>
      </c>
      <c r="AE72" s="63">
        <f t="shared" si="205"/>
        <v>132</v>
      </c>
      <c r="AF72" s="59">
        <f t="shared" si="194"/>
        <v>2.6714898822836026E-2</v>
      </c>
      <c r="AG72" s="59">
        <f t="shared" si="195"/>
        <v>0.14340568599569564</v>
      </c>
      <c r="AH72" s="59">
        <f t="shared" si="196"/>
        <v>6.4086394065606079E-3</v>
      </c>
      <c r="AI72" s="59">
        <f t="shared" si="197"/>
        <v>2.4938115496373376E-4</v>
      </c>
      <c r="AJ72" s="59">
        <f t="shared" si="198"/>
        <v>4.1280322486836676E-3</v>
      </c>
      <c r="AK72" s="59">
        <f t="shared" si="199"/>
        <v>2.5298978785537425E-3</v>
      </c>
      <c r="AL72" s="59">
        <f t="shared" si="200"/>
        <v>1.036179443126968E-3</v>
      </c>
      <c r="AM72" s="59">
        <f t="shared" si="201"/>
        <v>2.1759768305666324E-4</v>
      </c>
      <c r="AN72" s="59">
        <f t="shared" si="202"/>
        <v>40.406444067221727</v>
      </c>
      <c r="AO72" s="59">
        <f t="shared" si="203"/>
        <v>2.308945433333251E-3</v>
      </c>
      <c r="AP72" s="59">
        <f t="shared" si="204"/>
        <v>1.0350514712259519E-3</v>
      </c>
    </row>
    <row r="73" spans="1:42" x14ac:dyDescent="0.25">
      <c r="A73" s="91" t="s">
        <v>154</v>
      </c>
      <c r="B73" s="89" t="s">
        <v>128</v>
      </c>
      <c r="C73" s="90">
        <v>4</v>
      </c>
      <c r="D73" s="90">
        <v>2015</v>
      </c>
      <c r="E73" s="90">
        <v>35</v>
      </c>
      <c r="F73" s="90">
        <v>160</v>
      </c>
      <c r="G73" s="145">
        <v>1.1475010375994501</v>
      </c>
      <c r="H73" s="145">
        <v>6.1597902567033698</v>
      </c>
      <c r="I73" s="145">
        <v>0.27527412390358202</v>
      </c>
      <c r="J73" s="145">
        <v>1.0711818E-2</v>
      </c>
      <c r="K73" s="145">
        <v>7.9574350742464495E-2</v>
      </c>
      <c r="L73" s="567">
        <v>3.5999811999999999E-2</v>
      </c>
      <c r="M73" s="567">
        <v>6.1739677E-2</v>
      </c>
      <c r="N73" s="145">
        <v>7.32084026830674E-2</v>
      </c>
      <c r="O73" s="567">
        <v>8.9999529999999998E-3</v>
      </c>
      <c r="P73" s="567">
        <v>2.6459862000000001E-2</v>
      </c>
      <c r="Q73" s="145">
        <v>1735.6021746639301</v>
      </c>
      <c r="R73" s="56">
        <f>0.000057143*Q73</f>
        <v>9.9177515066820959E-2</v>
      </c>
      <c r="S73" s="93">
        <f>0.000025616*Q73</f>
        <v>4.445918530619123E-2</v>
      </c>
      <c r="T73" s="59">
        <f>C73*($F73*$G73)/453.59</f>
        <v>1.6190847771415773</v>
      </c>
      <c r="U73" s="59">
        <f>C73*($F73*$H73)/453.59</f>
        <v>8.6912536967088272</v>
      </c>
      <c r="V73" s="59">
        <f>C73*(($F73*$I73))/453.59</f>
        <v>0.3884023882764005</v>
      </c>
      <c r="W73" s="59">
        <f>C73*($F73*$J73)/453.59</f>
        <v>1.5114009391741441E-2</v>
      </c>
      <c r="X73" s="59">
        <f>C73*(($F73*($K73+$L73+$M73)))/453.59</f>
        <v>0.25018377264749503</v>
      </c>
      <c r="Y73" s="59">
        <f>C73*(($F73*($N73+$O73+$P73)))/453.59</f>
        <v>0.15332714415477225</v>
      </c>
      <c r="Z73" s="59">
        <f>C73*(F73)*$B$220</f>
        <v>6.2798754128907147E-2</v>
      </c>
      <c r="AA73" s="59">
        <f>Z73*0.21</f>
        <v>1.31877383670705E-2</v>
      </c>
      <c r="AB73" s="59">
        <f>C73*(($F73*($Q73)))/453.59</f>
        <v>2448.8753980134379</v>
      </c>
      <c r="AC73" s="59">
        <f>C73*(($F73*($R73)))/453.59</f>
        <v>0.13993608686868189</v>
      </c>
      <c r="AD73" s="59">
        <f>C73*(($F73*($S73)))/453.59</f>
        <v>6.2730392195512227E-2</v>
      </c>
      <c r="AE73" s="63"/>
      <c r="AF73" s="59">
        <f t="shared" si="194"/>
        <v>0</v>
      </c>
      <c r="AG73" s="59">
        <f t="shared" si="195"/>
        <v>0</v>
      </c>
      <c r="AH73" s="59">
        <f t="shared" si="196"/>
        <v>0</v>
      </c>
      <c r="AI73" s="59">
        <f t="shared" si="197"/>
        <v>0</v>
      </c>
      <c r="AJ73" s="59">
        <f t="shared" si="198"/>
        <v>0</v>
      </c>
      <c r="AK73" s="59">
        <f t="shared" si="199"/>
        <v>0</v>
      </c>
      <c r="AL73" s="59">
        <f t="shared" si="200"/>
        <v>0</v>
      </c>
      <c r="AM73" s="59">
        <f t="shared" si="201"/>
        <v>0</v>
      </c>
      <c r="AN73" s="59">
        <f t="shared" si="202"/>
        <v>0</v>
      </c>
      <c r="AO73" s="59">
        <f t="shared" si="203"/>
        <v>0</v>
      </c>
      <c r="AP73" s="59">
        <f t="shared" si="204"/>
        <v>0</v>
      </c>
    </row>
    <row r="74" spans="1:42" x14ac:dyDescent="0.25">
      <c r="A74" s="88" t="s">
        <v>38</v>
      </c>
      <c r="B74" s="87"/>
      <c r="C74" s="166"/>
      <c r="D74" s="166"/>
      <c r="E74" s="87"/>
      <c r="F74" s="87"/>
      <c r="G74" s="154"/>
      <c r="H74" s="50"/>
      <c r="I74" s="50"/>
      <c r="J74" s="50"/>
      <c r="K74" s="155"/>
      <c r="L74" s="155"/>
      <c r="M74" s="155"/>
      <c r="N74" s="155"/>
      <c r="O74" s="155"/>
      <c r="P74" s="155"/>
      <c r="Q74" s="50"/>
      <c r="R74" s="155"/>
      <c r="S74" s="155"/>
      <c r="T74" s="94">
        <f>SUM(T70:T73)</f>
        <v>3.1651942435400038</v>
      </c>
      <c r="U74" s="94">
        <f t="shared" ref="U74" si="206">SUM(U70:U73)</f>
        <v>15.525418142156269</v>
      </c>
      <c r="V74" s="94">
        <f t="shared" ref="V74" si="207">SUM(V70:V73)</f>
        <v>0.74544789357672658</v>
      </c>
      <c r="W74" s="94">
        <f t="shared" ref="W74" si="208">SUM(W70:W73)</f>
        <v>2.7713884342268763E-2</v>
      </c>
      <c r="X74" s="94">
        <f t="shared" ref="X74" si="209">SUM(X70:X73)</f>
        <v>0.51067295581826899</v>
      </c>
      <c r="Y74" s="94">
        <f t="shared" ref="Y74" si="210">SUM(Y70:Y73)</f>
        <v>0.32605194559651585</v>
      </c>
      <c r="Z74" s="94">
        <f t="shared" ref="Z74" si="211">SUM(Z70:Z73)</f>
        <v>0.12755996932434266</v>
      </c>
      <c r="AA74" s="94">
        <f t="shared" ref="AA74" si="212">SUM(AA70:AA73)</f>
        <v>2.6787593558111954E-2</v>
      </c>
      <c r="AB74" s="94">
        <f t="shared" ref="AB74" si="213">SUM(AB70:AB73)</f>
        <v>4412.5307583972926</v>
      </c>
      <c r="AC74" s="94">
        <f t="shared" ref="AC74" si="214">SUM(AC70:AC73)</f>
        <v>0.25214524512709646</v>
      </c>
      <c r="AD74" s="94">
        <f t="shared" ref="AD74" si="215">SUM(AD70:AD73)</f>
        <v>0.11303138790710504</v>
      </c>
      <c r="AE74" s="69"/>
      <c r="AF74" s="94">
        <f t="shared" ref="AF74" si="216">SUM(AF70:AF73)</f>
        <v>0.10204322478229616</v>
      </c>
      <c r="AG74" s="94">
        <f t="shared" ref="AG74" si="217">SUM(AG70:AG73)</f>
        <v>0.45105485339953111</v>
      </c>
      <c r="AH74" s="94">
        <f t="shared" ref="AH74" si="218">SUM(AH70:AH73)</f>
        <v>2.356500334982152E-2</v>
      </c>
      <c r="AI74" s="94">
        <f t="shared" ref="AI74" si="219">SUM(AI70:AI73)</f>
        <v>8.3159174673480335E-4</v>
      </c>
      <c r="AJ74" s="94">
        <f t="shared" ref="AJ74" si="220">SUM(AJ70:AJ73)</f>
        <v>1.7192286089271081E-2</v>
      </c>
      <c r="AK74" s="94">
        <f t="shared" ref="AK74" si="221">SUM(AK70:AK73)</f>
        <v>1.1399836895155079E-2</v>
      </c>
      <c r="AL74" s="94">
        <f t="shared" ref="AL74" si="222">SUM(AL70:AL73)</f>
        <v>4.2742402028987433E-3</v>
      </c>
      <c r="AM74" s="94">
        <f t="shared" ref="AM74" si="223">SUM(AM70:AM73)</f>
        <v>8.9759044260873588E-4</v>
      </c>
      <c r="AN74" s="94">
        <f t="shared" ref="AN74" si="224">SUM(AN70:AN73)</f>
        <v>129.60125378533439</v>
      </c>
      <c r="AO74" s="94">
        <f t="shared" ref="AO74" si="225">SUM(AO70:AO73)</f>
        <v>7.4058044450553626E-3</v>
      </c>
      <c r="AP74" s="94">
        <f t="shared" ref="AP74" si="226">SUM(AP70:AP73)</f>
        <v>3.3198657169651261E-3</v>
      </c>
    </row>
    <row r="75" spans="1:42" x14ac:dyDescent="0.25">
      <c r="A75" s="159"/>
      <c r="B75" s="87"/>
      <c r="C75" s="166"/>
      <c r="D75" s="166"/>
      <c r="E75" s="87"/>
      <c r="F75" s="87"/>
      <c r="G75" s="154"/>
      <c r="H75" s="50"/>
      <c r="I75" s="50"/>
      <c r="J75" s="50"/>
      <c r="K75" s="155"/>
      <c r="L75" s="155"/>
      <c r="M75" s="155"/>
      <c r="N75" s="155"/>
      <c r="O75" s="155"/>
      <c r="P75" s="155"/>
      <c r="Q75" s="50"/>
      <c r="R75" s="155"/>
      <c r="S75" s="155"/>
      <c r="T75" s="74"/>
      <c r="U75" s="74"/>
      <c r="V75" s="74"/>
      <c r="W75" s="74"/>
      <c r="X75" s="74"/>
      <c r="Y75" s="74"/>
      <c r="Z75" s="75"/>
      <c r="AA75" s="75"/>
      <c r="AB75" s="75"/>
      <c r="AC75" s="75"/>
      <c r="AD75" s="75"/>
      <c r="AE75" s="52"/>
      <c r="AF75" s="74"/>
      <c r="AG75" s="74"/>
      <c r="AH75" s="74"/>
      <c r="AI75" s="74"/>
      <c r="AJ75" s="74"/>
      <c r="AK75" s="74"/>
      <c r="AL75" s="75"/>
      <c r="AM75" s="75"/>
      <c r="AN75" s="76"/>
      <c r="AO75" s="74"/>
      <c r="AP75" s="74"/>
    </row>
    <row r="76" spans="1:42" x14ac:dyDescent="0.25">
      <c r="A76" s="177" t="s">
        <v>280</v>
      </c>
      <c r="B76" s="87"/>
      <c r="C76" s="166"/>
      <c r="D76" s="166"/>
      <c r="E76" s="87"/>
      <c r="F76" s="87"/>
      <c r="G76" s="566"/>
      <c r="H76" s="50"/>
      <c r="I76" s="50"/>
      <c r="J76" s="50"/>
      <c r="K76" s="568"/>
      <c r="L76" s="568"/>
      <c r="M76" s="568"/>
      <c r="N76" s="568"/>
      <c r="O76" s="568"/>
      <c r="P76" s="568"/>
      <c r="Q76" s="50"/>
      <c r="R76" s="568"/>
      <c r="S76" s="568"/>
      <c r="T76" s="74"/>
      <c r="U76" s="74"/>
      <c r="V76" s="74"/>
      <c r="W76" s="74"/>
      <c r="X76" s="74"/>
      <c r="Y76" s="74"/>
      <c r="Z76" s="75"/>
      <c r="AA76" s="75"/>
      <c r="AB76" s="75"/>
      <c r="AC76" s="75"/>
      <c r="AD76" s="75"/>
      <c r="AE76" s="52"/>
      <c r="AF76" s="74"/>
      <c r="AG76" s="74"/>
      <c r="AH76" s="74"/>
      <c r="AI76" s="74"/>
      <c r="AJ76" s="74"/>
      <c r="AK76" s="74"/>
      <c r="AL76" s="75"/>
      <c r="AM76" s="75"/>
      <c r="AN76" s="76"/>
      <c r="AO76" s="74"/>
      <c r="AP76" s="74"/>
    </row>
    <row r="77" spans="1:42" x14ac:dyDescent="0.25">
      <c r="A77" s="91" t="s">
        <v>114</v>
      </c>
      <c r="B77" s="89" t="s">
        <v>107</v>
      </c>
      <c r="C77" s="92">
        <v>3</v>
      </c>
      <c r="D77" s="90">
        <v>2016</v>
      </c>
      <c r="E77" s="90">
        <v>15</v>
      </c>
      <c r="F77" s="90">
        <v>60</v>
      </c>
      <c r="G77" s="145">
        <v>0.70902920600557995</v>
      </c>
      <c r="H77" s="145">
        <v>0.69767352274313099</v>
      </c>
      <c r="I77" s="145">
        <v>0.138100398559698</v>
      </c>
      <c r="J77" s="145">
        <v>3.18613688227605E-3</v>
      </c>
      <c r="K77" s="145">
        <v>0.11526917970440601</v>
      </c>
      <c r="L77" s="56">
        <v>7.99995847163921E-3</v>
      </c>
      <c r="M77" s="56">
        <v>3.6749815577381599E-2</v>
      </c>
      <c r="N77" s="145">
        <v>0.106047654633784</v>
      </c>
      <c r="O77" s="56">
        <v>1.9999896145790402E-3</v>
      </c>
      <c r="P77" s="56">
        <v>1.57499200131354E-2</v>
      </c>
      <c r="Q77" s="145">
        <v>305.602291171589</v>
      </c>
      <c r="R77" s="56">
        <f>0.000057143*Q77</f>
        <v>1.7463031724418109E-2</v>
      </c>
      <c r="S77" s="93">
        <f>0.000025616*Q77</f>
        <v>7.8283082906514239E-3</v>
      </c>
      <c r="T77" s="59">
        <f>C77*($F77*$G77)/453.59</f>
        <v>0.28136699901012896</v>
      </c>
      <c r="U77" s="59">
        <f>C77*($F77*$H77)/453.59</f>
        <v>0.27686067614754201</v>
      </c>
      <c r="V77" s="59">
        <f>C77*(($F77*$I77))/453.59</f>
        <v>5.4802953638187886E-2</v>
      </c>
      <c r="W77" s="59">
        <f>C77*($F77*$J77)/453.59</f>
        <v>1.2643679067212438E-3</v>
      </c>
      <c r="X77" s="59">
        <f>C77*(($F77*($K77+$L77+$M77)))/453.59</f>
        <v>6.3500984756314799E-2</v>
      </c>
      <c r="Y77" s="59">
        <f>C77*(($F77*($N77+$O77+$P77)))/453.59</f>
        <v>4.9127100613041999E-2</v>
      </c>
      <c r="Z77" s="59">
        <f>C77*(F77)*$B$220</f>
        <v>1.7662149598755138E-2</v>
      </c>
      <c r="AA77" s="59">
        <f>Z77*0.21</f>
        <v>3.7090514157385786E-3</v>
      </c>
      <c r="AB77" s="59">
        <f>C77*(($F77*($Q77)))/453.59</f>
        <v>121.27342404128403</v>
      </c>
      <c r="AC77" s="59">
        <f>C77*(($F77*($R77)))/453.59</f>
        <v>6.9299272699910935E-3</v>
      </c>
      <c r="AD77" s="59">
        <f>C77*(($F77*($S77)))/453.59</f>
        <v>3.1065400302415316E-3</v>
      </c>
      <c r="AE77" s="63">
        <f>6*22</f>
        <v>132</v>
      </c>
      <c r="AF77" s="59">
        <f t="shared" ref="AF77:AF79" si="227">T77*$AE77/2000</f>
        <v>1.8570221934668511E-2</v>
      </c>
      <c r="AG77" s="59">
        <f t="shared" ref="AG77:AG79" si="228">U77*$AE77/2000</f>
        <v>1.8272804625737774E-2</v>
      </c>
      <c r="AH77" s="59">
        <f t="shared" ref="AH77:AH79" si="229">V77*$AE77/2000</f>
        <v>3.6169949401204005E-3</v>
      </c>
      <c r="AI77" s="59">
        <f t="shared" ref="AI77:AI79" si="230">W77*$AE77/2000</f>
        <v>8.3448281843602091E-5</v>
      </c>
      <c r="AJ77" s="59">
        <f t="shared" ref="AJ77:AJ79" si="231">X77*$AE77/2000</f>
        <v>4.1910649939167766E-3</v>
      </c>
      <c r="AK77" s="59">
        <f t="shared" ref="AK77:AK79" si="232">Y77*$AE77/2000</f>
        <v>3.2423886404607722E-3</v>
      </c>
      <c r="AL77" s="59">
        <f t="shared" ref="AL77:AL79" si="233">Z77*$AE77/2000</f>
        <v>1.1657018735178391E-3</v>
      </c>
      <c r="AM77" s="59">
        <f t="shared" ref="AM77:AM79" si="234">AA77*$AE77/2000</f>
        <v>2.447973934387462E-4</v>
      </c>
      <c r="AN77" s="59">
        <f t="shared" ref="AN77:AN79" si="235">AB77*$AE77/2000</f>
        <v>8.004045986724746</v>
      </c>
      <c r="AO77" s="59">
        <f t="shared" ref="AO77:AO79" si="236">AC77*$AE77/2000</f>
        <v>4.5737519981941215E-4</v>
      </c>
      <c r="AP77" s="59">
        <f t="shared" ref="AP77:AP79" si="237">AD77*$AE77/2000</f>
        <v>2.050316419959411E-4</v>
      </c>
    </row>
    <row r="78" spans="1:42" x14ac:dyDescent="0.25">
      <c r="A78" s="91" t="s">
        <v>205</v>
      </c>
      <c r="B78" s="89" t="s">
        <v>128</v>
      </c>
      <c r="C78" s="90">
        <v>4</v>
      </c>
      <c r="D78" s="90">
        <v>2016</v>
      </c>
      <c r="E78" s="90">
        <v>35</v>
      </c>
      <c r="F78" s="90">
        <v>80</v>
      </c>
      <c r="G78" s="145">
        <v>1.0826397662712</v>
      </c>
      <c r="H78" s="145">
        <v>4.9663485177263196</v>
      </c>
      <c r="I78" s="145">
        <v>0.26248012574830598</v>
      </c>
      <c r="J78" s="145">
        <v>1.0711818E-2</v>
      </c>
      <c r="K78" s="145">
        <v>7.1679901069995999E-2</v>
      </c>
      <c r="L78" s="567">
        <v>3.5999811999999999E-2</v>
      </c>
      <c r="M78" s="567">
        <v>6.1739677E-2</v>
      </c>
      <c r="N78" s="145">
        <v>6.59455089843963E-2</v>
      </c>
      <c r="O78" s="567">
        <v>8.9999529999999998E-3</v>
      </c>
      <c r="P78" s="567">
        <v>2.6459862000000001E-2</v>
      </c>
      <c r="Q78" s="145">
        <v>1710.7260798812899</v>
      </c>
      <c r="R78" s="56">
        <f>0.000057143*Q78</f>
        <v>9.7756020382656544E-2</v>
      </c>
      <c r="S78" s="93">
        <f>0.000025616*Q78</f>
        <v>4.382195926223912E-2</v>
      </c>
      <c r="T78" s="59">
        <f>C78*($F78*$G78)/453.59</f>
        <v>0.76378386914787366</v>
      </c>
      <c r="U78" s="59">
        <f>C78*($F78*$H78)/453.59</f>
        <v>3.5036740793942158</v>
      </c>
      <c r="V78" s="59">
        <f>C78*(($F78*$I78))/453.59</f>
        <v>0.18517524689578235</v>
      </c>
      <c r="W78" s="59">
        <f>C78*($F78*$J78)/453.59</f>
        <v>7.5570046958707204E-3</v>
      </c>
      <c r="X78" s="59">
        <f>C78*(($F78*($K78+$L78+$M78)))/453.59</f>
        <v>0.11952248687669198</v>
      </c>
      <c r="Y78" s="59">
        <f>C78*(($F78*($N78+$O78+$P78)))/453.59</f>
        <v>7.1539724586094977E-2</v>
      </c>
      <c r="Z78" s="59">
        <f>C78*(F78)*$B$220</f>
        <v>3.1399377064453574E-2</v>
      </c>
      <c r="AA78" s="59">
        <f>Z78*0.21</f>
        <v>6.59386918353525E-3</v>
      </c>
      <c r="AB78" s="59">
        <f>C78*(($F78*($Q78)))/453.59</f>
        <v>1206.8880388941836</v>
      </c>
      <c r="AC78" s="59">
        <f>C78*(($F78*($R78)))/453.59</f>
        <v>6.8965203206530337E-2</v>
      </c>
      <c r="AD78" s="59">
        <f>C78*(($F78*($S78)))/453.59</f>
        <v>3.0915644004313406E-2</v>
      </c>
      <c r="AE78" s="63">
        <f t="shared" ref="AE78" si="238">6*22</f>
        <v>132</v>
      </c>
      <c r="AF78" s="59">
        <f t="shared" si="227"/>
        <v>5.0409735363759658E-2</v>
      </c>
      <c r="AG78" s="59">
        <f t="shared" si="228"/>
        <v>0.23124248924001825</v>
      </c>
      <c r="AH78" s="59">
        <f t="shared" si="229"/>
        <v>1.2221566295121635E-2</v>
      </c>
      <c r="AI78" s="59">
        <f t="shared" si="230"/>
        <v>4.9876230992746751E-4</v>
      </c>
      <c r="AJ78" s="59">
        <f t="shared" si="231"/>
        <v>7.8884841338616694E-3</v>
      </c>
      <c r="AK78" s="59">
        <f t="shared" si="232"/>
        <v>4.7216218226822692E-3</v>
      </c>
      <c r="AL78" s="59">
        <f t="shared" si="233"/>
        <v>2.072358886253936E-3</v>
      </c>
      <c r="AM78" s="59">
        <f t="shared" si="234"/>
        <v>4.3519536611332649E-4</v>
      </c>
      <c r="AN78" s="59">
        <f t="shared" si="235"/>
        <v>79.654610567016121</v>
      </c>
      <c r="AO78" s="59">
        <f t="shared" si="236"/>
        <v>4.5517034116310017E-3</v>
      </c>
      <c r="AP78" s="59">
        <f t="shared" si="237"/>
        <v>2.0404325042846848E-3</v>
      </c>
    </row>
    <row r="79" spans="1:42" x14ac:dyDescent="0.25">
      <c r="A79" s="91" t="s">
        <v>154</v>
      </c>
      <c r="B79" s="89" t="s">
        <v>128</v>
      </c>
      <c r="C79" s="90">
        <v>4</v>
      </c>
      <c r="D79" s="90">
        <v>2016</v>
      </c>
      <c r="E79" s="90">
        <v>35</v>
      </c>
      <c r="F79" s="90">
        <v>160</v>
      </c>
      <c r="G79" s="145">
        <v>1.0826397662712</v>
      </c>
      <c r="H79" s="145">
        <v>4.9663485177263196</v>
      </c>
      <c r="I79" s="145">
        <v>0.26248012574830598</v>
      </c>
      <c r="J79" s="145">
        <v>1.0711818E-2</v>
      </c>
      <c r="K79" s="145">
        <v>7.1679901069995999E-2</v>
      </c>
      <c r="L79" s="567">
        <v>3.5999811999999999E-2</v>
      </c>
      <c r="M79" s="567">
        <v>6.1739677E-2</v>
      </c>
      <c r="N79" s="145">
        <v>6.59455089843963E-2</v>
      </c>
      <c r="O79" s="567">
        <v>8.9999529999999998E-3</v>
      </c>
      <c r="P79" s="567">
        <v>2.6459862000000001E-2</v>
      </c>
      <c r="Q79" s="145">
        <v>1710.7260798812899</v>
      </c>
      <c r="R79" s="56">
        <f>0.000057143*Q79</f>
        <v>9.7756020382656544E-2</v>
      </c>
      <c r="S79" s="93">
        <f>0.000025616*Q79</f>
        <v>4.382195926223912E-2</v>
      </c>
      <c r="T79" s="59">
        <f>C79*($F79*$G79)/453.59</f>
        <v>1.5275677382957473</v>
      </c>
      <c r="U79" s="59">
        <f>C79*($F79*$H79)/453.59</f>
        <v>7.0073481587884316</v>
      </c>
      <c r="V79" s="59">
        <f>C79*(($F79*$I79))/453.59</f>
        <v>0.37035049379156471</v>
      </c>
      <c r="W79" s="59">
        <f>C79*($F79*$J79)/453.59</f>
        <v>1.5114009391741441E-2</v>
      </c>
      <c r="X79" s="59">
        <f>C79*(($F79*($K79+$L79+$M79)))/453.59</f>
        <v>0.23904497375338396</v>
      </c>
      <c r="Y79" s="59">
        <f>C79*(($F79*($N79+$O79+$P79)))/453.59</f>
        <v>0.14307944917218995</v>
      </c>
      <c r="Z79" s="59">
        <f>C79*(F79)*$B$220</f>
        <v>6.2798754128907147E-2</v>
      </c>
      <c r="AA79" s="59">
        <f>Z79*0.21</f>
        <v>1.31877383670705E-2</v>
      </c>
      <c r="AB79" s="59">
        <f>C79*(($F79*($Q79)))/453.59</f>
        <v>2413.7760777883673</v>
      </c>
      <c r="AC79" s="59">
        <f>C79*(($F79*($R79)))/453.59</f>
        <v>0.13793040641306067</v>
      </c>
      <c r="AD79" s="59">
        <f>C79*(($F79*($S79)))/453.59</f>
        <v>6.1831288008626813E-2</v>
      </c>
      <c r="AE79" s="63"/>
      <c r="AF79" s="59">
        <f t="shared" si="227"/>
        <v>0</v>
      </c>
      <c r="AG79" s="59">
        <f t="shared" si="228"/>
        <v>0</v>
      </c>
      <c r="AH79" s="59">
        <f t="shared" si="229"/>
        <v>0</v>
      </c>
      <c r="AI79" s="59">
        <f t="shared" si="230"/>
        <v>0</v>
      </c>
      <c r="AJ79" s="59">
        <f t="shared" si="231"/>
        <v>0</v>
      </c>
      <c r="AK79" s="59">
        <f t="shared" si="232"/>
        <v>0</v>
      </c>
      <c r="AL79" s="59">
        <f t="shared" si="233"/>
        <v>0</v>
      </c>
      <c r="AM79" s="59">
        <f t="shared" si="234"/>
        <v>0</v>
      </c>
      <c r="AN79" s="59">
        <f t="shared" si="235"/>
        <v>0</v>
      </c>
      <c r="AO79" s="59">
        <f t="shared" si="236"/>
        <v>0</v>
      </c>
      <c r="AP79" s="59">
        <f t="shared" si="237"/>
        <v>0</v>
      </c>
    </row>
    <row r="80" spans="1:42" x14ac:dyDescent="0.25">
      <c r="A80" s="88" t="s">
        <v>38</v>
      </c>
      <c r="B80" s="87"/>
      <c r="C80" s="166"/>
      <c r="D80" s="166"/>
      <c r="E80" s="87"/>
      <c r="F80" s="87"/>
      <c r="G80" s="145"/>
      <c r="H80" s="145"/>
      <c r="I80" s="145"/>
      <c r="J80" s="145"/>
      <c r="K80" s="145"/>
      <c r="L80" s="567"/>
      <c r="M80" s="567"/>
      <c r="N80" s="145"/>
      <c r="O80" s="567"/>
      <c r="P80" s="567"/>
      <c r="Q80" s="145"/>
      <c r="R80" s="56"/>
      <c r="S80" s="93"/>
      <c r="T80" s="94">
        <f t="shared" ref="T80:AD80" si="239">SUM(T77:T79)</f>
        <v>2.5727186064537499</v>
      </c>
      <c r="U80" s="94">
        <f t="shared" si="239"/>
        <v>10.78788291433019</v>
      </c>
      <c r="V80" s="94">
        <f t="shared" si="239"/>
        <v>0.61032869432553494</v>
      </c>
      <c r="W80" s="94">
        <f t="shared" si="239"/>
        <v>2.3935381994333406E-2</v>
      </c>
      <c r="X80" s="94">
        <f t="shared" si="239"/>
        <v>0.42206844538639077</v>
      </c>
      <c r="Y80" s="94">
        <f t="shared" si="239"/>
        <v>0.26374627437132692</v>
      </c>
      <c r="Z80" s="94">
        <f t="shared" si="239"/>
        <v>0.11186028079211585</v>
      </c>
      <c r="AA80" s="94">
        <f t="shared" si="239"/>
        <v>2.3490658966344329E-2</v>
      </c>
      <c r="AB80" s="94">
        <f t="shared" si="239"/>
        <v>3741.9375407238349</v>
      </c>
      <c r="AC80" s="94">
        <f t="shared" si="239"/>
        <v>0.21382553688958211</v>
      </c>
      <c r="AD80" s="94">
        <f t="shared" si="239"/>
        <v>9.5853472043181759E-2</v>
      </c>
      <c r="AE80" s="69"/>
      <c r="AF80" s="94">
        <f t="shared" ref="AF80:AP80" si="240">SUM(AF77:AF79)</f>
        <v>6.8979957298428166E-2</v>
      </c>
      <c r="AG80" s="94">
        <f t="shared" si="240"/>
        <v>0.24951529386575602</v>
      </c>
      <c r="AH80" s="94">
        <f t="shared" si="240"/>
        <v>1.5838561235242035E-2</v>
      </c>
      <c r="AI80" s="94">
        <f t="shared" si="240"/>
        <v>5.8221059177106964E-4</v>
      </c>
      <c r="AJ80" s="94">
        <f t="shared" si="240"/>
        <v>1.2079549127778446E-2</v>
      </c>
      <c r="AK80" s="94">
        <f t="shared" si="240"/>
        <v>7.9640104631430418E-3</v>
      </c>
      <c r="AL80" s="94">
        <f t="shared" si="240"/>
        <v>3.2380607597717751E-3</v>
      </c>
      <c r="AM80" s="94">
        <f t="shared" si="240"/>
        <v>6.7999275955207264E-4</v>
      </c>
      <c r="AN80" s="94">
        <f t="shared" si="240"/>
        <v>87.658656553740869</v>
      </c>
      <c r="AO80" s="94">
        <f t="shared" si="240"/>
        <v>5.0090786114504139E-3</v>
      </c>
      <c r="AP80" s="94">
        <f t="shared" si="240"/>
        <v>2.245464146280626E-3</v>
      </c>
    </row>
    <row r="81" spans="1:42" x14ac:dyDescent="0.25">
      <c r="A81" s="569"/>
      <c r="B81" s="87"/>
      <c r="C81" s="166"/>
      <c r="D81" s="166"/>
      <c r="E81" s="87"/>
      <c r="F81" s="87"/>
      <c r="G81" s="566"/>
      <c r="H81" s="50"/>
      <c r="I81" s="50"/>
      <c r="J81" s="50"/>
      <c r="K81" s="568"/>
      <c r="L81" s="568"/>
      <c r="M81" s="568"/>
      <c r="N81" s="568"/>
      <c r="O81" s="568"/>
      <c r="P81" s="568"/>
      <c r="Q81" s="50"/>
      <c r="R81" s="568"/>
      <c r="S81" s="568"/>
      <c r="T81" s="74"/>
      <c r="U81" s="74"/>
      <c r="V81" s="74"/>
      <c r="W81" s="74"/>
      <c r="X81" s="74"/>
      <c r="Y81" s="74"/>
      <c r="Z81" s="75"/>
      <c r="AA81" s="75"/>
      <c r="AB81" s="75"/>
      <c r="AC81" s="75"/>
      <c r="AD81" s="75"/>
      <c r="AE81" s="52"/>
      <c r="AF81" s="74"/>
      <c r="AG81" s="74"/>
      <c r="AH81" s="74"/>
      <c r="AI81" s="74"/>
      <c r="AJ81" s="74"/>
      <c r="AK81" s="74"/>
      <c r="AL81" s="75"/>
      <c r="AM81" s="75"/>
      <c r="AN81" s="76"/>
      <c r="AO81" s="74"/>
      <c r="AP81" s="74"/>
    </row>
    <row r="82" spans="1:42" x14ac:dyDescent="0.25">
      <c r="A82" s="177" t="s">
        <v>280</v>
      </c>
      <c r="B82" s="87"/>
      <c r="C82" s="166"/>
      <c r="D82" s="166"/>
      <c r="E82" s="87"/>
      <c r="F82" s="87"/>
      <c r="G82" s="566"/>
      <c r="H82" s="50"/>
      <c r="I82" s="50"/>
      <c r="J82" s="50"/>
      <c r="K82" s="568"/>
      <c r="L82" s="568"/>
      <c r="M82" s="568"/>
      <c r="N82" s="568"/>
      <c r="O82" s="568"/>
      <c r="P82" s="568"/>
      <c r="Q82" s="50"/>
      <c r="R82" s="568"/>
      <c r="S82" s="568"/>
      <c r="T82" s="74"/>
      <c r="U82" s="74"/>
      <c r="V82" s="74"/>
      <c r="W82" s="74"/>
      <c r="X82" s="74"/>
      <c r="Y82" s="74"/>
      <c r="Z82" s="75"/>
      <c r="AA82" s="75"/>
      <c r="AB82" s="75"/>
      <c r="AC82" s="75"/>
      <c r="AD82" s="75"/>
      <c r="AE82" s="52"/>
      <c r="AF82" s="74"/>
      <c r="AG82" s="74"/>
      <c r="AH82" s="74"/>
      <c r="AI82" s="74"/>
      <c r="AJ82" s="74"/>
      <c r="AK82" s="74"/>
      <c r="AL82" s="75"/>
      <c r="AM82" s="75"/>
      <c r="AN82" s="76"/>
      <c r="AO82" s="74"/>
      <c r="AP82" s="74"/>
    </row>
    <row r="83" spans="1:42" x14ac:dyDescent="0.25">
      <c r="A83" s="91" t="s">
        <v>114</v>
      </c>
      <c r="B83" s="89" t="s">
        <v>107</v>
      </c>
      <c r="C83" s="92">
        <v>3</v>
      </c>
      <c r="D83" s="90">
        <v>2018</v>
      </c>
      <c r="E83" s="90">
        <v>15</v>
      </c>
      <c r="F83" s="90">
        <v>60</v>
      </c>
      <c r="G83" s="145">
        <v>0.70902920600557995</v>
      </c>
      <c r="H83" s="145">
        <v>0.69767352274313099</v>
      </c>
      <c r="I83" s="145">
        <v>0.138100398559698</v>
      </c>
      <c r="J83" s="145">
        <v>3.18613688227605E-3</v>
      </c>
      <c r="K83" s="145">
        <v>0.11526917970440601</v>
      </c>
      <c r="L83" s="56">
        <v>7.99995847163921E-3</v>
      </c>
      <c r="M83" s="56">
        <v>3.6749815577381599E-2</v>
      </c>
      <c r="N83" s="145">
        <v>0.106047654633784</v>
      </c>
      <c r="O83" s="56">
        <v>1.9999896145790402E-3</v>
      </c>
      <c r="P83" s="56">
        <v>1.57499200131354E-2</v>
      </c>
      <c r="Q83" s="145">
        <v>305.602291171589</v>
      </c>
      <c r="R83" s="56">
        <f>0.000057143*Q83</f>
        <v>1.7463031724418109E-2</v>
      </c>
      <c r="S83" s="93">
        <f>0.000025616*Q83</f>
        <v>7.8283082906514239E-3</v>
      </c>
      <c r="T83" s="59">
        <f>C83*($F83*$G83)/453.59</f>
        <v>0.28136699901012896</v>
      </c>
      <c r="U83" s="59">
        <f>C83*($F83*$H83)/453.59</f>
        <v>0.27686067614754201</v>
      </c>
      <c r="V83" s="59">
        <f>C83*(($F83*$I83))/453.59</f>
        <v>5.4802953638187886E-2</v>
      </c>
      <c r="W83" s="59">
        <f>C83*($F83*$J83)/453.59</f>
        <v>1.2643679067212438E-3</v>
      </c>
      <c r="X83" s="59">
        <f>C83*(($F83*($K83+$L83+$M83)))/453.59</f>
        <v>6.3500984756314799E-2</v>
      </c>
      <c r="Y83" s="59">
        <f>C83*(($F83*($N83+$O83+$P83)))/453.59</f>
        <v>4.9127100613041999E-2</v>
      </c>
      <c r="Z83" s="59">
        <f>C83*(F83)*$B$220</f>
        <v>1.7662149598755138E-2</v>
      </c>
      <c r="AA83" s="59">
        <f>Z83*0.21</f>
        <v>3.7090514157385786E-3</v>
      </c>
      <c r="AB83" s="59">
        <f>C83*(($F83*($Q83)))/453.59</f>
        <v>121.27342404128403</v>
      </c>
      <c r="AC83" s="59">
        <f>C83*(($F83*($R83)))/453.59</f>
        <v>6.9299272699910935E-3</v>
      </c>
      <c r="AD83" s="59">
        <f>C83*(($F83*($S83)))/453.59</f>
        <v>3.1065400302415316E-3</v>
      </c>
      <c r="AE83" s="63">
        <f>6*22</f>
        <v>132</v>
      </c>
      <c r="AF83" s="59">
        <f t="shared" ref="AF83:AF85" si="241">T83*$AE83/2000</f>
        <v>1.8570221934668511E-2</v>
      </c>
      <c r="AG83" s="59">
        <f t="shared" ref="AG83:AG85" si="242">U83*$AE83/2000</f>
        <v>1.8272804625737774E-2</v>
      </c>
      <c r="AH83" s="59">
        <f t="shared" ref="AH83:AH85" si="243">V83*$AE83/2000</f>
        <v>3.6169949401204005E-3</v>
      </c>
      <c r="AI83" s="59">
        <f t="shared" ref="AI83:AI85" si="244">W83*$AE83/2000</f>
        <v>8.3448281843602091E-5</v>
      </c>
      <c r="AJ83" s="59">
        <f t="shared" ref="AJ83:AJ85" si="245">X83*$AE83/2000</f>
        <v>4.1910649939167766E-3</v>
      </c>
      <c r="AK83" s="59">
        <f t="shared" ref="AK83:AK85" si="246">Y83*$AE83/2000</f>
        <v>3.2423886404607722E-3</v>
      </c>
      <c r="AL83" s="59">
        <f t="shared" ref="AL83:AL85" si="247">Z83*$AE83/2000</f>
        <v>1.1657018735178391E-3</v>
      </c>
      <c r="AM83" s="59">
        <f t="shared" ref="AM83:AM85" si="248">AA83*$AE83/2000</f>
        <v>2.447973934387462E-4</v>
      </c>
      <c r="AN83" s="59">
        <f t="shared" ref="AN83:AN85" si="249">AB83*$AE83/2000</f>
        <v>8.004045986724746</v>
      </c>
      <c r="AO83" s="59">
        <f t="shared" ref="AO83:AO85" si="250">AC83*$AE83/2000</f>
        <v>4.5737519981941215E-4</v>
      </c>
      <c r="AP83" s="59">
        <f t="shared" ref="AP83:AP85" si="251">AD83*$AE83/2000</f>
        <v>2.050316419959411E-4</v>
      </c>
    </row>
    <row r="84" spans="1:42" x14ac:dyDescent="0.25">
      <c r="A84" s="91" t="s">
        <v>205</v>
      </c>
      <c r="B84" s="89" t="s">
        <v>128</v>
      </c>
      <c r="C84" s="90">
        <v>4</v>
      </c>
      <c r="D84" s="90">
        <v>2018</v>
      </c>
      <c r="E84" s="90">
        <v>35</v>
      </c>
      <c r="F84" s="90">
        <v>80</v>
      </c>
      <c r="G84" s="145">
        <v>1.0826397662712</v>
      </c>
      <c r="H84" s="145">
        <v>4.9663485177263196</v>
      </c>
      <c r="I84" s="145">
        <v>0.26248012574830598</v>
      </c>
      <c r="J84" s="145">
        <v>1.0711818E-2</v>
      </c>
      <c r="K84" s="145">
        <v>7.1679901069995999E-2</v>
      </c>
      <c r="L84" s="567">
        <v>3.5999811999999999E-2</v>
      </c>
      <c r="M84" s="567">
        <v>6.1739677E-2</v>
      </c>
      <c r="N84" s="145">
        <v>6.59455089843963E-2</v>
      </c>
      <c r="O84" s="567">
        <v>8.9999529999999998E-3</v>
      </c>
      <c r="P84" s="567">
        <v>2.6459862000000001E-2</v>
      </c>
      <c r="Q84" s="145">
        <v>1710.7260798812899</v>
      </c>
      <c r="R84" s="56">
        <f>0.000057143*Q84</f>
        <v>9.7756020382656544E-2</v>
      </c>
      <c r="S84" s="93">
        <f>0.000025616*Q84</f>
        <v>4.382195926223912E-2</v>
      </c>
      <c r="T84" s="59">
        <f>C84*($F84*$G84)/453.59</f>
        <v>0.76378386914787366</v>
      </c>
      <c r="U84" s="59">
        <f>C84*($F84*$H84)/453.59</f>
        <v>3.5036740793942158</v>
      </c>
      <c r="V84" s="59">
        <f>C84*(($F84*$I84))/453.59</f>
        <v>0.18517524689578235</v>
      </c>
      <c r="W84" s="59">
        <f>C84*($F84*$J84)/453.59</f>
        <v>7.5570046958707204E-3</v>
      </c>
      <c r="X84" s="59">
        <f>C84*(($F84*($K84+$L84+$M84)))/453.59</f>
        <v>0.11952248687669198</v>
      </c>
      <c r="Y84" s="59">
        <f>C84*(($F84*($N84+$O84+$P84)))/453.59</f>
        <v>7.1539724586094977E-2</v>
      </c>
      <c r="Z84" s="59">
        <f>C84*(F84)*$B$220</f>
        <v>3.1399377064453574E-2</v>
      </c>
      <c r="AA84" s="59">
        <f>Z84*0.21</f>
        <v>6.59386918353525E-3</v>
      </c>
      <c r="AB84" s="59">
        <f>C84*(($F84*($Q84)))/453.59</f>
        <v>1206.8880388941836</v>
      </c>
      <c r="AC84" s="59">
        <f>C84*(($F84*($R84)))/453.59</f>
        <v>6.8965203206530337E-2</v>
      </c>
      <c r="AD84" s="59">
        <f>C84*(($F84*($S84)))/453.59</f>
        <v>3.0915644004313406E-2</v>
      </c>
      <c r="AE84" s="63">
        <f t="shared" ref="AE84" si="252">6*22</f>
        <v>132</v>
      </c>
      <c r="AF84" s="59">
        <f t="shared" si="241"/>
        <v>5.0409735363759658E-2</v>
      </c>
      <c r="AG84" s="59">
        <f t="shared" si="242"/>
        <v>0.23124248924001825</v>
      </c>
      <c r="AH84" s="59">
        <f t="shared" si="243"/>
        <v>1.2221566295121635E-2</v>
      </c>
      <c r="AI84" s="59">
        <f t="shared" si="244"/>
        <v>4.9876230992746751E-4</v>
      </c>
      <c r="AJ84" s="59">
        <f t="shared" si="245"/>
        <v>7.8884841338616694E-3</v>
      </c>
      <c r="AK84" s="59">
        <f t="shared" si="246"/>
        <v>4.7216218226822692E-3</v>
      </c>
      <c r="AL84" s="59">
        <f t="shared" si="247"/>
        <v>2.072358886253936E-3</v>
      </c>
      <c r="AM84" s="59">
        <f t="shared" si="248"/>
        <v>4.3519536611332649E-4</v>
      </c>
      <c r="AN84" s="59">
        <f t="shared" si="249"/>
        <v>79.654610567016121</v>
      </c>
      <c r="AO84" s="59">
        <f t="shared" si="250"/>
        <v>4.5517034116310017E-3</v>
      </c>
      <c r="AP84" s="59">
        <f t="shared" si="251"/>
        <v>2.0404325042846848E-3</v>
      </c>
    </row>
    <row r="85" spans="1:42" x14ac:dyDescent="0.25">
      <c r="A85" s="91" t="s">
        <v>154</v>
      </c>
      <c r="B85" s="89" t="s">
        <v>128</v>
      </c>
      <c r="C85" s="90">
        <v>4</v>
      </c>
      <c r="D85" s="90">
        <v>2018</v>
      </c>
      <c r="E85" s="90">
        <v>35</v>
      </c>
      <c r="F85" s="90">
        <v>160</v>
      </c>
      <c r="G85" s="145">
        <v>1.0826397662712</v>
      </c>
      <c r="H85" s="145">
        <v>4.9663485177263196</v>
      </c>
      <c r="I85" s="145">
        <v>0.26248012574830598</v>
      </c>
      <c r="J85" s="145">
        <v>1.0711818E-2</v>
      </c>
      <c r="K85" s="145">
        <v>7.1679901069995999E-2</v>
      </c>
      <c r="L85" s="567">
        <v>3.5999811999999999E-2</v>
      </c>
      <c r="M85" s="567">
        <v>6.1739677E-2</v>
      </c>
      <c r="N85" s="145">
        <v>6.59455089843963E-2</v>
      </c>
      <c r="O85" s="567">
        <v>8.9999529999999998E-3</v>
      </c>
      <c r="P85" s="567">
        <v>2.6459862000000001E-2</v>
      </c>
      <c r="Q85" s="145">
        <v>1710.7260798812899</v>
      </c>
      <c r="R85" s="56">
        <f>0.000057143*Q85</f>
        <v>9.7756020382656544E-2</v>
      </c>
      <c r="S85" s="93">
        <f>0.000025616*Q85</f>
        <v>4.382195926223912E-2</v>
      </c>
      <c r="T85" s="59">
        <f>C85*($F85*$G85)/453.59</f>
        <v>1.5275677382957473</v>
      </c>
      <c r="U85" s="59">
        <f>C85*($F85*$H85)/453.59</f>
        <v>7.0073481587884316</v>
      </c>
      <c r="V85" s="59">
        <f>C85*(($F85*$I85))/453.59</f>
        <v>0.37035049379156471</v>
      </c>
      <c r="W85" s="59">
        <f>C85*($F85*$J85)/453.59</f>
        <v>1.5114009391741441E-2</v>
      </c>
      <c r="X85" s="59">
        <f>C85*(($F85*($K85+$L85+$M85)))/453.59</f>
        <v>0.23904497375338396</v>
      </c>
      <c r="Y85" s="59">
        <f>C85*(($F85*($N85+$O85+$P85)))/453.59</f>
        <v>0.14307944917218995</v>
      </c>
      <c r="Z85" s="59">
        <f>C85*(F85)*$B$220</f>
        <v>6.2798754128907147E-2</v>
      </c>
      <c r="AA85" s="59">
        <f>Z85*0.21</f>
        <v>1.31877383670705E-2</v>
      </c>
      <c r="AB85" s="59">
        <f>C85*(($F85*($Q85)))/453.59</f>
        <v>2413.7760777883673</v>
      </c>
      <c r="AC85" s="59">
        <f>C85*(($F85*($R85)))/453.59</f>
        <v>0.13793040641306067</v>
      </c>
      <c r="AD85" s="59">
        <f>C85*(($F85*($S85)))/453.59</f>
        <v>6.1831288008626813E-2</v>
      </c>
      <c r="AE85" s="63"/>
      <c r="AF85" s="59">
        <f t="shared" si="241"/>
        <v>0</v>
      </c>
      <c r="AG85" s="59">
        <f t="shared" si="242"/>
        <v>0</v>
      </c>
      <c r="AH85" s="59">
        <f t="shared" si="243"/>
        <v>0</v>
      </c>
      <c r="AI85" s="59">
        <f t="shared" si="244"/>
        <v>0</v>
      </c>
      <c r="AJ85" s="59">
        <f t="shared" si="245"/>
        <v>0</v>
      </c>
      <c r="AK85" s="59">
        <f t="shared" si="246"/>
        <v>0</v>
      </c>
      <c r="AL85" s="59">
        <f t="shared" si="247"/>
        <v>0</v>
      </c>
      <c r="AM85" s="59">
        <f t="shared" si="248"/>
        <v>0</v>
      </c>
      <c r="AN85" s="59">
        <f t="shared" si="249"/>
        <v>0</v>
      </c>
      <c r="AO85" s="59">
        <f t="shared" si="250"/>
        <v>0</v>
      </c>
      <c r="AP85" s="59">
        <f t="shared" si="251"/>
        <v>0</v>
      </c>
    </row>
    <row r="86" spans="1:42" x14ac:dyDescent="0.25">
      <c r="A86" s="88" t="s">
        <v>38</v>
      </c>
      <c r="B86" s="87"/>
      <c r="C86" s="166"/>
      <c r="D86" s="166"/>
      <c r="E86" s="87"/>
      <c r="F86" s="87"/>
      <c r="G86" s="566"/>
      <c r="H86" s="50"/>
      <c r="I86" s="50"/>
      <c r="J86" s="50"/>
      <c r="K86" s="568"/>
      <c r="L86" s="568"/>
      <c r="M86" s="568"/>
      <c r="N86" s="568"/>
      <c r="O86" s="568"/>
      <c r="P86" s="568"/>
      <c r="Q86" s="50"/>
      <c r="R86" s="568"/>
      <c r="S86" s="568"/>
      <c r="T86" s="94">
        <f t="shared" ref="T86:AD86" si="253">SUM(T83:T85)</f>
        <v>2.5727186064537499</v>
      </c>
      <c r="U86" s="94">
        <f t="shared" si="253"/>
        <v>10.78788291433019</v>
      </c>
      <c r="V86" s="94">
        <f t="shared" si="253"/>
        <v>0.61032869432553494</v>
      </c>
      <c r="W86" s="94">
        <f t="shared" si="253"/>
        <v>2.3935381994333406E-2</v>
      </c>
      <c r="X86" s="94">
        <f t="shared" si="253"/>
        <v>0.42206844538639077</v>
      </c>
      <c r="Y86" s="94">
        <f t="shared" si="253"/>
        <v>0.26374627437132692</v>
      </c>
      <c r="Z86" s="94">
        <f t="shared" si="253"/>
        <v>0.11186028079211585</v>
      </c>
      <c r="AA86" s="94">
        <f t="shared" si="253"/>
        <v>2.3490658966344329E-2</v>
      </c>
      <c r="AB86" s="94">
        <f t="shared" si="253"/>
        <v>3741.9375407238349</v>
      </c>
      <c r="AC86" s="94">
        <f t="shared" si="253"/>
        <v>0.21382553688958211</v>
      </c>
      <c r="AD86" s="94">
        <f t="shared" si="253"/>
        <v>9.5853472043181759E-2</v>
      </c>
      <c r="AE86" s="69"/>
      <c r="AF86" s="94">
        <f t="shared" ref="AF86:AP86" si="254">SUM(AF83:AF85)</f>
        <v>6.8979957298428166E-2</v>
      </c>
      <c r="AG86" s="94">
        <f t="shared" si="254"/>
        <v>0.24951529386575602</v>
      </c>
      <c r="AH86" s="94">
        <f t="shared" si="254"/>
        <v>1.5838561235242035E-2</v>
      </c>
      <c r="AI86" s="94">
        <f t="shared" si="254"/>
        <v>5.8221059177106964E-4</v>
      </c>
      <c r="AJ86" s="94">
        <f t="shared" si="254"/>
        <v>1.2079549127778446E-2</v>
      </c>
      <c r="AK86" s="94">
        <f t="shared" si="254"/>
        <v>7.9640104631430418E-3</v>
      </c>
      <c r="AL86" s="94">
        <f t="shared" si="254"/>
        <v>3.2380607597717751E-3</v>
      </c>
      <c r="AM86" s="94">
        <f t="shared" si="254"/>
        <v>6.7999275955207264E-4</v>
      </c>
      <c r="AN86" s="94">
        <f t="shared" si="254"/>
        <v>87.658656553740869</v>
      </c>
      <c r="AO86" s="94">
        <f t="shared" si="254"/>
        <v>5.0090786114504139E-3</v>
      </c>
      <c r="AP86" s="94">
        <f t="shared" si="254"/>
        <v>2.245464146280626E-3</v>
      </c>
    </row>
    <row r="87" spans="1:42" x14ac:dyDescent="0.25">
      <c r="A87" s="569"/>
      <c r="B87" s="87"/>
      <c r="C87" s="166"/>
      <c r="D87" s="166"/>
      <c r="E87" s="87"/>
      <c r="F87" s="87"/>
      <c r="G87" s="566"/>
      <c r="H87" s="50"/>
      <c r="I87" s="50"/>
      <c r="J87" s="50"/>
      <c r="K87" s="568"/>
      <c r="L87" s="568"/>
      <c r="M87" s="568"/>
      <c r="N87" s="568"/>
      <c r="O87" s="568"/>
      <c r="P87" s="568"/>
      <c r="Q87" s="50"/>
      <c r="R87" s="568"/>
      <c r="S87" s="568"/>
      <c r="T87" s="74"/>
      <c r="U87" s="74"/>
      <c r="V87" s="74"/>
      <c r="W87" s="74"/>
      <c r="X87" s="74"/>
      <c r="Y87" s="74"/>
      <c r="Z87" s="75"/>
      <c r="AA87" s="75"/>
      <c r="AB87" s="75"/>
      <c r="AC87" s="75"/>
      <c r="AD87" s="75"/>
      <c r="AE87" s="52"/>
      <c r="AF87" s="74"/>
      <c r="AG87" s="74"/>
      <c r="AH87" s="74"/>
      <c r="AI87" s="74"/>
      <c r="AJ87" s="74"/>
      <c r="AK87" s="74"/>
      <c r="AL87" s="75"/>
      <c r="AM87" s="75"/>
      <c r="AN87" s="76"/>
      <c r="AO87" s="74"/>
      <c r="AP87" s="74"/>
    </row>
    <row r="88" spans="1:42" x14ac:dyDescent="0.25">
      <c r="A88" s="177" t="s">
        <v>654</v>
      </c>
      <c r="B88" s="87"/>
      <c r="C88" s="166"/>
      <c r="D88" s="166"/>
      <c r="E88" s="87"/>
      <c r="F88" s="87"/>
      <c r="G88" s="605"/>
      <c r="H88" s="50"/>
      <c r="I88" s="50"/>
      <c r="J88" s="50"/>
      <c r="K88" s="607"/>
      <c r="L88" s="607"/>
      <c r="M88" s="607"/>
      <c r="N88" s="607"/>
      <c r="O88" s="607"/>
      <c r="P88" s="607"/>
      <c r="Q88" s="50"/>
      <c r="R88" s="607"/>
      <c r="S88" s="607"/>
      <c r="T88" s="74"/>
      <c r="U88" s="74"/>
      <c r="V88" s="74"/>
      <c r="W88" s="74"/>
      <c r="X88" s="74"/>
      <c r="Y88" s="74"/>
      <c r="Z88" s="75"/>
      <c r="AA88" s="75"/>
      <c r="AB88" s="75"/>
      <c r="AC88" s="75"/>
      <c r="AD88" s="75"/>
      <c r="AE88" s="52"/>
      <c r="AF88" s="74"/>
      <c r="AG88" s="74"/>
      <c r="AH88" s="74"/>
      <c r="AI88" s="74"/>
      <c r="AJ88" s="74"/>
      <c r="AK88" s="74"/>
      <c r="AL88" s="75"/>
      <c r="AM88" s="75"/>
      <c r="AN88" s="76"/>
      <c r="AO88" s="74"/>
      <c r="AP88" s="74"/>
    </row>
    <row r="89" spans="1:42" x14ac:dyDescent="0.25">
      <c r="A89" s="91" t="s">
        <v>114</v>
      </c>
      <c r="B89" s="89" t="s">
        <v>107</v>
      </c>
      <c r="C89" s="92">
        <v>4</v>
      </c>
      <c r="D89" s="90">
        <v>2015</v>
      </c>
      <c r="E89" s="90">
        <v>15</v>
      </c>
      <c r="F89" s="90">
        <v>60</v>
      </c>
      <c r="G89" s="145">
        <v>0.83610719342181306</v>
      </c>
      <c r="H89" s="145">
        <v>0.79560737551603999</v>
      </c>
      <c r="I89" s="145">
        <v>0.165670507085864</v>
      </c>
      <c r="J89" s="145">
        <v>3.18613688227605E-3</v>
      </c>
      <c r="K89" s="145">
        <v>0.138831589940137</v>
      </c>
      <c r="L89" s="56">
        <v>7.99995847163921E-3</v>
      </c>
      <c r="M89" s="56">
        <v>3.6749815577381599E-2</v>
      </c>
      <c r="N89" s="145">
        <v>0.127725080361664</v>
      </c>
      <c r="O89" s="56">
        <v>1.9999896145790402E-3</v>
      </c>
      <c r="P89" s="56">
        <v>1.57499200131354E-2</v>
      </c>
      <c r="Q89" s="145">
        <v>320.029950432367</v>
      </c>
      <c r="R89" s="56">
        <f>0.000057143*Q89</f>
        <v>1.8287471457556746E-2</v>
      </c>
      <c r="S89" s="93">
        <f>0.000025616*Q89</f>
        <v>8.1978872102755132E-3</v>
      </c>
      <c r="T89" s="59">
        <f>C89*($F89*$G89)/453.59</f>
        <v>0.44239451138965835</v>
      </c>
      <c r="U89" s="59">
        <f>C89*($F89*$H89)/453.59</f>
        <v>0.42096556388776124</v>
      </c>
      <c r="V89" s="59">
        <f>C89*(($F89*$I89))/453.59</f>
        <v>8.7658285457367591E-2</v>
      </c>
      <c r="W89" s="59">
        <f>C89*($F89*$J89)/453.59</f>
        <v>1.6858238756283252E-3</v>
      </c>
      <c r="X89" s="59">
        <f>C89*(($F89*($K89+$L89+$M89)))/453.59</f>
        <v>9.7135138246870256E-2</v>
      </c>
      <c r="Y89" s="59">
        <f>C89*(($F89*($N89+$O89+$P89)))/453.59</f>
        <v>7.6972591100885876E-2</v>
      </c>
      <c r="Z89" s="59">
        <f>C89*(F89)*$B$220</f>
        <v>2.3549532798340184E-2</v>
      </c>
      <c r="AA89" s="59">
        <f>Z89*0.21</f>
        <v>4.9454018876514388E-3</v>
      </c>
      <c r="AB89" s="59">
        <f>C89*(($F89*($Q89)))/453.59</f>
        <v>169.33174916503469</v>
      </c>
      <c r="AC89" s="59">
        <f>C89*(($F89*($R89)))/453.59</f>
        <v>9.676124142537575E-3</v>
      </c>
      <c r="AD89" s="59">
        <f>C89*(($F89*($S89)))/453.59</f>
        <v>4.337602086611529E-3</v>
      </c>
      <c r="AE89" s="63">
        <f t="shared" ref="AE89:AE91" si="255">6*22</f>
        <v>132</v>
      </c>
      <c r="AF89" s="59">
        <f t="shared" ref="AF89:AF92" si="256">T89*$AE89/2000</f>
        <v>2.9198037751717452E-2</v>
      </c>
      <c r="AG89" s="59">
        <f t="shared" ref="AG89:AG92" si="257">U89*$AE89/2000</f>
        <v>2.7783727216592245E-2</v>
      </c>
      <c r="AH89" s="59">
        <f t="shared" ref="AH89:AH92" si="258">V89*$AE89/2000</f>
        <v>5.7854468401862614E-3</v>
      </c>
      <c r="AI89" s="59">
        <f t="shared" ref="AI89:AI92" si="259">W89*$AE89/2000</f>
        <v>1.1126437579146946E-4</v>
      </c>
      <c r="AJ89" s="59">
        <f t="shared" ref="AJ89:AJ92" si="260">X89*$AE89/2000</f>
        <v>6.4109191242934368E-3</v>
      </c>
      <c r="AK89" s="59">
        <f t="shared" ref="AK89:AK92" si="261">Y89*$AE89/2000</f>
        <v>5.0801910126584684E-3</v>
      </c>
      <c r="AL89" s="59">
        <f t="shared" ref="AL89:AL92" si="262">Z89*$AE89/2000</f>
        <v>1.5542691646904521E-3</v>
      </c>
      <c r="AM89" s="59">
        <f t="shared" ref="AM89:AM92" si="263">AA89*$AE89/2000</f>
        <v>3.2639652458499497E-4</v>
      </c>
      <c r="AN89" s="59">
        <f t="shared" ref="AN89:AN92" si="264">AB89*$AE89/2000</f>
        <v>11.175895444892291</v>
      </c>
      <c r="AO89" s="59">
        <f t="shared" ref="AO89:AO92" si="265">AC89*$AE89/2000</f>
        <v>6.3862419340747999E-4</v>
      </c>
      <c r="AP89" s="59">
        <f t="shared" ref="AP89:AP92" si="266">AD89*$AE89/2000</f>
        <v>2.8628173771636092E-4</v>
      </c>
    </row>
    <row r="90" spans="1:42" x14ac:dyDescent="0.25">
      <c r="A90" s="91" t="s">
        <v>205</v>
      </c>
      <c r="B90" s="89" t="s">
        <v>128</v>
      </c>
      <c r="C90" s="90">
        <v>3</v>
      </c>
      <c r="D90" s="90">
        <v>2015</v>
      </c>
      <c r="E90" s="90">
        <v>35</v>
      </c>
      <c r="F90" s="90">
        <v>80</v>
      </c>
      <c r="G90" s="145">
        <v>1.1475010375994501</v>
      </c>
      <c r="H90" s="145">
        <v>6.1597902567033698</v>
      </c>
      <c r="I90" s="145">
        <v>0.27527412390358202</v>
      </c>
      <c r="J90" s="145">
        <v>1.0711818E-2</v>
      </c>
      <c r="K90" s="145">
        <v>7.9574350742464495E-2</v>
      </c>
      <c r="L90" s="606">
        <v>3.5999811999999999E-2</v>
      </c>
      <c r="M90" s="606">
        <v>6.1739677E-2</v>
      </c>
      <c r="N90" s="145">
        <v>7.32084026830674E-2</v>
      </c>
      <c r="O90" s="606">
        <v>8.9999529999999998E-3</v>
      </c>
      <c r="P90" s="606">
        <v>2.6459862000000001E-2</v>
      </c>
      <c r="Q90" s="145">
        <v>1735.6021746639301</v>
      </c>
      <c r="R90" s="56">
        <f>0.000057143*Q90</f>
        <v>9.9177515066820959E-2</v>
      </c>
      <c r="S90" s="93">
        <f>0.000025616*Q90</f>
        <v>4.445918530619123E-2</v>
      </c>
      <c r="T90" s="59">
        <f>C90*($F90*$G90)/453.59</f>
        <v>0.60715679142809154</v>
      </c>
      <c r="U90" s="59">
        <f>C90*($F90*$H90)/453.59</f>
        <v>3.2592201362658102</v>
      </c>
      <c r="V90" s="59">
        <f>C90*(($F90*$I90))/453.59</f>
        <v>0.14565089560365019</v>
      </c>
      <c r="W90" s="59">
        <f>C90*($F90*$J90)/453.59</f>
        <v>5.6677535219030401E-3</v>
      </c>
      <c r="X90" s="59">
        <f>C90*(($F90*($K90+$L90+$M90)))/453.59</f>
        <v>9.381891474281065E-2</v>
      </c>
      <c r="Y90" s="59">
        <f>C90*(($F90*($N90+$O90+$P90)))/453.59</f>
        <v>5.749767905803959E-2</v>
      </c>
      <c r="Z90" s="59">
        <f>C90*(F90)*$B$220</f>
        <v>2.3549532798340184E-2</v>
      </c>
      <c r="AA90" s="59">
        <f>Z90*0.21</f>
        <v>4.9454018876514388E-3</v>
      </c>
      <c r="AB90" s="59">
        <f>C90*(($F90*($Q90)))/453.59</f>
        <v>918.32827425503922</v>
      </c>
      <c r="AC90" s="59">
        <f>C90*(($F90*($R90)))/453.59</f>
        <v>5.2476032575755706E-2</v>
      </c>
      <c r="AD90" s="59">
        <f>C90*(($F90*($S90)))/453.59</f>
        <v>2.3523897073317084E-2</v>
      </c>
      <c r="AE90" s="63">
        <f t="shared" si="255"/>
        <v>132</v>
      </c>
      <c r="AF90" s="59">
        <f t="shared" si="256"/>
        <v>4.007234823425404E-2</v>
      </c>
      <c r="AG90" s="59">
        <f t="shared" si="257"/>
        <v>0.21510852899354346</v>
      </c>
      <c r="AH90" s="59">
        <f t="shared" si="258"/>
        <v>9.6129591098409115E-3</v>
      </c>
      <c r="AI90" s="59">
        <f t="shared" si="259"/>
        <v>3.7407173244560066E-4</v>
      </c>
      <c r="AJ90" s="59">
        <f t="shared" si="260"/>
        <v>6.1920483730255023E-3</v>
      </c>
      <c r="AK90" s="59">
        <f t="shared" si="261"/>
        <v>3.7948468178306128E-3</v>
      </c>
      <c r="AL90" s="59">
        <f t="shared" si="262"/>
        <v>1.5542691646904521E-3</v>
      </c>
      <c r="AM90" s="59">
        <f t="shared" si="263"/>
        <v>3.2639652458499497E-4</v>
      </c>
      <c r="AN90" s="59">
        <f t="shared" si="264"/>
        <v>60.609666100832591</v>
      </c>
      <c r="AO90" s="59">
        <f t="shared" si="265"/>
        <v>3.4634181499998765E-3</v>
      </c>
      <c r="AP90" s="59">
        <f t="shared" si="266"/>
        <v>1.5525772068389274E-3</v>
      </c>
    </row>
    <row r="91" spans="1:42" x14ac:dyDescent="0.25">
      <c r="A91" s="91" t="s">
        <v>157</v>
      </c>
      <c r="B91" s="89" t="s">
        <v>128</v>
      </c>
      <c r="C91" s="90">
        <v>2</v>
      </c>
      <c r="D91" s="90">
        <v>2015</v>
      </c>
      <c r="E91" s="90">
        <v>35</v>
      </c>
      <c r="F91" s="90">
        <v>80</v>
      </c>
      <c r="G91" s="145">
        <v>1.1475010375994501</v>
      </c>
      <c r="H91" s="145">
        <v>6.1597902567033698</v>
      </c>
      <c r="I91" s="145">
        <v>0.27527412390358202</v>
      </c>
      <c r="J91" s="145">
        <v>1.0711818E-2</v>
      </c>
      <c r="K91" s="145">
        <v>7.9574350742464495E-2</v>
      </c>
      <c r="L91" s="606">
        <v>3.5999811999999999E-2</v>
      </c>
      <c r="M91" s="606">
        <v>6.1739677E-2</v>
      </c>
      <c r="N91" s="145">
        <v>7.32084026830674E-2</v>
      </c>
      <c r="O91" s="606">
        <v>8.9999529999999998E-3</v>
      </c>
      <c r="P91" s="606">
        <v>2.6459862000000001E-2</v>
      </c>
      <c r="Q91" s="145">
        <v>1735.6021746639301</v>
      </c>
      <c r="R91" s="56">
        <f>0.000057143*Q91</f>
        <v>9.9177515066820959E-2</v>
      </c>
      <c r="S91" s="93">
        <f>0.000025616*Q91</f>
        <v>4.445918530619123E-2</v>
      </c>
      <c r="T91" s="59">
        <f>C91*($F91*$G91)/453.59</f>
        <v>0.40477119428539432</v>
      </c>
      <c r="U91" s="59">
        <f>C91*($F91*$H91)/453.59</f>
        <v>2.1728134241772068</v>
      </c>
      <c r="V91" s="59">
        <f>C91*(($F91*$I91))/453.59</f>
        <v>9.7100597069100125E-2</v>
      </c>
      <c r="W91" s="59">
        <f>C91*($F91*$J91)/453.59</f>
        <v>3.7785023479353602E-3</v>
      </c>
      <c r="X91" s="59">
        <f>C91*(($F91*($K91+$L91+$M91)))/453.59</f>
        <v>6.2545943161873757E-2</v>
      </c>
      <c r="Y91" s="59">
        <f>C91*(($F91*($N91+$O91+$P91)))/453.59</f>
        <v>3.8331786038693062E-2</v>
      </c>
      <c r="Z91" s="59">
        <f>C91*(F91)*$B$220</f>
        <v>1.5699688532226787E-2</v>
      </c>
      <c r="AA91" s="59">
        <f>Z91*0.21</f>
        <v>3.296934591767625E-3</v>
      </c>
      <c r="AB91" s="59">
        <f>C91*(($F91*($Q91)))/453.59</f>
        <v>612.21884950335948</v>
      </c>
      <c r="AC91" s="59">
        <f>C91*(($F91*($R91)))/453.59</f>
        <v>3.4984021717170473E-2</v>
      </c>
      <c r="AD91" s="59">
        <f>C91*(($F91*($S91)))/453.59</f>
        <v>1.5682598048878057E-2</v>
      </c>
      <c r="AE91" s="63">
        <f t="shared" si="255"/>
        <v>132</v>
      </c>
      <c r="AF91" s="59">
        <f t="shared" si="256"/>
        <v>2.6714898822836026E-2</v>
      </c>
      <c r="AG91" s="59">
        <f t="shared" si="257"/>
        <v>0.14340568599569564</v>
      </c>
      <c r="AH91" s="59">
        <f t="shared" si="258"/>
        <v>6.4086394065606079E-3</v>
      </c>
      <c r="AI91" s="59">
        <f t="shared" si="259"/>
        <v>2.4938115496373376E-4</v>
      </c>
      <c r="AJ91" s="59">
        <f t="shared" si="260"/>
        <v>4.1280322486836676E-3</v>
      </c>
      <c r="AK91" s="59">
        <f t="shared" si="261"/>
        <v>2.5298978785537425E-3</v>
      </c>
      <c r="AL91" s="59">
        <f t="shared" si="262"/>
        <v>1.036179443126968E-3</v>
      </c>
      <c r="AM91" s="59">
        <f t="shared" si="263"/>
        <v>2.1759768305666324E-4</v>
      </c>
      <c r="AN91" s="59">
        <f t="shared" si="264"/>
        <v>40.406444067221727</v>
      </c>
      <c r="AO91" s="59">
        <f t="shared" si="265"/>
        <v>2.308945433333251E-3</v>
      </c>
      <c r="AP91" s="59">
        <f t="shared" si="266"/>
        <v>1.0350514712259519E-3</v>
      </c>
    </row>
    <row r="92" spans="1:42" x14ac:dyDescent="0.25">
      <c r="A92" s="91" t="s">
        <v>154</v>
      </c>
      <c r="B92" s="89" t="s">
        <v>128</v>
      </c>
      <c r="C92" s="90">
        <v>4</v>
      </c>
      <c r="D92" s="90">
        <v>2015</v>
      </c>
      <c r="E92" s="90">
        <v>35</v>
      </c>
      <c r="F92" s="90">
        <v>160</v>
      </c>
      <c r="G92" s="145">
        <v>1.1475010375994501</v>
      </c>
      <c r="H92" s="145">
        <v>6.1597902567033698</v>
      </c>
      <c r="I92" s="145">
        <v>0.27527412390358202</v>
      </c>
      <c r="J92" s="145">
        <v>1.0711818E-2</v>
      </c>
      <c r="K92" s="145">
        <v>7.9574350742464495E-2</v>
      </c>
      <c r="L92" s="606">
        <v>3.5999811999999999E-2</v>
      </c>
      <c r="M92" s="606">
        <v>6.1739677E-2</v>
      </c>
      <c r="N92" s="145">
        <v>7.32084026830674E-2</v>
      </c>
      <c r="O92" s="606">
        <v>8.9999529999999998E-3</v>
      </c>
      <c r="P92" s="606">
        <v>2.6459862000000001E-2</v>
      </c>
      <c r="Q92" s="145">
        <v>1735.6021746639301</v>
      </c>
      <c r="R92" s="56">
        <f>0.000057143*Q92</f>
        <v>9.9177515066820959E-2</v>
      </c>
      <c r="S92" s="93">
        <f>0.000025616*Q92</f>
        <v>4.445918530619123E-2</v>
      </c>
      <c r="T92" s="59">
        <f>C92*($F92*$G92)/453.59</f>
        <v>1.6190847771415773</v>
      </c>
      <c r="U92" s="59">
        <f>C92*($F92*$H92)/453.59</f>
        <v>8.6912536967088272</v>
      </c>
      <c r="V92" s="59">
        <f>C92*(($F92*$I92))/453.59</f>
        <v>0.3884023882764005</v>
      </c>
      <c r="W92" s="59">
        <f>C92*($F92*$J92)/453.59</f>
        <v>1.5114009391741441E-2</v>
      </c>
      <c r="X92" s="59">
        <f>C92*(($F92*($K92+$L92+$M92)))/453.59</f>
        <v>0.25018377264749503</v>
      </c>
      <c r="Y92" s="59">
        <f>C92*(($F92*($N92+$O92+$P92)))/453.59</f>
        <v>0.15332714415477225</v>
      </c>
      <c r="Z92" s="59">
        <f>C92*(F92)*$B$220</f>
        <v>6.2798754128907147E-2</v>
      </c>
      <c r="AA92" s="59">
        <f>Z92*0.21</f>
        <v>1.31877383670705E-2</v>
      </c>
      <c r="AB92" s="59">
        <f>C92*(($F92*($Q92)))/453.59</f>
        <v>2448.8753980134379</v>
      </c>
      <c r="AC92" s="59">
        <f>C92*(($F92*($R92)))/453.59</f>
        <v>0.13993608686868189</v>
      </c>
      <c r="AD92" s="59">
        <f>C92*(($F92*($S92)))/453.59</f>
        <v>6.2730392195512227E-2</v>
      </c>
      <c r="AE92" s="63"/>
      <c r="AF92" s="59">
        <f t="shared" si="256"/>
        <v>0</v>
      </c>
      <c r="AG92" s="59">
        <f t="shared" si="257"/>
        <v>0</v>
      </c>
      <c r="AH92" s="59">
        <f t="shared" si="258"/>
        <v>0</v>
      </c>
      <c r="AI92" s="59">
        <f t="shared" si="259"/>
        <v>0</v>
      </c>
      <c r="AJ92" s="59">
        <f t="shared" si="260"/>
        <v>0</v>
      </c>
      <c r="AK92" s="59">
        <f t="shared" si="261"/>
        <v>0</v>
      </c>
      <c r="AL92" s="59">
        <f t="shared" si="262"/>
        <v>0</v>
      </c>
      <c r="AM92" s="59">
        <f t="shared" si="263"/>
        <v>0</v>
      </c>
      <c r="AN92" s="59">
        <f t="shared" si="264"/>
        <v>0</v>
      </c>
      <c r="AO92" s="59">
        <f t="shared" si="265"/>
        <v>0</v>
      </c>
      <c r="AP92" s="59">
        <f t="shared" si="266"/>
        <v>0</v>
      </c>
    </row>
    <row r="93" spans="1:42" x14ac:dyDescent="0.25">
      <c r="A93" s="88" t="s">
        <v>38</v>
      </c>
      <c r="B93" s="87"/>
      <c r="C93" s="166"/>
      <c r="D93" s="166"/>
      <c r="E93" s="87"/>
      <c r="F93" s="87"/>
      <c r="G93" s="605"/>
      <c r="H93" s="50"/>
      <c r="I93" s="50"/>
      <c r="J93" s="50"/>
      <c r="K93" s="607"/>
      <c r="L93" s="607"/>
      <c r="M93" s="607"/>
      <c r="N93" s="607"/>
      <c r="O93" s="607"/>
      <c r="P93" s="607"/>
      <c r="Q93" s="50"/>
      <c r="R93" s="607"/>
      <c r="S93" s="607"/>
      <c r="T93" s="94">
        <f>SUM(T89:T92)</f>
        <v>3.0734072742447216</v>
      </c>
      <c r="U93" s="94">
        <f t="shared" ref="U93:AD93" si="267">SUM(U89:U92)</f>
        <v>14.544252821039606</v>
      </c>
      <c r="V93" s="94">
        <f t="shared" si="267"/>
        <v>0.71881216640651835</v>
      </c>
      <c r="W93" s="94">
        <f t="shared" si="267"/>
        <v>2.6246089137208169E-2</v>
      </c>
      <c r="X93" s="94">
        <f t="shared" si="267"/>
        <v>0.50368376879904964</v>
      </c>
      <c r="Y93" s="94">
        <f t="shared" si="267"/>
        <v>0.32612920035239079</v>
      </c>
      <c r="Z93" s="94">
        <f t="shared" si="267"/>
        <v>0.12559750825781429</v>
      </c>
      <c r="AA93" s="94">
        <f t="shared" si="267"/>
        <v>2.6375476734141003E-2</v>
      </c>
      <c r="AB93" s="94">
        <f t="shared" si="267"/>
        <v>4148.7542709368718</v>
      </c>
      <c r="AC93" s="94">
        <f t="shared" si="267"/>
        <v>0.23707226530414566</v>
      </c>
      <c r="AD93" s="94">
        <f t="shared" si="267"/>
        <v>0.1062744894043189</v>
      </c>
      <c r="AE93" s="69"/>
      <c r="AF93" s="94">
        <f t="shared" ref="AF93:AP93" si="268">SUM(AF89:AF92)</f>
        <v>9.5985284808807511E-2</v>
      </c>
      <c r="AG93" s="94">
        <f t="shared" si="268"/>
        <v>0.38629794220583136</v>
      </c>
      <c r="AH93" s="94">
        <f t="shared" si="268"/>
        <v>2.1807045356587781E-2</v>
      </c>
      <c r="AI93" s="94">
        <f t="shared" si="268"/>
        <v>7.3471726320080389E-4</v>
      </c>
      <c r="AJ93" s="94">
        <f t="shared" si="268"/>
        <v>1.6730999746002607E-2</v>
      </c>
      <c r="AK93" s="94">
        <f t="shared" si="268"/>
        <v>1.1404935709042822E-2</v>
      </c>
      <c r="AL93" s="94">
        <f t="shared" si="268"/>
        <v>4.1447177725078719E-3</v>
      </c>
      <c r="AM93" s="94">
        <f t="shared" si="268"/>
        <v>8.7039073222665319E-4</v>
      </c>
      <c r="AN93" s="94">
        <f t="shared" si="268"/>
        <v>112.1920056129466</v>
      </c>
      <c r="AO93" s="94">
        <f t="shared" si="268"/>
        <v>6.4109877767406075E-3</v>
      </c>
      <c r="AP93" s="94">
        <f t="shared" si="268"/>
        <v>2.8739104157812401E-3</v>
      </c>
    </row>
    <row r="94" spans="1:42" x14ac:dyDescent="0.25">
      <c r="A94" s="608"/>
      <c r="B94" s="87"/>
      <c r="C94" s="166"/>
      <c r="D94" s="166"/>
      <c r="E94" s="87"/>
      <c r="F94" s="87"/>
      <c r="G94" s="605"/>
      <c r="H94" s="50"/>
      <c r="I94" s="50"/>
      <c r="J94" s="50"/>
      <c r="K94" s="607"/>
      <c r="L94" s="607"/>
      <c r="M94" s="607"/>
      <c r="N94" s="607"/>
      <c r="O94" s="607"/>
      <c r="P94" s="607"/>
      <c r="Q94" s="50"/>
      <c r="R94" s="607"/>
      <c r="S94" s="607"/>
      <c r="T94" s="74"/>
      <c r="U94" s="74"/>
      <c r="V94" s="74"/>
      <c r="W94" s="74"/>
      <c r="X94" s="74"/>
      <c r="Y94" s="74"/>
      <c r="Z94" s="75"/>
      <c r="AA94" s="75"/>
      <c r="AB94" s="75"/>
      <c r="AC94" s="75"/>
      <c r="AD94" s="75"/>
      <c r="AE94" s="52"/>
      <c r="AF94" s="74"/>
      <c r="AG94" s="74"/>
      <c r="AH94" s="74"/>
      <c r="AI94" s="74"/>
      <c r="AJ94" s="74"/>
      <c r="AK94" s="74"/>
      <c r="AL94" s="75"/>
      <c r="AM94" s="75"/>
      <c r="AN94" s="76"/>
      <c r="AO94" s="74"/>
      <c r="AP94" s="74"/>
    </row>
    <row r="95" spans="1:42" x14ac:dyDescent="0.25">
      <c r="A95" s="177" t="s">
        <v>654</v>
      </c>
      <c r="B95" s="87"/>
      <c r="C95" s="166"/>
      <c r="D95" s="166"/>
      <c r="E95" s="87"/>
      <c r="F95" s="87"/>
      <c r="G95" s="605"/>
      <c r="H95" s="50"/>
      <c r="I95" s="50"/>
      <c r="J95" s="50"/>
      <c r="K95" s="607"/>
      <c r="L95" s="607"/>
      <c r="M95" s="607"/>
      <c r="N95" s="607"/>
      <c r="O95" s="607"/>
      <c r="P95" s="607"/>
      <c r="Q95" s="50"/>
      <c r="R95" s="607"/>
      <c r="S95" s="607"/>
      <c r="T95" s="74"/>
      <c r="U95" s="74"/>
      <c r="V95" s="74"/>
      <c r="W95" s="74"/>
      <c r="X95" s="74"/>
      <c r="Y95" s="74"/>
      <c r="Z95" s="75"/>
      <c r="AA95" s="75"/>
      <c r="AB95" s="75"/>
      <c r="AC95" s="75"/>
      <c r="AD95" s="75"/>
      <c r="AE95" s="52"/>
      <c r="AF95" s="74"/>
      <c r="AG95" s="74"/>
      <c r="AH95" s="74"/>
      <c r="AI95" s="74"/>
      <c r="AJ95" s="74"/>
      <c r="AK95" s="74"/>
      <c r="AL95" s="75"/>
      <c r="AM95" s="75"/>
      <c r="AN95" s="76"/>
      <c r="AO95" s="74"/>
      <c r="AP95" s="74"/>
    </row>
    <row r="96" spans="1:42" x14ac:dyDescent="0.25">
      <c r="A96" s="91" t="s">
        <v>114</v>
      </c>
      <c r="B96" s="89" t="s">
        <v>107</v>
      </c>
      <c r="C96" s="92">
        <v>4</v>
      </c>
      <c r="D96" s="90">
        <v>2016</v>
      </c>
      <c r="E96" s="90">
        <v>15</v>
      </c>
      <c r="F96" s="90">
        <v>60</v>
      </c>
      <c r="G96" s="145">
        <v>0.70902920600557995</v>
      </c>
      <c r="H96" s="145">
        <v>0.69767352274313099</v>
      </c>
      <c r="I96" s="145">
        <v>0.138100398559698</v>
      </c>
      <c r="J96" s="145">
        <v>3.18613688227605E-3</v>
      </c>
      <c r="K96" s="145">
        <v>0.11526917970440601</v>
      </c>
      <c r="L96" s="56">
        <v>7.99995847163921E-3</v>
      </c>
      <c r="M96" s="56">
        <v>3.6749815577381599E-2</v>
      </c>
      <c r="N96" s="145">
        <v>0.106047654633784</v>
      </c>
      <c r="O96" s="56">
        <v>1.9999896145790402E-3</v>
      </c>
      <c r="P96" s="56">
        <v>1.57499200131354E-2</v>
      </c>
      <c r="Q96" s="145">
        <v>305.602291171589</v>
      </c>
      <c r="R96" s="56">
        <f>0.000057143*Q96</f>
        <v>1.7463031724418109E-2</v>
      </c>
      <c r="S96" s="93">
        <f>0.000025616*Q96</f>
        <v>7.8283082906514239E-3</v>
      </c>
      <c r="T96" s="59">
        <f>C96*($F96*$G96)/453.59</f>
        <v>0.37515599868017196</v>
      </c>
      <c r="U96" s="59">
        <f>C96*($F96*$H96)/453.59</f>
        <v>0.36914756819672273</v>
      </c>
      <c r="V96" s="59">
        <f>C96*(($F96*$I96))/453.59</f>
        <v>7.3070604850917181E-2</v>
      </c>
      <c r="W96" s="59">
        <f>C96*($F96*$J96)/453.59</f>
        <v>1.6858238756283252E-3</v>
      </c>
      <c r="X96" s="59">
        <f>C96*(($F96*($K96+$L96+$M96)))/453.59</f>
        <v>8.4667979675086394E-2</v>
      </c>
      <c r="Y96" s="59">
        <f>C96*(($F96*($N96+$O96+$P96)))/453.59</f>
        <v>6.5502800817389337E-2</v>
      </c>
      <c r="Z96" s="59">
        <f>C96*(F96)*$B$220</f>
        <v>2.3549532798340184E-2</v>
      </c>
      <c r="AA96" s="59">
        <f>Z96*0.21</f>
        <v>4.9454018876514388E-3</v>
      </c>
      <c r="AB96" s="59">
        <f>C96*(($F96*($Q96)))/453.59</f>
        <v>161.69789872171205</v>
      </c>
      <c r="AC96" s="59">
        <f>C96*(($F96*($R96)))/453.59</f>
        <v>9.2399030266547902E-3</v>
      </c>
      <c r="AD96" s="59">
        <f>C96*(($F96*($S96)))/453.59</f>
        <v>4.1420533736553754E-3</v>
      </c>
      <c r="AE96" s="63">
        <f t="shared" ref="AE96:AE97" si="269">6*22</f>
        <v>132</v>
      </c>
      <c r="AF96" s="59">
        <f t="shared" ref="AF96:AF98" si="270">T96*$AE96/2000</f>
        <v>2.4760295912891351E-2</v>
      </c>
      <c r="AG96" s="59">
        <f t="shared" ref="AG96:AG98" si="271">U96*$AE96/2000</f>
        <v>2.4363739500983701E-2</v>
      </c>
      <c r="AH96" s="59">
        <f t="shared" ref="AH96:AH98" si="272">V96*$AE96/2000</f>
        <v>4.8226599201605345E-3</v>
      </c>
      <c r="AI96" s="59">
        <f t="shared" ref="AI96:AI98" si="273">W96*$AE96/2000</f>
        <v>1.1126437579146946E-4</v>
      </c>
      <c r="AJ96" s="59">
        <f t="shared" ref="AJ96:AJ98" si="274">X96*$AE96/2000</f>
        <v>5.5880866585557021E-3</v>
      </c>
      <c r="AK96" s="59">
        <f t="shared" ref="AK96:AK98" si="275">Y96*$AE96/2000</f>
        <v>4.3231848539476963E-3</v>
      </c>
      <c r="AL96" s="59">
        <f t="shared" ref="AL96:AL98" si="276">Z96*$AE96/2000</f>
        <v>1.5542691646904521E-3</v>
      </c>
      <c r="AM96" s="59">
        <f t="shared" ref="AM96:AM98" si="277">AA96*$AE96/2000</f>
        <v>3.2639652458499497E-4</v>
      </c>
      <c r="AN96" s="59">
        <f t="shared" ref="AN96:AN98" si="278">AB96*$AE96/2000</f>
        <v>10.672061315632995</v>
      </c>
      <c r="AO96" s="59">
        <f t="shared" ref="AO96:AO98" si="279">AC96*$AE96/2000</f>
        <v>6.0983359975921609E-4</v>
      </c>
      <c r="AP96" s="59">
        <f t="shared" ref="AP96:AP98" si="280">AD96*$AE96/2000</f>
        <v>2.7337552266125473E-4</v>
      </c>
    </row>
    <row r="97" spans="1:42" x14ac:dyDescent="0.25">
      <c r="A97" s="91" t="s">
        <v>205</v>
      </c>
      <c r="B97" s="89" t="s">
        <v>128</v>
      </c>
      <c r="C97" s="90">
        <v>3</v>
      </c>
      <c r="D97" s="90">
        <v>2016</v>
      </c>
      <c r="E97" s="90">
        <v>35</v>
      </c>
      <c r="F97" s="90">
        <v>80</v>
      </c>
      <c r="G97" s="145">
        <v>1.0826397662712</v>
      </c>
      <c r="H97" s="145">
        <v>4.9663485177263196</v>
      </c>
      <c r="I97" s="145">
        <v>0.26248012574830598</v>
      </c>
      <c r="J97" s="145">
        <v>1.0711818E-2</v>
      </c>
      <c r="K97" s="145">
        <v>7.1679901069995999E-2</v>
      </c>
      <c r="L97" s="606">
        <v>3.5999811999999999E-2</v>
      </c>
      <c r="M97" s="606">
        <v>6.1739677E-2</v>
      </c>
      <c r="N97" s="145">
        <v>6.59455089843963E-2</v>
      </c>
      <c r="O97" s="606">
        <v>8.9999529999999998E-3</v>
      </c>
      <c r="P97" s="606">
        <v>2.6459862000000001E-2</v>
      </c>
      <c r="Q97" s="145">
        <v>1710.7260798812899</v>
      </c>
      <c r="R97" s="56">
        <f>0.000057143*Q97</f>
        <v>9.7756020382656544E-2</v>
      </c>
      <c r="S97" s="93">
        <f>0.000025616*Q97</f>
        <v>4.382195926223912E-2</v>
      </c>
      <c r="T97" s="59">
        <f>C97*($F97*$G97)/453.59</f>
        <v>0.57283790186090522</v>
      </c>
      <c r="U97" s="59">
        <f>C97*($F97*$H97)/453.59</f>
        <v>2.6277555595456619</v>
      </c>
      <c r="V97" s="59">
        <f>C97*(($F97*$I97))/453.59</f>
        <v>0.13888143517183676</v>
      </c>
      <c r="W97" s="59">
        <f>C97*($F97*$J97)/453.59</f>
        <v>5.6677535219030401E-3</v>
      </c>
      <c r="X97" s="59">
        <f>C97*(($F97*($K97+$L97+$M97)))/453.59</f>
        <v>8.9641865157518999E-2</v>
      </c>
      <c r="Y97" s="59">
        <f>C97*(($F97*($N97+$O97+$P97)))/453.59</f>
        <v>5.3654793439571226E-2</v>
      </c>
      <c r="Z97" s="59">
        <f>C97*(F97)*$B$220</f>
        <v>2.3549532798340184E-2</v>
      </c>
      <c r="AA97" s="59">
        <f>Z97*0.21</f>
        <v>4.9454018876514388E-3</v>
      </c>
      <c r="AB97" s="59">
        <f>C97*(($F97*($Q97)))/453.59</f>
        <v>905.16602917063767</v>
      </c>
      <c r="AC97" s="59">
        <f>C97*(($F97*($R97)))/453.59</f>
        <v>5.1723902404897749E-2</v>
      </c>
      <c r="AD97" s="59">
        <f>C97*(($F97*($S97)))/453.59</f>
        <v>2.3186733003235056E-2</v>
      </c>
      <c r="AE97" s="63">
        <f t="shared" si="269"/>
        <v>132</v>
      </c>
      <c r="AF97" s="59">
        <f t="shared" si="270"/>
        <v>3.780730152281974E-2</v>
      </c>
      <c r="AG97" s="59">
        <f t="shared" si="271"/>
        <v>0.1734318669300137</v>
      </c>
      <c r="AH97" s="59">
        <f t="shared" si="272"/>
        <v>9.1661747213412272E-3</v>
      </c>
      <c r="AI97" s="59">
        <f t="shared" si="273"/>
        <v>3.7407173244560066E-4</v>
      </c>
      <c r="AJ97" s="59">
        <f t="shared" si="274"/>
        <v>5.9163631003962538E-3</v>
      </c>
      <c r="AK97" s="59">
        <f t="shared" si="275"/>
        <v>3.5412163670117008E-3</v>
      </c>
      <c r="AL97" s="59">
        <f t="shared" si="276"/>
        <v>1.5542691646904521E-3</v>
      </c>
      <c r="AM97" s="59">
        <f t="shared" si="277"/>
        <v>3.2639652458499497E-4</v>
      </c>
      <c r="AN97" s="59">
        <f t="shared" si="278"/>
        <v>59.740957925262087</v>
      </c>
      <c r="AO97" s="59">
        <f t="shared" si="279"/>
        <v>3.4137775587232515E-3</v>
      </c>
      <c r="AP97" s="59">
        <f t="shared" si="280"/>
        <v>1.5303243782135137E-3</v>
      </c>
    </row>
    <row r="98" spans="1:42" x14ac:dyDescent="0.25">
      <c r="A98" s="91" t="s">
        <v>154</v>
      </c>
      <c r="B98" s="89" t="s">
        <v>128</v>
      </c>
      <c r="C98" s="90">
        <v>4</v>
      </c>
      <c r="D98" s="90">
        <v>2016</v>
      </c>
      <c r="E98" s="90">
        <v>35</v>
      </c>
      <c r="F98" s="90">
        <v>160</v>
      </c>
      <c r="G98" s="145">
        <v>1.0826397662712</v>
      </c>
      <c r="H98" s="145">
        <v>4.9663485177263196</v>
      </c>
      <c r="I98" s="145">
        <v>0.26248012574830598</v>
      </c>
      <c r="J98" s="145">
        <v>1.0711818E-2</v>
      </c>
      <c r="K98" s="145">
        <v>7.1679901069995999E-2</v>
      </c>
      <c r="L98" s="606">
        <v>3.5999811999999999E-2</v>
      </c>
      <c r="M98" s="606">
        <v>6.1739677E-2</v>
      </c>
      <c r="N98" s="145">
        <v>6.59455089843963E-2</v>
      </c>
      <c r="O98" s="606">
        <v>8.9999529999999998E-3</v>
      </c>
      <c r="P98" s="606">
        <v>2.6459862000000001E-2</v>
      </c>
      <c r="Q98" s="145">
        <v>1710.7260798812899</v>
      </c>
      <c r="R98" s="56">
        <f>0.000057143*Q98</f>
        <v>9.7756020382656544E-2</v>
      </c>
      <c r="S98" s="93">
        <f>0.000025616*Q98</f>
        <v>4.382195926223912E-2</v>
      </c>
      <c r="T98" s="59">
        <f>C98*($F98*$G98)/453.59</f>
        <v>1.5275677382957473</v>
      </c>
      <c r="U98" s="59">
        <f>C98*($F98*$H98)/453.59</f>
        <v>7.0073481587884316</v>
      </c>
      <c r="V98" s="59">
        <f>C98*(($F98*$I98))/453.59</f>
        <v>0.37035049379156471</v>
      </c>
      <c r="W98" s="59">
        <f>C98*($F98*$J98)/453.59</f>
        <v>1.5114009391741441E-2</v>
      </c>
      <c r="X98" s="59">
        <f>C98*(($F98*($K98+$L98+$M98)))/453.59</f>
        <v>0.23904497375338396</v>
      </c>
      <c r="Y98" s="59">
        <f>C98*(($F98*($N98+$O98+$P98)))/453.59</f>
        <v>0.14307944917218995</v>
      </c>
      <c r="Z98" s="59">
        <f>C98*(F98)*$B$220</f>
        <v>6.2798754128907147E-2</v>
      </c>
      <c r="AA98" s="59">
        <f>Z98*0.21</f>
        <v>1.31877383670705E-2</v>
      </c>
      <c r="AB98" s="59">
        <f>C98*(($F98*($Q98)))/453.59</f>
        <v>2413.7760777883673</v>
      </c>
      <c r="AC98" s="59">
        <f>C98*(($F98*($R98)))/453.59</f>
        <v>0.13793040641306067</v>
      </c>
      <c r="AD98" s="59">
        <f>C98*(($F98*($S98)))/453.59</f>
        <v>6.1831288008626813E-2</v>
      </c>
      <c r="AE98" s="63"/>
      <c r="AF98" s="59">
        <f t="shared" si="270"/>
        <v>0</v>
      </c>
      <c r="AG98" s="59">
        <f t="shared" si="271"/>
        <v>0</v>
      </c>
      <c r="AH98" s="59">
        <f t="shared" si="272"/>
        <v>0</v>
      </c>
      <c r="AI98" s="59">
        <f t="shared" si="273"/>
        <v>0</v>
      </c>
      <c r="AJ98" s="59">
        <f t="shared" si="274"/>
        <v>0</v>
      </c>
      <c r="AK98" s="59">
        <f t="shared" si="275"/>
        <v>0</v>
      </c>
      <c r="AL98" s="59">
        <f t="shared" si="276"/>
        <v>0</v>
      </c>
      <c r="AM98" s="59">
        <f t="shared" si="277"/>
        <v>0</v>
      </c>
      <c r="AN98" s="59">
        <f t="shared" si="278"/>
        <v>0</v>
      </c>
      <c r="AO98" s="59">
        <f t="shared" si="279"/>
        <v>0</v>
      </c>
      <c r="AP98" s="59">
        <f t="shared" si="280"/>
        <v>0</v>
      </c>
    </row>
    <row r="99" spans="1:42" x14ac:dyDescent="0.25">
      <c r="A99" s="88" t="s">
        <v>38</v>
      </c>
      <c r="B99" s="87"/>
      <c r="C99" s="166"/>
      <c r="D99" s="166"/>
      <c r="E99" s="87"/>
      <c r="F99" s="87"/>
      <c r="G99" s="605"/>
      <c r="H99" s="50"/>
      <c r="I99" s="50"/>
      <c r="J99" s="50"/>
      <c r="K99" s="607"/>
      <c r="L99" s="607"/>
      <c r="M99" s="607"/>
      <c r="N99" s="607"/>
      <c r="O99" s="607"/>
      <c r="P99" s="607"/>
      <c r="Q99" s="50"/>
      <c r="R99" s="607"/>
      <c r="S99" s="607"/>
      <c r="T99" s="94">
        <f t="shared" ref="T99:AD99" si="281">SUM(T96:T98)</f>
        <v>2.4755616388368242</v>
      </c>
      <c r="U99" s="94">
        <f t="shared" si="281"/>
        <v>10.004251286530817</v>
      </c>
      <c r="V99" s="94">
        <f t="shared" si="281"/>
        <v>0.58230253381431862</v>
      </c>
      <c r="W99" s="94">
        <f t="shared" si="281"/>
        <v>2.2467586789272805E-2</v>
      </c>
      <c r="X99" s="94">
        <f t="shared" si="281"/>
        <v>0.41335481858598933</v>
      </c>
      <c r="Y99" s="94">
        <f t="shared" si="281"/>
        <v>0.26223704342915055</v>
      </c>
      <c r="Z99" s="94">
        <f t="shared" si="281"/>
        <v>0.10989781972558751</v>
      </c>
      <c r="AA99" s="94">
        <f t="shared" si="281"/>
        <v>2.3078542142373377E-2</v>
      </c>
      <c r="AB99" s="94">
        <f t="shared" si="281"/>
        <v>3480.640005680717</v>
      </c>
      <c r="AC99" s="94">
        <f t="shared" si="281"/>
        <v>0.1988942118446132</v>
      </c>
      <c r="AD99" s="94">
        <f t="shared" si="281"/>
        <v>8.9160074385517235E-2</v>
      </c>
      <c r="AE99" s="69"/>
      <c r="AF99" s="94">
        <f t="shared" ref="AF99:AP99" si="282">SUM(AF96:AF98)</f>
        <v>6.2567597435711095E-2</v>
      </c>
      <c r="AG99" s="94">
        <f t="shared" si="282"/>
        <v>0.19779560643099739</v>
      </c>
      <c r="AH99" s="94">
        <f t="shared" si="282"/>
        <v>1.3988834641501762E-2</v>
      </c>
      <c r="AI99" s="94">
        <f t="shared" si="282"/>
        <v>4.8533610823707013E-4</v>
      </c>
      <c r="AJ99" s="94">
        <f t="shared" si="282"/>
        <v>1.1504449758951957E-2</v>
      </c>
      <c r="AK99" s="94">
        <f t="shared" si="282"/>
        <v>7.8644012209593966E-3</v>
      </c>
      <c r="AL99" s="94">
        <f t="shared" si="282"/>
        <v>3.1085383293809042E-3</v>
      </c>
      <c r="AM99" s="94">
        <f t="shared" si="282"/>
        <v>6.5279304916998995E-4</v>
      </c>
      <c r="AN99" s="94">
        <f t="shared" si="282"/>
        <v>70.413019240895082</v>
      </c>
      <c r="AO99" s="94">
        <f t="shared" si="282"/>
        <v>4.0236111584824675E-3</v>
      </c>
      <c r="AP99" s="94">
        <f t="shared" si="282"/>
        <v>1.8036999008747684E-3</v>
      </c>
    </row>
    <row r="100" spans="1:42" x14ac:dyDescent="0.25">
      <c r="A100" s="608"/>
      <c r="B100" s="87"/>
      <c r="C100" s="166"/>
      <c r="D100" s="166"/>
      <c r="E100" s="87"/>
      <c r="F100" s="87"/>
      <c r="G100" s="605"/>
      <c r="H100" s="50"/>
      <c r="I100" s="50"/>
      <c r="J100" s="50"/>
      <c r="K100" s="607"/>
      <c r="L100" s="607"/>
      <c r="M100" s="607"/>
      <c r="N100" s="607"/>
      <c r="O100" s="607"/>
      <c r="P100" s="607"/>
      <c r="Q100" s="50"/>
      <c r="R100" s="607"/>
      <c r="S100" s="607"/>
      <c r="T100" s="74"/>
      <c r="U100" s="74"/>
      <c r="V100" s="74"/>
      <c r="W100" s="74"/>
      <c r="X100" s="74"/>
      <c r="Y100" s="74"/>
      <c r="Z100" s="75"/>
      <c r="AA100" s="75"/>
      <c r="AB100" s="75"/>
      <c r="AC100" s="75"/>
      <c r="AD100" s="75"/>
      <c r="AE100" s="52"/>
      <c r="AF100" s="74"/>
      <c r="AG100" s="74"/>
      <c r="AH100" s="74"/>
      <c r="AI100" s="74"/>
      <c r="AJ100" s="74"/>
      <c r="AK100" s="74"/>
      <c r="AL100" s="75"/>
      <c r="AM100" s="75"/>
      <c r="AN100" s="76"/>
      <c r="AO100" s="74"/>
      <c r="AP100" s="74"/>
    </row>
    <row r="101" spans="1:42" x14ac:dyDescent="0.25">
      <c r="A101" s="177" t="s">
        <v>654</v>
      </c>
      <c r="B101" s="87"/>
      <c r="C101" s="166"/>
      <c r="D101" s="166"/>
      <c r="E101" s="87"/>
      <c r="F101" s="87"/>
      <c r="G101" s="605"/>
      <c r="H101" s="50"/>
      <c r="I101" s="50"/>
      <c r="J101" s="50"/>
      <c r="K101" s="607"/>
      <c r="L101" s="607"/>
      <c r="M101" s="607"/>
      <c r="N101" s="607"/>
      <c r="O101" s="607"/>
      <c r="P101" s="607"/>
      <c r="Q101" s="50"/>
      <c r="R101" s="607"/>
      <c r="S101" s="607"/>
      <c r="T101" s="74"/>
      <c r="U101" s="74"/>
      <c r="V101" s="74"/>
      <c r="W101" s="74"/>
      <c r="X101" s="74"/>
      <c r="Y101" s="74"/>
      <c r="Z101" s="75"/>
      <c r="AA101" s="75"/>
      <c r="AB101" s="75"/>
      <c r="AC101" s="75"/>
      <c r="AD101" s="75"/>
      <c r="AE101" s="52"/>
      <c r="AF101" s="74"/>
      <c r="AG101" s="74"/>
      <c r="AH101" s="74"/>
      <c r="AI101" s="74"/>
      <c r="AJ101" s="74"/>
      <c r="AK101" s="74"/>
      <c r="AL101" s="75"/>
      <c r="AM101" s="75"/>
      <c r="AN101" s="76"/>
      <c r="AO101" s="74"/>
      <c r="AP101" s="74"/>
    </row>
    <row r="102" spans="1:42" x14ac:dyDescent="0.25">
      <c r="A102" s="91" t="s">
        <v>114</v>
      </c>
      <c r="B102" s="89" t="s">
        <v>107</v>
      </c>
      <c r="C102" s="92">
        <v>4</v>
      </c>
      <c r="D102" s="90">
        <v>2018</v>
      </c>
      <c r="E102" s="90">
        <v>15</v>
      </c>
      <c r="F102" s="90">
        <v>60</v>
      </c>
      <c r="G102" s="145">
        <v>0.56875974610331004</v>
      </c>
      <c r="H102" s="145">
        <v>0.60613619912309102</v>
      </c>
      <c r="I102" s="145">
        <v>0.110002906126779</v>
      </c>
      <c r="J102" s="145">
        <v>3.18613688227605E-3</v>
      </c>
      <c r="K102" s="145">
        <v>9.0901627580601399E-2</v>
      </c>
      <c r="L102" s="56">
        <v>7.99995847163921E-3</v>
      </c>
      <c r="M102" s="56">
        <v>3.6749815577381599E-2</v>
      </c>
      <c r="N102" s="145">
        <v>8.3629500044256497E-2</v>
      </c>
      <c r="O102" s="56">
        <v>1.9999896145790402E-3</v>
      </c>
      <c r="P102" s="56">
        <v>1.57499200131354E-2</v>
      </c>
      <c r="Q102" s="145">
        <v>284.47755884310999</v>
      </c>
      <c r="R102" s="56">
        <f>0.000057143*Q102</f>
        <v>1.6255901144971833E-2</v>
      </c>
      <c r="S102" s="93">
        <f>0.000025616*Q102</f>
        <v>7.2871771473251058E-3</v>
      </c>
      <c r="T102" s="59">
        <f>C102*($F102*$G102)/453.59</f>
        <v>0.30093771702373157</v>
      </c>
      <c r="U102" s="59">
        <f>C102*($F102*$H102)/453.59</f>
        <v>0.32071405407866543</v>
      </c>
      <c r="V102" s="59">
        <f>C102*(($F102*$I102))/453.59</f>
        <v>5.8203878988573293E-2</v>
      </c>
      <c r="W102" s="59">
        <f>C102*($F102*$J102)/453.59</f>
        <v>1.6858238756283252E-3</v>
      </c>
      <c r="X102" s="59">
        <f>C102*(($F102*($K102+$L102+$M102)))/453.59</f>
        <v>7.177481071255834E-2</v>
      </c>
      <c r="Y102" s="59">
        <f>C102*(($F102*($N102+$O102+$P102)))/453.59</f>
        <v>5.3641081860872207E-2</v>
      </c>
      <c r="Z102" s="59">
        <f>C102*(F102)*$B$220</f>
        <v>2.3549532798340184E-2</v>
      </c>
      <c r="AA102" s="59">
        <f>Z102*0.21</f>
        <v>4.9454018876514388E-3</v>
      </c>
      <c r="AB102" s="59">
        <f>C102*(($F102*($Q102)))/453.59</f>
        <v>150.52054525528868</v>
      </c>
      <c r="AC102" s="59">
        <f>C102*(($F102*($R102)))/453.59</f>
        <v>8.601195517522961E-3</v>
      </c>
      <c r="AD102" s="59">
        <f>C102*(($F102*($S102)))/453.59</f>
        <v>3.8557342872594757E-3</v>
      </c>
      <c r="AE102" s="63">
        <f t="shared" ref="AE102:AE103" si="283">6*22</f>
        <v>132</v>
      </c>
      <c r="AF102" s="59">
        <f t="shared" ref="AF102:AF104" si="284">T102*$AE102/2000</f>
        <v>1.9861889323566286E-2</v>
      </c>
      <c r="AG102" s="59">
        <f t="shared" ref="AG102:AG104" si="285">U102*$AE102/2000</f>
        <v>2.116712756919192E-2</v>
      </c>
      <c r="AH102" s="59">
        <f t="shared" ref="AH102:AH104" si="286">V102*$AE102/2000</f>
        <v>3.8414560132458372E-3</v>
      </c>
      <c r="AI102" s="59">
        <f t="shared" ref="AI102:AI104" si="287">W102*$AE102/2000</f>
        <v>1.1126437579146946E-4</v>
      </c>
      <c r="AJ102" s="59">
        <f t="shared" ref="AJ102:AJ104" si="288">X102*$AE102/2000</f>
        <v>4.737137507028851E-3</v>
      </c>
      <c r="AK102" s="59">
        <f t="shared" ref="AK102:AK104" si="289">Y102*$AE102/2000</f>
        <v>3.5403114028175653E-3</v>
      </c>
      <c r="AL102" s="59">
        <f t="shared" ref="AL102:AL104" si="290">Z102*$AE102/2000</f>
        <v>1.5542691646904521E-3</v>
      </c>
      <c r="AM102" s="59">
        <f t="shared" ref="AM102:AM104" si="291">AA102*$AE102/2000</f>
        <v>3.2639652458499497E-4</v>
      </c>
      <c r="AN102" s="59">
        <f t="shared" ref="AN102:AN104" si="292">AB102*$AE102/2000</f>
        <v>9.9343559868490541</v>
      </c>
      <c r="AO102" s="59">
        <f t="shared" ref="AO102:AO104" si="293">AC102*$AE102/2000</f>
        <v>5.6767890415651545E-4</v>
      </c>
      <c r="AP102" s="59">
        <f t="shared" ref="AP102:AP104" si="294">AD102*$AE102/2000</f>
        <v>2.5447846295912539E-4</v>
      </c>
    </row>
    <row r="103" spans="1:42" x14ac:dyDescent="0.25">
      <c r="A103" s="91" t="s">
        <v>205</v>
      </c>
      <c r="B103" s="89" t="s">
        <v>128</v>
      </c>
      <c r="C103" s="90">
        <v>3</v>
      </c>
      <c r="D103" s="90">
        <v>2018</v>
      </c>
      <c r="E103" s="90">
        <v>35</v>
      </c>
      <c r="F103" s="90">
        <v>80</v>
      </c>
      <c r="G103" s="145">
        <v>0.97146929489637202</v>
      </c>
      <c r="H103" s="145">
        <v>3.4422916834835999</v>
      </c>
      <c r="I103" s="145">
        <v>0.23701153968834099</v>
      </c>
      <c r="J103" s="145">
        <v>1.0711818E-2</v>
      </c>
      <c r="K103" s="145">
        <v>6.1975092965986203E-2</v>
      </c>
      <c r="L103" s="606">
        <v>3.5999811999999999E-2</v>
      </c>
      <c r="M103" s="606">
        <v>6.1739677E-2</v>
      </c>
      <c r="N103" s="145">
        <v>5.7017085528707302E-2</v>
      </c>
      <c r="O103" s="606">
        <v>8.9999529999999998E-3</v>
      </c>
      <c r="P103" s="606">
        <v>2.6459862000000001E-2</v>
      </c>
      <c r="Q103" s="145">
        <v>1648.0324343581101</v>
      </c>
      <c r="R103" s="56">
        <f>0.000057143*Q103</f>
        <v>9.4173517396525477E-2</v>
      </c>
      <c r="S103" s="93">
        <f>0.000025616*Q103</f>
        <v>4.221599883851735E-2</v>
      </c>
      <c r="T103" s="59">
        <f>C103*($F103*$G103)/453.59</f>
        <v>0.51401624986249539</v>
      </c>
      <c r="U103" s="59">
        <f>C103*($F103*$H103)/453.59</f>
        <v>1.8213585044557068</v>
      </c>
      <c r="V103" s="59">
        <f>C103*(($F103*$I103))/453.59</f>
        <v>0.12540569572786403</v>
      </c>
      <c r="W103" s="59">
        <f>C103*($F103*$J103)/453.59</f>
        <v>5.6677535219030401E-3</v>
      </c>
      <c r="X103" s="59">
        <f>C103*(($F103*($K103+$L103+$M103)))/453.59</f>
        <v>8.4506932850893293E-2</v>
      </c>
      <c r="Y103" s="59">
        <f>C103*(($F103*($N103+$O103+$P103)))/453.59</f>
        <v>4.8930655717475589E-2</v>
      </c>
      <c r="Z103" s="59">
        <f>C103*(F103)*$B$220</f>
        <v>2.3549532798340184E-2</v>
      </c>
      <c r="AA103" s="59">
        <f>Z103*0.21</f>
        <v>4.9454018876514388E-3</v>
      </c>
      <c r="AB103" s="59">
        <f>C103*(($F103*($Q103)))/453.59</f>
        <v>871.99405684857788</v>
      </c>
      <c r="AC103" s="59">
        <f>C103*(($F103*($R103)))/453.59</f>
        <v>4.9828356390498284E-2</v>
      </c>
      <c r="AD103" s="59">
        <f>C103*(($F103*($S103)))/453.59</f>
        <v>2.2336999760233171E-2</v>
      </c>
      <c r="AE103" s="63">
        <f t="shared" si="283"/>
        <v>132</v>
      </c>
      <c r="AF103" s="59">
        <f t="shared" si="284"/>
        <v>3.3925072490924697E-2</v>
      </c>
      <c r="AG103" s="59">
        <f t="shared" si="285"/>
        <v>0.12020966129407665</v>
      </c>
      <c r="AH103" s="59">
        <f t="shared" si="286"/>
        <v>8.2767759180390268E-3</v>
      </c>
      <c r="AI103" s="59">
        <f t="shared" si="287"/>
        <v>3.7407173244560066E-4</v>
      </c>
      <c r="AJ103" s="59">
        <f t="shared" si="288"/>
        <v>5.5774575681589575E-3</v>
      </c>
      <c r="AK103" s="59">
        <f t="shared" si="289"/>
        <v>3.2294232773533889E-3</v>
      </c>
      <c r="AL103" s="59">
        <f t="shared" si="290"/>
        <v>1.5542691646904521E-3</v>
      </c>
      <c r="AM103" s="59">
        <f t="shared" si="291"/>
        <v>3.2639652458499497E-4</v>
      </c>
      <c r="AN103" s="59">
        <f t="shared" si="292"/>
        <v>57.551607752006134</v>
      </c>
      <c r="AO103" s="59">
        <f t="shared" si="293"/>
        <v>3.2886715217728866E-3</v>
      </c>
      <c r="AP103" s="59">
        <f t="shared" si="294"/>
        <v>1.4742419841753892E-3</v>
      </c>
    </row>
    <row r="104" spans="1:42" x14ac:dyDescent="0.25">
      <c r="A104" s="91" t="s">
        <v>154</v>
      </c>
      <c r="B104" s="89" t="s">
        <v>128</v>
      </c>
      <c r="C104" s="90">
        <v>4</v>
      </c>
      <c r="D104" s="90">
        <v>2018</v>
      </c>
      <c r="E104" s="90">
        <v>35</v>
      </c>
      <c r="F104" s="90">
        <v>160</v>
      </c>
      <c r="G104" s="145">
        <v>0.97146929489637202</v>
      </c>
      <c r="H104" s="145">
        <v>3.4422916834835999</v>
      </c>
      <c r="I104" s="145">
        <v>0.23701153968834099</v>
      </c>
      <c r="J104" s="145">
        <v>1.0711818E-2</v>
      </c>
      <c r="K104" s="145">
        <v>6.1975092965986203E-2</v>
      </c>
      <c r="L104" s="606">
        <v>3.5999811999999999E-2</v>
      </c>
      <c r="M104" s="606">
        <v>6.1739677E-2</v>
      </c>
      <c r="N104" s="145">
        <v>5.7017085528707302E-2</v>
      </c>
      <c r="O104" s="606">
        <v>8.9999529999999998E-3</v>
      </c>
      <c r="P104" s="606">
        <v>2.6459862000000001E-2</v>
      </c>
      <c r="Q104" s="145">
        <v>1648.0324343581101</v>
      </c>
      <c r="R104" s="56">
        <f>0.000057143*Q104</f>
        <v>9.4173517396525477E-2</v>
      </c>
      <c r="S104" s="93">
        <f>0.000025616*Q104</f>
        <v>4.221599883851735E-2</v>
      </c>
      <c r="T104" s="59">
        <f>C104*($F104*$G104)/453.59</f>
        <v>1.370709999633321</v>
      </c>
      <c r="U104" s="59">
        <f>C104*($F104*$H104)/453.59</f>
        <v>4.8569560118818851</v>
      </c>
      <c r="V104" s="59">
        <f>C104*(($F104*$I104))/453.59</f>
        <v>0.33441518860763736</v>
      </c>
      <c r="W104" s="59">
        <f>C104*($F104*$J104)/453.59</f>
        <v>1.5114009391741441E-2</v>
      </c>
      <c r="X104" s="59">
        <f>C104*(($F104*($K104+$L104+$M104)))/453.59</f>
        <v>0.22535182093571546</v>
      </c>
      <c r="Y104" s="59">
        <f>C104*(($F104*($N104+$O104+$P104)))/453.59</f>
        <v>0.13048174857993491</v>
      </c>
      <c r="Z104" s="59">
        <f>C104*(F104)*$B$220</f>
        <v>6.2798754128907147E-2</v>
      </c>
      <c r="AA104" s="59">
        <f>Z104*0.21</f>
        <v>1.31877383670705E-2</v>
      </c>
      <c r="AB104" s="59">
        <f>C104*(($F104*($Q104)))/453.59</f>
        <v>2325.317484929541</v>
      </c>
      <c r="AC104" s="59">
        <f>C104*(($F104*($R104)))/453.59</f>
        <v>0.13287561704132875</v>
      </c>
      <c r="AD104" s="59">
        <f>C104*(($F104*($S104)))/453.59</f>
        <v>5.9565332693955121E-2</v>
      </c>
      <c r="AE104" s="63"/>
      <c r="AF104" s="59">
        <f t="shared" si="284"/>
        <v>0</v>
      </c>
      <c r="AG104" s="59">
        <f t="shared" si="285"/>
        <v>0</v>
      </c>
      <c r="AH104" s="59">
        <f t="shared" si="286"/>
        <v>0</v>
      </c>
      <c r="AI104" s="59">
        <f t="shared" si="287"/>
        <v>0</v>
      </c>
      <c r="AJ104" s="59">
        <f t="shared" si="288"/>
        <v>0</v>
      </c>
      <c r="AK104" s="59">
        <f t="shared" si="289"/>
        <v>0</v>
      </c>
      <c r="AL104" s="59">
        <f t="shared" si="290"/>
        <v>0</v>
      </c>
      <c r="AM104" s="59">
        <f t="shared" si="291"/>
        <v>0</v>
      </c>
      <c r="AN104" s="59">
        <f t="shared" si="292"/>
        <v>0</v>
      </c>
      <c r="AO104" s="59">
        <f t="shared" si="293"/>
        <v>0</v>
      </c>
      <c r="AP104" s="59">
        <f t="shared" si="294"/>
        <v>0</v>
      </c>
    </row>
    <row r="105" spans="1:42" x14ac:dyDescent="0.25">
      <c r="A105" s="88" t="s">
        <v>38</v>
      </c>
      <c r="B105" s="87"/>
      <c r="C105" s="166"/>
      <c r="D105" s="166"/>
      <c r="E105" s="87"/>
      <c r="F105" s="87"/>
      <c r="G105" s="605"/>
      <c r="H105" s="50"/>
      <c r="I105" s="50"/>
      <c r="J105" s="50"/>
      <c r="K105" s="607"/>
      <c r="L105" s="607"/>
      <c r="M105" s="607"/>
      <c r="N105" s="607"/>
      <c r="O105" s="607"/>
      <c r="P105" s="607"/>
      <c r="Q105" s="50"/>
      <c r="R105" s="607"/>
      <c r="S105" s="607"/>
      <c r="T105" s="94">
        <f t="shared" ref="T105:AD105" si="295">SUM(T102:T104)</f>
        <v>2.1856639665195479</v>
      </c>
      <c r="U105" s="94">
        <f t="shared" si="295"/>
        <v>6.9990285704162574</v>
      </c>
      <c r="V105" s="94">
        <f t="shared" si="295"/>
        <v>0.51802476332407466</v>
      </c>
      <c r="W105" s="94">
        <f t="shared" si="295"/>
        <v>2.2467586789272805E-2</v>
      </c>
      <c r="X105" s="94">
        <f t="shared" si="295"/>
        <v>0.38163356449916708</v>
      </c>
      <c r="Y105" s="94">
        <f t="shared" si="295"/>
        <v>0.2330534861582827</v>
      </c>
      <c r="Z105" s="94">
        <f t="shared" si="295"/>
        <v>0.10989781972558751</v>
      </c>
      <c r="AA105" s="94">
        <f t="shared" si="295"/>
        <v>2.3078542142373377E-2</v>
      </c>
      <c r="AB105" s="94">
        <f t="shared" si="295"/>
        <v>3347.8320870334073</v>
      </c>
      <c r="AC105" s="94">
        <f t="shared" si="295"/>
        <v>0.19130516894934999</v>
      </c>
      <c r="AD105" s="94">
        <f t="shared" si="295"/>
        <v>8.5758066741447772E-2</v>
      </c>
      <c r="AE105" s="69"/>
      <c r="AF105" s="94">
        <f t="shared" ref="AF105:AP105" si="296">SUM(AF102:AF104)</f>
        <v>5.3786961814490983E-2</v>
      </c>
      <c r="AG105" s="94">
        <f t="shared" si="296"/>
        <v>0.14137678886326857</v>
      </c>
      <c r="AH105" s="94">
        <f t="shared" si="296"/>
        <v>1.2118231931284864E-2</v>
      </c>
      <c r="AI105" s="94">
        <f t="shared" si="296"/>
        <v>4.8533610823707013E-4</v>
      </c>
      <c r="AJ105" s="94">
        <f t="shared" si="296"/>
        <v>1.0314595075187808E-2</v>
      </c>
      <c r="AK105" s="94">
        <f t="shared" si="296"/>
        <v>6.7697346801709538E-3</v>
      </c>
      <c r="AL105" s="94">
        <f t="shared" si="296"/>
        <v>3.1085383293809042E-3</v>
      </c>
      <c r="AM105" s="94">
        <f t="shared" si="296"/>
        <v>6.5279304916998995E-4</v>
      </c>
      <c r="AN105" s="94">
        <f t="shared" si="296"/>
        <v>67.48596373885519</v>
      </c>
      <c r="AO105" s="94">
        <f t="shared" si="296"/>
        <v>3.8563504259294021E-3</v>
      </c>
      <c r="AP105" s="94">
        <f t="shared" si="296"/>
        <v>1.7287204471345147E-3</v>
      </c>
    </row>
    <row r="106" spans="1:42" x14ac:dyDescent="0.25">
      <c r="A106" s="608"/>
      <c r="B106" s="87"/>
      <c r="C106" s="166"/>
      <c r="D106" s="166"/>
      <c r="E106" s="87"/>
      <c r="F106" s="87"/>
      <c r="G106" s="605"/>
      <c r="H106" s="50"/>
      <c r="I106" s="50"/>
      <c r="J106" s="50"/>
      <c r="K106" s="607"/>
      <c r="L106" s="607"/>
      <c r="M106" s="607"/>
      <c r="N106" s="607"/>
      <c r="O106" s="607"/>
      <c r="P106" s="607"/>
      <c r="Q106" s="50"/>
      <c r="R106" s="607"/>
      <c r="S106" s="607"/>
      <c r="T106" s="74"/>
      <c r="U106" s="74"/>
      <c r="V106" s="74"/>
      <c r="W106" s="74"/>
      <c r="X106" s="74"/>
      <c r="Y106" s="74"/>
      <c r="Z106" s="75"/>
      <c r="AA106" s="75"/>
      <c r="AB106" s="75"/>
      <c r="AC106" s="75"/>
      <c r="AD106" s="75"/>
      <c r="AE106" s="52"/>
      <c r="AF106" s="74"/>
      <c r="AG106" s="74"/>
      <c r="AH106" s="74"/>
      <c r="AI106" s="74"/>
      <c r="AJ106" s="74"/>
      <c r="AK106" s="74"/>
      <c r="AL106" s="75"/>
      <c r="AM106" s="75"/>
      <c r="AN106" s="76"/>
      <c r="AO106" s="74"/>
      <c r="AP106" s="74"/>
    </row>
    <row r="107" spans="1:42" x14ac:dyDescent="0.25">
      <c r="A107" s="177" t="s">
        <v>282</v>
      </c>
      <c r="B107" s="87"/>
      <c r="C107" s="166"/>
      <c r="D107" s="166"/>
      <c r="E107" s="87"/>
      <c r="F107" s="87"/>
      <c r="G107" s="566"/>
      <c r="H107" s="50"/>
      <c r="I107" s="50"/>
      <c r="J107" s="50"/>
      <c r="K107" s="568"/>
      <c r="L107" s="568"/>
      <c r="M107" s="568"/>
      <c r="N107" s="568"/>
      <c r="O107" s="568"/>
      <c r="P107" s="568"/>
      <c r="Q107" s="50"/>
      <c r="R107" s="568"/>
      <c r="S107" s="568"/>
      <c r="T107" s="74"/>
      <c r="U107" s="74"/>
      <c r="V107" s="74"/>
      <c r="W107" s="74"/>
      <c r="X107" s="74"/>
      <c r="Y107" s="74"/>
      <c r="Z107" s="75"/>
      <c r="AA107" s="75"/>
      <c r="AB107" s="75"/>
      <c r="AC107" s="75"/>
      <c r="AD107" s="75"/>
      <c r="AE107" s="52"/>
      <c r="AF107" s="74"/>
      <c r="AG107" s="74"/>
      <c r="AH107" s="74"/>
      <c r="AI107" s="74"/>
      <c r="AJ107" s="74"/>
      <c r="AK107" s="74"/>
      <c r="AL107" s="75"/>
      <c r="AM107" s="75"/>
      <c r="AN107" s="76"/>
      <c r="AO107" s="74"/>
      <c r="AP107" s="74"/>
    </row>
    <row r="108" spans="1:42" x14ac:dyDescent="0.25">
      <c r="A108" s="91" t="s">
        <v>114</v>
      </c>
      <c r="B108" s="89" t="s">
        <v>107</v>
      </c>
      <c r="C108" s="92">
        <v>2</v>
      </c>
      <c r="D108" s="90">
        <v>2017</v>
      </c>
      <c r="E108" s="90">
        <v>15</v>
      </c>
      <c r="F108" s="90">
        <v>60</v>
      </c>
      <c r="G108" s="145">
        <v>0.63993288844985996</v>
      </c>
      <c r="H108" s="145">
        <v>0.65182464654293903</v>
      </c>
      <c r="I108" s="145">
        <v>0.124829278285952</v>
      </c>
      <c r="J108" s="145">
        <v>3.18613688227605E-3</v>
      </c>
      <c r="K108" s="145">
        <v>0.10291450019173901</v>
      </c>
      <c r="L108" s="56">
        <v>7.99995847163921E-3</v>
      </c>
      <c r="M108" s="56">
        <v>3.6749815577381599E-2</v>
      </c>
      <c r="N108" s="145">
        <v>9.4681348812781493E-2</v>
      </c>
      <c r="O108" s="56">
        <v>1.9999896145790402E-3</v>
      </c>
      <c r="P108" s="56">
        <v>1.57499200131354E-2</v>
      </c>
      <c r="Q108" s="145">
        <v>294.90083630548003</v>
      </c>
      <c r="R108" s="56">
        <f>0.000057143*Q108</f>
        <v>1.6851518489004045E-2</v>
      </c>
      <c r="S108" s="93">
        <f>0.000025616*Q108</f>
        <v>7.5541798228011764E-3</v>
      </c>
      <c r="T108" s="59">
        <f>C108*($F108*$G108)/453.59</f>
        <v>0.16929814725629577</v>
      </c>
      <c r="U108" s="59">
        <f>C108*($F108*$H108)/453.59</f>
        <v>0.17244418436286665</v>
      </c>
      <c r="V108" s="59">
        <f>C108*(($F108*$I108))/453.59</f>
        <v>3.3024346644137309E-2</v>
      </c>
      <c r="W108" s="59">
        <f>C108*($F108*$J108)/453.59</f>
        <v>8.429119378141626E-4</v>
      </c>
      <c r="X108" s="59">
        <f>C108*(($F108*($K108+$L108+$M108)))/453.59</f>
        <v>3.9065484047027449E-2</v>
      </c>
      <c r="Y108" s="59">
        <f>C108*(($F108*($N108+$O108+$P108)))/453.59</f>
        <v>2.974437490433985E-2</v>
      </c>
      <c r="Z108" s="59">
        <f>C108*(F108)*$B$220</f>
        <v>1.1774766399170092E-2</v>
      </c>
      <c r="AA108" s="59">
        <f>Z108*0.21</f>
        <v>2.4727009438257194E-3</v>
      </c>
      <c r="AB108" s="59">
        <f>C108*(($F108*($Q108)))/453.59</f>
        <v>78.017814230158521</v>
      </c>
      <c r="AC108" s="59">
        <f>C108*(($F108*($R108)))/453.59</f>
        <v>4.4581719585539484E-3</v>
      </c>
      <c r="AD108" s="59">
        <f>C108*(($F108*($S108)))/453.59</f>
        <v>1.9985043293197407E-3</v>
      </c>
      <c r="AE108" s="63">
        <f>3*22</f>
        <v>66</v>
      </c>
      <c r="AF108" s="59">
        <f t="shared" ref="AF108:AF111" si="297">T108*$AE108/2000</f>
        <v>5.5868388594577604E-3</v>
      </c>
      <c r="AG108" s="59">
        <f t="shared" ref="AG108:AG111" si="298">U108*$AE108/2000</f>
        <v>5.6906580839745993E-3</v>
      </c>
      <c r="AH108" s="59">
        <f t="shared" ref="AH108:AH111" si="299">V108*$AE108/2000</f>
        <v>1.0898034392565312E-3</v>
      </c>
      <c r="AI108" s="59">
        <f t="shared" ref="AI108:AI111" si="300">W108*$AE108/2000</f>
        <v>2.7816093947867365E-5</v>
      </c>
      <c r="AJ108" s="59">
        <f t="shared" ref="AJ108:AJ111" si="301">X108*$AE108/2000</f>
        <v>1.2891609735519059E-3</v>
      </c>
      <c r="AK108" s="59">
        <f t="shared" ref="AK108:AK111" si="302">Y108*$AE108/2000</f>
        <v>9.8156437184321516E-4</v>
      </c>
      <c r="AL108" s="59">
        <f t="shared" ref="AL108:AL111" si="303">Z108*$AE108/2000</f>
        <v>3.8856729117261302E-4</v>
      </c>
      <c r="AM108" s="59">
        <f t="shared" ref="AM108:AM111" si="304">AA108*$AE108/2000</f>
        <v>8.1599131146248743E-5</v>
      </c>
      <c r="AN108" s="59">
        <f t="shared" ref="AN108:AN111" si="305">AB108*$AE108/2000</f>
        <v>2.5745878695952311</v>
      </c>
      <c r="AO108" s="59">
        <f t="shared" ref="AO108:AO111" si="306">AC108*$AE108/2000</f>
        <v>1.471196746322803E-4</v>
      </c>
      <c r="AP108" s="59">
        <f t="shared" ref="AP108:AP111" si="307">AD108*$AE108/2000</f>
        <v>6.5950642867551433E-5</v>
      </c>
    </row>
    <row r="109" spans="1:42" x14ac:dyDescent="0.25">
      <c r="A109" s="91" t="s">
        <v>205</v>
      </c>
      <c r="B109" s="89" t="s">
        <v>128</v>
      </c>
      <c r="C109" s="90">
        <v>1</v>
      </c>
      <c r="D109" s="90">
        <v>2017</v>
      </c>
      <c r="E109" s="90">
        <v>35</v>
      </c>
      <c r="F109" s="90">
        <v>80</v>
      </c>
      <c r="G109" s="145">
        <v>1.00932081133512</v>
      </c>
      <c r="H109" s="145">
        <v>4.0761754140815798</v>
      </c>
      <c r="I109" s="145">
        <v>0.24604376740349401</v>
      </c>
      <c r="J109" s="145">
        <v>1.0711818E-2</v>
      </c>
      <c r="K109" s="145">
        <v>6.3985946095635404E-2</v>
      </c>
      <c r="L109" s="567">
        <v>3.5999811999999999E-2</v>
      </c>
      <c r="M109" s="567">
        <v>6.1739677E-2</v>
      </c>
      <c r="N109" s="145">
        <v>5.8867070407984501E-2</v>
      </c>
      <c r="O109" s="567">
        <v>8.9999529999999998E-3</v>
      </c>
      <c r="P109" s="567">
        <v>2.6459862000000001E-2</v>
      </c>
      <c r="Q109" s="145">
        <v>1678.6649107952401</v>
      </c>
      <c r="R109" s="56">
        <f>0.000057143*Q109</f>
        <v>9.5923948997572395E-2</v>
      </c>
      <c r="S109" s="93">
        <f>0.000025616*Q109</f>
        <v>4.3000680354930869E-2</v>
      </c>
      <c r="T109" s="59">
        <f>C109*($F109*$G109)/453.59</f>
        <v>0.17801464958841598</v>
      </c>
      <c r="U109" s="59">
        <f>C109*($F109*$H109)/453.59</f>
        <v>0.71891803859548575</v>
      </c>
      <c r="V109" s="59">
        <f>C109*(($F109*$I109))/453.59</f>
        <v>4.3394919183137905E-2</v>
      </c>
      <c r="W109" s="59">
        <f>C109*($F109*$J109)/453.59</f>
        <v>1.8892511739676801E-3</v>
      </c>
      <c r="X109" s="59">
        <f>C109*(($F109*($K109+$L109+$M109)))/453.59</f>
        <v>2.8523633253931594E-2</v>
      </c>
      <c r="Y109" s="59">
        <f>C109*(($F109*($N109+$O109+$P109)))/453.59</f>
        <v>1.6636501758501645E-2</v>
      </c>
      <c r="Z109" s="59">
        <f>C109*(F109)*$B$220</f>
        <v>7.8498442661133934E-3</v>
      </c>
      <c r="AA109" s="59">
        <f>Z109*0.21</f>
        <v>1.6484672958838125E-3</v>
      </c>
      <c r="AB109" s="59">
        <f>C109*(($F109*($Q109)))/453.59</f>
        <v>296.06735788623917</v>
      </c>
      <c r="AC109" s="59">
        <f>C109*(($F109*($R109)))/453.59</f>
        <v>1.6918177031693363E-2</v>
      </c>
      <c r="AD109" s="59">
        <f>C109*(($F109*($S109)))/453.59</f>
        <v>7.5840614396139022E-3</v>
      </c>
      <c r="AE109" s="63">
        <f>3*22</f>
        <v>66</v>
      </c>
      <c r="AF109" s="59">
        <f t="shared" si="297"/>
        <v>5.8744834364177273E-3</v>
      </c>
      <c r="AG109" s="59">
        <f t="shared" si="298"/>
        <v>2.3724295273651032E-2</v>
      </c>
      <c r="AH109" s="59">
        <f t="shared" si="299"/>
        <v>1.432032333043551E-3</v>
      </c>
      <c r="AI109" s="59">
        <f t="shared" si="300"/>
        <v>6.2345288740933439E-5</v>
      </c>
      <c r="AJ109" s="59">
        <f t="shared" si="301"/>
        <v>9.4127989737974262E-4</v>
      </c>
      <c r="AK109" s="59">
        <f t="shared" si="302"/>
        <v>5.4900455803055424E-4</v>
      </c>
      <c r="AL109" s="59">
        <f t="shared" si="303"/>
        <v>2.59044860781742E-4</v>
      </c>
      <c r="AM109" s="59">
        <f t="shared" si="304"/>
        <v>5.4399420764165811E-5</v>
      </c>
      <c r="AN109" s="59">
        <f t="shared" si="305"/>
        <v>9.7702228102458921</v>
      </c>
      <c r="AO109" s="59">
        <f t="shared" si="306"/>
        <v>5.58299842045881E-4</v>
      </c>
      <c r="AP109" s="59">
        <f t="shared" si="307"/>
        <v>2.5027402750725877E-4</v>
      </c>
    </row>
    <row r="110" spans="1:42" x14ac:dyDescent="0.25">
      <c r="A110" s="91" t="s">
        <v>157</v>
      </c>
      <c r="B110" s="89" t="s">
        <v>128</v>
      </c>
      <c r="C110" s="90">
        <v>2</v>
      </c>
      <c r="D110" s="90">
        <v>2017</v>
      </c>
      <c r="E110" s="90">
        <v>35</v>
      </c>
      <c r="F110" s="90">
        <v>80</v>
      </c>
      <c r="G110" s="145">
        <v>1.00932081133512</v>
      </c>
      <c r="H110" s="145">
        <v>4.0761754140815798</v>
      </c>
      <c r="I110" s="145">
        <v>0.24604376740349401</v>
      </c>
      <c r="J110" s="145">
        <v>1.0711818E-2</v>
      </c>
      <c r="K110" s="145">
        <v>6.3985946095635404E-2</v>
      </c>
      <c r="L110" s="567">
        <v>3.5999811999999999E-2</v>
      </c>
      <c r="M110" s="567">
        <v>6.1739677E-2</v>
      </c>
      <c r="N110" s="145">
        <v>5.8867070407984501E-2</v>
      </c>
      <c r="O110" s="567">
        <v>8.9999529999999998E-3</v>
      </c>
      <c r="P110" s="567">
        <v>2.6459862000000001E-2</v>
      </c>
      <c r="Q110" s="145">
        <v>1678.6649107952401</v>
      </c>
      <c r="R110" s="56">
        <f>0.000057143*Q110</f>
        <v>9.5923948997572395E-2</v>
      </c>
      <c r="S110" s="93">
        <f>0.000025616*Q110</f>
        <v>4.3000680354930869E-2</v>
      </c>
      <c r="T110" s="59">
        <f>C110*($F110*$G110)/453.59</f>
        <v>0.35602929917683196</v>
      </c>
      <c r="U110" s="59">
        <f>C110*($F110*$H110)/453.59</f>
        <v>1.4378360771909715</v>
      </c>
      <c r="V110" s="59">
        <f>C110*(($F110*$I110))/453.59</f>
        <v>8.6789838366275809E-2</v>
      </c>
      <c r="W110" s="59">
        <f>C110*($F110*$J110)/453.59</f>
        <v>3.7785023479353602E-3</v>
      </c>
      <c r="X110" s="59">
        <f>C110*(($F110*($K110+$L110+$M110)))/453.59</f>
        <v>5.7047266507863188E-2</v>
      </c>
      <c r="Y110" s="59">
        <f>C110*(($F110*($N110+$O110+$P110)))/453.59</f>
        <v>3.327300351700329E-2</v>
      </c>
      <c r="Z110" s="59">
        <f>C110*(F110)*$B$220</f>
        <v>1.5699688532226787E-2</v>
      </c>
      <c r="AA110" s="59">
        <f>Z110*0.21</f>
        <v>3.296934591767625E-3</v>
      </c>
      <c r="AB110" s="59">
        <f>C110*(($F110*($Q110)))/453.59</f>
        <v>592.13471577247833</v>
      </c>
      <c r="AC110" s="59">
        <f>C110*(($F110*($R110)))/453.59</f>
        <v>3.3836354063386725E-2</v>
      </c>
      <c r="AD110" s="59">
        <f>C110*(($F110*($S110)))/453.59</f>
        <v>1.5168122879227804E-2</v>
      </c>
      <c r="AE110" s="63">
        <f>3*22</f>
        <v>66</v>
      </c>
      <c r="AF110" s="59">
        <f t="shared" si="297"/>
        <v>1.1748966872835455E-2</v>
      </c>
      <c r="AG110" s="59">
        <f t="shared" si="298"/>
        <v>4.7448590547302064E-2</v>
      </c>
      <c r="AH110" s="59">
        <f t="shared" si="299"/>
        <v>2.8640646660871021E-3</v>
      </c>
      <c r="AI110" s="59">
        <f t="shared" si="300"/>
        <v>1.2469057748186688E-4</v>
      </c>
      <c r="AJ110" s="59">
        <f t="shared" si="301"/>
        <v>1.8825597947594852E-3</v>
      </c>
      <c r="AK110" s="59">
        <f t="shared" si="302"/>
        <v>1.0980091160611085E-3</v>
      </c>
      <c r="AL110" s="59">
        <f t="shared" si="303"/>
        <v>5.1808972156348399E-4</v>
      </c>
      <c r="AM110" s="59">
        <f t="shared" si="304"/>
        <v>1.0879884152833162E-4</v>
      </c>
      <c r="AN110" s="59">
        <f t="shared" si="305"/>
        <v>19.540445620491784</v>
      </c>
      <c r="AO110" s="59">
        <f t="shared" si="306"/>
        <v>1.116599684091762E-3</v>
      </c>
      <c r="AP110" s="59">
        <f t="shared" si="307"/>
        <v>5.0054805501451754E-4</v>
      </c>
    </row>
    <row r="111" spans="1:42" x14ac:dyDescent="0.25">
      <c r="A111" s="91" t="s">
        <v>154</v>
      </c>
      <c r="B111" s="89" t="s">
        <v>128</v>
      </c>
      <c r="C111" s="90">
        <v>2</v>
      </c>
      <c r="D111" s="90">
        <v>2017</v>
      </c>
      <c r="E111" s="90">
        <v>35</v>
      </c>
      <c r="F111" s="90">
        <v>160</v>
      </c>
      <c r="G111" s="145">
        <v>1.00932081133512</v>
      </c>
      <c r="H111" s="145">
        <v>4.0761754140815798</v>
      </c>
      <c r="I111" s="145">
        <v>0.24604376740349401</v>
      </c>
      <c r="J111" s="145">
        <v>1.0711818E-2</v>
      </c>
      <c r="K111" s="145">
        <v>6.3985946095635404E-2</v>
      </c>
      <c r="L111" s="567">
        <v>3.5999811999999999E-2</v>
      </c>
      <c r="M111" s="567">
        <v>6.1739677E-2</v>
      </c>
      <c r="N111" s="145">
        <v>5.8867070407984501E-2</v>
      </c>
      <c r="O111" s="567">
        <v>8.9999529999999998E-3</v>
      </c>
      <c r="P111" s="567">
        <v>2.6459862000000001E-2</v>
      </c>
      <c r="Q111" s="145">
        <v>1678.6649107952401</v>
      </c>
      <c r="R111" s="56">
        <f>0.000057143*Q111</f>
        <v>9.5923948997572395E-2</v>
      </c>
      <c r="S111" s="93">
        <f>0.000025616*Q111</f>
        <v>4.3000680354930869E-2</v>
      </c>
      <c r="T111" s="59">
        <f>C111*($F111*$G111)/453.59</f>
        <v>0.71205859835366392</v>
      </c>
      <c r="U111" s="59">
        <f>C111*($F111*$H111)/453.59</f>
        <v>2.875672154381943</v>
      </c>
      <c r="V111" s="59">
        <f>C111*(($F111*$I111))/453.59</f>
        <v>0.17357967673255162</v>
      </c>
      <c r="W111" s="59">
        <f>C111*($F111*$J111)/453.59</f>
        <v>7.5570046958707204E-3</v>
      </c>
      <c r="X111" s="59">
        <f>C111*(($F111*($K111+$L111+$M111)))/453.59</f>
        <v>0.11409453301572638</v>
      </c>
      <c r="Y111" s="59">
        <f>C111*(($F111*($N111+$O111+$P111)))/453.59</f>
        <v>6.654600703400658E-2</v>
      </c>
      <c r="Z111" s="59">
        <f>C111*(F111)*$B$220</f>
        <v>3.1399377064453574E-2</v>
      </c>
      <c r="AA111" s="59">
        <f>Z111*0.21</f>
        <v>6.59386918353525E-3</v>
      </c>
      <c r="AB111" s="59">
        <f>C111*(($F111*($Q111)))/453.59</f>
        <v>1184.2694315449567</v>
      </c>
      <c r="AC111" s="59">
        <f>C111*(($F111*($R111)))/453.59</f>
        <v>6.7672708126773451E-2</v>
      </c>
      <c r="AD111" s="59">
        <f>C111*(($F111*($S111)))/453.59</f>
        <v>3.0336245758455609E-2</v>
      </c>
      <c r="AE111" s="63"/>
      <c r="AF111" s="59">
        <f t="shared" si="297"/>
        <v>0</v>
      </c>
      <c r="AG111" s="59">
        <f t="shared" si="298"/>
        <v>0</v>
      </c>
      <c r="AH111" s="59">
        <f t="shared" si="299"/>
        <v>0</v>
      </c>
      <c r="AI111" s="59">
        <f t="shared" si="300"/>
        <v>0</v>
      </c>
      <c r="AJ111" s="59">
        <f t="shared" si="301"/>
        <v>0</v>
      </c>
      <c r="AK111" s="59">
        <f t="shared" si="302"/>
        <v>0</v>
      </c>
      <c r="AL111" s="59">
        <f t="shared" si="303"/>
        <v>0</v>
      </c>
      <c r="AM111" s="59">
        <f t="shared" si="304"/>
        <v>0</v>
      </c>
      <c r="AN111" s="59">
        <f t="shared" si="305"/>
        <v>0</v>
      </c>
      <c r="AO111" s="59">
        <f t="shared" si="306"/>
        <v>0</v>
      </c>
      <c r="AP111" s="59">
        <f t="shared" si="307"/>
        <v>0</v>
      </c>
    </row>
    <row r="112" spans="1:42" x14ac:dyDescent="0.25">
      <c r="A112" s="88" t="s">
        <v>38</v>
      </c>
      <c r="B112" s="87"/>
      <c r="C112" s="166"/>
      <c r="D112" s="166"/>
      <c r="E112" s="87"/>
      <c r="F112" s="87"/>
      <c r="G112" s="566"/>
      <c r="H112" s="50"/>
      <c r="I112" s="50"/>
      <c r="J112" s="50"/>
      <c r="K112" s="568"/>
      <c r="L112" s="568"/>
      <c r="M112" s="568"/>
      <c r="N112" s="568"/>
      <c r="O112" s="568"/>
      <c r="P112" s="568"/>
      <c r="Q112" s="50"/>
      <c r="R112" s="568"/>
      <c r="S112" s="568"/>
      <c r="T112" s="94">
        <f t="shared" ref="T112:AD112" si="308">SUM(T108:T111)</f>
        <v>1.4154006943752075</v>
      </c>
      <c r="U112" s="94">
        <f t="shared" si="308"/>
        <v>5.2048704545312674</v>
      </c>
      <c r="V112" s="94">
        <f t="shared" si="308"/>
        <v>0.33678878092610265</v>
      </c>
      <c r="W112" s="94">
        <f t="shared" si="308"/>
        <v>1.4067670155587922E-2</v>
      </c>
      <c r="X112" s="94">
        <f t="shared" si="308"/>
        <v>0.23873091682454861</v>
      </c>
      <c r="Y112" s="94">
        <f t="shared" si="308"/>
        <v>0.14619988721385135</v>
      </c>
      <c r="Z112" s="94">
        <f t="shared" si="308"/>
        <v>6.6723676261963849E-2</v>
      </c>
      <c r="AA112" s="94">
        <f t="shared" si="308"/>
        <v>1.4011972015012406E-2</v>
      </c>
      <c r="AB112" s="94">
        <f t="shared" si="308"/>
        <v>2150.4893194338329</v>
      </c>
      <c r="AC112" s="94">
        <f t="shared" si="308"/>
        <v>0.12288541118040749</v>
      </c>
      <c r="AD112" s="94">
        <f t="shared" si="308"/>
        <v>5.5086934406617057E-2</v>
      </c>
      <c r="AE112" s="69"/>
      <c r="AF112" s="94">
        <f t="shared" ref="AF112:AP112" si="309">SUM(AF108:AF111)</f>
        <v>2.3210289168710943E-2</v>
      </c>
      <c r="AG112" s="94">
        <f t="shared" si="309"/>
        <v>7.6863543904927695E-2</v>
      </c>
      <c r="AH112" s="94">
        <f t="shared" si="309"/>
        <v>5.3859004383871849E-3</v>
      </c>
      <c r="AI112" s="94">
        <f t="shared" si="309"/>
        <v>2.148519601706677E-4</v>
      </c>
      <c r="AJ112" s="94">
        <f t="shared" si="309"/>
        <v>4.1130006656911336E-3</v>
      </c>
      <c r="AK112" s="94">
        <f t="shared" si="309"/>
        <v>2.6285780459348778E-3</v>
      </c>
      <c r="AL112" s="94">
        <f t="shared" si="309"/>
        <v>1.1657018735178391E-3</v>
      </c>
      <c r="AM112" s="94">
        <f t="shared" si="309"/>
        <v>2.4479739343874615E-4</v>
      </c>
      <c r="AN112" s="94">
        <f t="shared" si="309"/>
        <v>31.885256300332905</v>
      </c>
      <c r="AO112" s="94">
        <f t="shared" si="309"/>
        <v>1.8220192007699233E-3</v>
      </c>
      <c r="AP112" s="94">
        <f t="shared" si="309"/>
        <v>8.1677272538932771E-4</v>
      </c>
    </row>
    <row r="113" spans="1:42" x14ac:dyDescent="0.25">
      <c r="A113" s="569"/>
      <c r="B113" s="87"/>
      <c r="C113" s="166"/>
      <c r="D113" s="166"/>
      <c r="E113" s="87"/>
      <c r="F113" s="87"/>
      <c r="G113" s="566"/>
      <c r="H113" s="50"/>
      <c r="I113" s="50"/>
      <c r="J113" s="50"/>
      <c r="K113" s="568"/>
      <c r="L113" s="568"/>
      <c r="M113" s="568"/>
      <c r="N113" s="568"/>
      <c r="O113" s="568"/>
      <c r="P113" s="568"/>
      <c r="Q113" s="50"/>
      <c r="R113" s="568"/>
      <c r="S113" s="568"/>
      <c r="T113" s="74"/>
      <c r="U113" s="74"/>
      <c r="V113" s="74"/>
      <c r="W113" s="74"/>
      <c r="X113" s="74"/>
      <c r="Y113" s="74"/>
      <c r="Z113" s="75"/>
      <c r="AA113" s="75"/>
      <c r="AB113" s="75"/>
      <c r="AC113" s="75"/>
      <c r="AD113" s="75"/>
      <c r="AE113" s="52"/>
      <c r="AF113" s="74"/>
      <c r="AG113" s="74"/>
      <c r="AH113" s="74"/>
      <c r="AI113" s="74"/>
      <c r="AJ113" s="74"/>
      <c r="AK113" s="74"/>
      <c r="AL113" s="75"/>
      <c r="AM113" s="75"/>
      <c r="AN113" s="76"/>
      <c r="AO113" s="74"/>
      <c r="AP113" s="74"/>
    </row>
    <row r="114" spans="1:42" x14ac:dyDescent="0.25">
      <c r="A114" s="177" t="s">
        <v>282</v>
      </c>
      <c r="B114" s="87"/>
      <c r="C114" s="166"/>
      <c r="D114" s="166"/>
      <c r="E114" s="87"/>
      <c r="F114" s="87"/>
      <c r="G114" s="154"/>
      <c r="H114" s="50"/>
      <c r="I114" s="50"/>
      <c r="J114" s="50"/>
      <c r="K114" s="155"/>
      <c r="L114" s="155"/>
      <c r="M114" s="155"/>
      <c r="N114" s="155"/>
      <c r="O114" s="155"/>
      <c r="P114" s="155"/>
      <c r="Q114" s="50"/>
      <c r="R114" s="155"/>
      <c r="S114" s="155"/>
      <c r="T114" s="74"/>
      <c r="U114" s="74"/>
      <c r="V114" s="74"/>
      <c r="W114" s="74"/>
      <c r="X114" s="74"/>
      <c r="Y114" s="74"/>
      <c r="Z114" s="75"/>
      <c r="AA114" s="75"/>
      <c r="AB114" s="75"/>
      <c r="AC114" s="75"/>
      <c r="AD114" s="75"/>
      <c r="AE114" s="52"/>
      <c r="AF114" s="74"/>
      <c r="AG114" s="74"/>
      <c r="AH114" s="74"/>
      <c r="AI114" s="74"/>
      <c r="AJ114" s="74"/>
      <c r="AK114" s="74"/>
      <c r="AL114" s="75"/>
      <c r="AM114" s="75"/>
      <c r="AN114" s="76"/>
      <c r="AO114" s="74"/>
      <c r="AP114" s="74"/>
    </row>
    <row r="115" spans="1:42" x14ac:dyDescent="0.25">
      <c r="A115" s="91" t="s">
        <v>114</v>
      </c>
      <c r="B115" s="89" t="s">
        <v>107</v>
      </c>
      <c r="C115" s="92">
        <v>2</v>
      </c>
      <c r="D115" s="90">
        <v>2018</v>
      </c>
      <c r="E115" s="90">
        <v>15</v>
      </c>
      <c r="F115" s="90">
        <v>60</v>
      </c>
      <c r="G115" s="145">
        <v>0.56875974610331004</v>
      </c>
      <c r="H115" s="145">
        <v>0.60613619912309102</v>
      </c>
      <c r="I115" s="145">
        <v>0.110002906126779</v>
      </c>
      <c r="J115" s="145">
        <v>3.18613688227605E-3</v>
      </c>
      <c r="K115" s="145">
        <v>9.0901627580601399E-2</v>
      </c>
      <c r="L115" s="56">
        <v>7.99995847163921E-3</v>
      </c>
      <c r="M115" s="56">
        <v>3.6749815577381599E-2</v>
      </c>
      <c r="N115" s="145">
        <v>8.3629500044256497E-2</v>
      </c>
      <c r="O115" s="56">
        <v>1.9999896145790402E-3</v>
      </c>
      <c r="P115" s="56">
        <v>1.57499200131354E-2</v>
      </c>
      <c r="Q115" s="145">
        <v>284.47755884310999</v>
      </c>
      <c r="R115" s="56">
        <f>0.000057143*Q115</f>
        <v>1.6255901144971833E-2</v>
      </c>
      <c r="S115" s="93">
        <f>0.000025616*Q115</f>
        <v>7.2871771473251058E-3</v>
      </c>
      <c r="T115" s="59">
        <f>C115*($F115*$G115)/453.59</f>
        <v>0.15046885851186578</v>
      </c>
      <c r="U115" s="59">
        <f>C115*($F115*$H115)/453.59</f>
        <v>0.16035702703933272</v>
      </c>
      <c r="V115" s="59">
        <f>C115*(($F115*$I115))/453.59</f>
        <v>2.9101939494286647E-2</v>
      </c>
      <c r="W115" s="59">
        <f>C115*($F115*$J115)/453.59</f>
        <v>8.429119378141626E-4</v>
      </c>
      <c r="X115" s="59">
        <f>C115*(($F115*($K115+$L115+$M115)))/453.59</f>
        <v>3.588740535627917E-2</v>
      </c>
      <c r="Y115" s="59">
        <f>C115*(($F115*($N115+$O115+$P115)))/453.59</f>
        <v>2.6820540930436104E-2</v>
      </c>
      <c r="Z115" s="59">
        <f>C115*(F115)*$B$220</f>
        <v>1.1774766399170092E-2</v>
      </c>
      <c r="AA115" s="59">
        <f>Z115*0.21</f>
        <v>2.4727009438257194E-3</v>
      </c>
      <c r="AB115" s="59">
        <f>C115*(($F115*($Q115)))/453.59</f>
        <v>75.260272627644341</v>
      </c>
      <c r="AC115" s="59">
        <f>C115*(($F115*($R115)))/453.59</f>
        <v>4.3005977587614805E-3</v>
      </c>
      <c r="AD115" s="59">
        <f>C115*(($F115*($S115)))/453.59</f>
        <v>1.9278671436297379E-3</v>
      </c>
      <c r="AE115" s="63">
        <f>3*22</f>
        <v>66</v>
      </c>
      <c r="AF115" s="59">
        <f t="shared" ref="AF115:AF117" si="310">T115*$AE115/2000</f>
        <v>4.9654723308915714E-3</v>
      </c>
      <c r="AG115" s="59">
        <f t="shared" ref="AG115:AG117" si="311">U115*$AE115/2000</f>
        <v>5.29178189229798E-3</v>
      </c>
      <c r="AH115" s="59">
        <f t="shared" ref="AH115:AH117" si="312">V115*$AE115/2000</f>
        <v>9.603640033114593E-4</v>
      </c>
      <c r="AI115" s="59">
        <f t="shared" ref="AI115:AI117" si="313">W115*$AE115/2000</f>
        <v>2.7816093947867365E-5</v>
      </c>
      <c r="AJ115" s="59">
        <f t="shared" ref="AJ115:AJ117" si="314">X115*$AE115/2000</f>
        <v>1.1842843767572127E-3</v>
      </c>
      <c r="AK115" s="59">
        <f t="shared" ref="AK115:AK117" si="315">Y115*$AE115/2000</f>
        <v>8.8507785070439133E-4</v>
      </c>
      <c r="AL115" s="59">
        <f t="shared" ref="AL115:AL117" si="316">Z115*$AE115/2000</f>
        <v>3.8856729117261302E-4</v>
      </c>
      <c r="AM115" s="59">
        <f t="shared" ref="AM115:AM117" si="317">AA115*$AE115/2000</f>
        <v>8.1599131146248743E-5</v>
      </c>
      <c r="AN115" s="59">
        <f t="shared" ref="AN115:AN117" si="318">AB115*$AE115/2000</f>
        <v>2.4835889967122635</v>
      </c>
      <c r="AO115" s="59">
        <f t="shared" ref="AO115:AO117" si="319">AC115*$AE115/2000</f>
        <v>1.4191972603912886E-4</v>
      </c>
      <c r="AP115" s="59">
        <f t="shared" ref="AP115:AP117" si="320">AD115*$AE115/2000</f>
        <v>6.3619615739781348E-5</v>
      </c>
    </row>
    <row r="116" spans="1:42" x14ac:dyDescent="0.25">
      <c r="A116" s="91" t="s">
        <v>205</v>
      </c>
      <c r="B116" s="89" t="s">
        <v>128</v>
      </c>
      <c r="C116" s="90">
        <v>1</v>
      </c>
      <c r="D116" s="90">
        <v>2018</v>
      </c>
      <c r="E116" s="90">
        <v>35</v>
      </c>
      <c r="F116" s="90">
        <v>80</v>
      </c>
      <c r="G116" s="145">
        <v>0.97146929489637202</v>
      </c>
      <c r="H116" s="145">
        <v>3.4422916834835999</v>
      </c>
      <c r="I116" s="145">
        <v>0.23701153968834099</v>
      </c>
      <c r="J116" s="145">
        <v>1.0711818E-2</v>
      </c>
      <c r="K116" s="145">
        <v>6.1975092965986203E-2</v>
      </c>
      <c r="L116" s="567">
        <v>3.5999811999999999E-2</v>
      </c>
      <c r="M116" s="567">
        <v>6.1739677E-2</v>
      </c>
      <c r="N116" s="145">
        <v>5.7017085528707302E-2</v>
      </c>
      <c r="O116" s="567">
        <v>8.9999529999999998E-3</v>
      </c>
      <c r="P116" s="567">
        <v>2.6459862000000001E-2</v>
      </c>
      <c r="Q116" s="145">
        <v>1648.0324343581101</v>
      </c>
      <c r="R116" s="56">
        <f>0.000057143*Q116</f>
        <v>9.4173517396525477E-2</v>
      </c>
      <c r="S116" s="93">
        <f>0.000025616*Q116</f>
        <v>4.221599883851735E-2</v>
      </c>
      <c r="T116" s="59">
        <f>C116*($F116*$G116)/453.59</f>
        <v>0.17133874995416512</v>
      </c>
      <c r="U116" s="59">
        <f>C116*($F116*$H116)/453.59</f>
        <v>0.60711950148523564</v>
      </c>
      <c r="V116" s="59">
        <f>C116*(($F116*$I116))/453.59</f>
        <v>4.180189857595467E-2</v>
      </c>
      <c r="W116" s="59">
        <f>C116*($F116*$J116)/453.59</f>
        <v>1.8892511739676801E-3</v>
      </c>
      <c r="X116" s="59">
        <f>C116*(($F116*($K116+$L116+$M116)))/453.59</f>
        <v>2.8168977616964432E-2</v>
      </c>
      <c r="Y116" s="59">
        <f>C116*(($F116*($N116+$O116+$P116)))/453.59</f>
        <v>1.6310218572491864E-2</v>
      </c>
      <c r="Z116" s="59">
        <f>C116*(F116)*$B$220</f>
        <v>7.8498442661133934E-3</v>
      </c>
      <c r="AA116" s="59">
        <f>Z116*0.21</f>
        <v>1.6484672958838125E-3</v>
      </c>
      <c r="AB116" s="59">
        <f>C116*(($F116*($Q116)))/453.59</f>
        <v>290.66468561619263</v>
      </c>
      <c r="AC116" s="59">
        <f>C116*(($F116*($R116)))/453.59</f>
        <v>1.6609452130166093E-2</v>
      </c>
      <c r="AD116" s="59">
        <f>C116*(($F116*($S116)))/453.59</f>
        <v>7.4456665867443901E-3</v>
      </c>
      <c r="AE116" s="63">
        <f>3*22</f>
        <v>66</v>
      </c>
      <c r="AF116" s="59">
        <f t="shared" si="310"/>
        <v>5.6541787484874493E-3</v>
      </c>
      <c r="AG116" s="59">
        <f t="shared" si="311"/>
        <v>2.0034943549012776E-2</v>
      </c>
      <c r="AH116" s="59">
        <f t="shared" si="312"/>
        <v>1.3794626530065043E-3</v>
      </c>
      <c r="AI116" s="59">
        <f t="shared" si="313"/>
        <v>6.2345288740933439E-5</v>
      </c>
      <c r="AJ116" s="59">
        <f t="shared" si="314"/>
        <v>9.2957626135982624E-4</v>
      </c>
      <c r="AK116" s="59">
        <f t="shared" si="315"/>
        <v>5.3823721289223152E-4</v>
      </c>
      <c r="AL116" s="59">
        <f t="shared" si="316"/>
        <v>2.59044860781742E-4</v>
      </c>
      <c r="AM116" s="59">
        <f t="shared" si="317"/>
        <v>5.4399420764165811E-5</v>
      </c>
      <c r="AN116" s="59">
        <f t="shared" si="318"/>
        <v>9.5919346253343569</v>
      </c>
      <c r="AO116" s="59">
        <f t="shared" si="319"/>
        <v>5.481119202954811E-4</v>
      </c>
      <c r="AP116" s="59">
        <f t="shared" si="320"/>
        <v>2.4570699736256487E-4</v>
      </c>
    </row>
    <row r="117" spans="1:42" x14ac:dyDescent="0.25">
      <c r="A117" s="91" t="s">
        <v>154</v>
      </c>
      <c r="B117" s="89" t="s">
        <v>128</v>
      </c>
      <c r="C117" s="90">
        <v>2</v>
      </c>
      <c r="D117" s="90">
        <v>2018</v>
      </c>
      <c r="E117" s="90">
        <v>35</v>
      </c>
      <c r="F117" s="90">
        <v>160</v>
      </c>
      <c r="G117" s="145">
        <v>0.97146929489637202</v>
      </c>
      <c r="H117" s="145">
        <v>3.4422916834835999</v>
      </c>
      <c r="I117" s="145">
        <v>0.23701153968834099</v>
      </c>
      <c r="J117" s="145">
        <v>1.0711818E-2</v>
      </c>
      <c r="K117" s="145">
        <v>6.1975092965986203E-2</v>
      </c>
      <c r="L117" s="567">
        <v>3.5999811999999999E-2</v>
      </c>
      <c r="M117" s="567">
        <v>6.1739677E-2</v>
      </c>
      <c r="N117" s="145">
        <v>5.7017085528707302E-2</v>
      </c>
      <c r="O117" s="567">
        <v>8.9999529999999998E-3</v>
      </c>
      <c r="P117" s="567">
        <v>2.6459862000000001E-2</v>
      </c>
      <c r="Q117" s="145">
        <v>1648.0324343581101</v>
      </c>
      <c r="R117" s="56">
        <f>0.000057143*Q117</f>
        <v>9.4173517396525477E-2</v>
      </c>
      <c r="S117" s="93">
        <f>0.000025616*Q117</f>
        <v>4.221599883851735E-2</v>
      </c>
      <c r="T117" s="59">
        <f>C117*($F117*$G117)/453.59</f>
        <v>0.68535499981666048</v>
      </c>
      <c r="U117" s="59">
        <f>C117*($F117*$H117)/453.59</f>
        <v>2.4284780059409425</v>
      </c>
      <c r="V117" s="59">
        <f>C117*(($F117*$I117))/453.59</f>
        <v>0.16720759430381868</v>
      </c>
      <c r="W117" s="59">
        <f>C117*($F117*$J117)/453.59</f>
        <v>7.5570046958707204E-3</v>
      </c>
      <c r="X117" s="59">
        <f>C117*(($F117*($K117+$L117+$M117)))/453.59</f>
        <v>0.11267591046785773</v>
      </c>
      <c r="Y117" s="59">
        <f>C117*(($F117*($N117+$O117+$P117)))/453.59</f>
        <v>6.5240874289967457E-2</v>
      </c>
      <c r="Z117" s="59">
        <f>C117*(F117)*$B$220</f>
        <v>3.1399377064453574E-2</v>
      </c>
      <c r="AA117" s="59">
        <f>Z117*0.21</f>
        <v>6.59386918353525E-3</v>
      </c>
      <c r="AB117" s="59">
        <f>C117*(($F117*($Q117)))/453.59</f>
        <v>1162.6587424647705</v>
      </c>
      <c r="AC117" s="59">
        <f>C117*(($F117*($R117)))/453.59</f>
        <v>6.6437808520664374E-2</v>
      </c>
      <c r="AD117" s="59">
        <f>C117*(($F117*($S117)))/453.59</f>
        <v>2.9782666346977561E-2</v>
      </c>
      <c r="AE117" s="63"/>
      <c r="AF117" s="59">
        <f t="shared" si="310"/>
        <v>0</v>
      </c>
      <c r="AG117" s="59">
        <f t="shared" si="311"/>
        <v>0</v>
      </c>
      <c r="AH117" s="59">
        <f t="shared" si="312"/>
        <v>0</v>
      </c>
      <c r="AI117" s="59">
        <f t="shared" si="313"/>
        <v>0</v>
      </c>
      <c r="AJ117" s="59">
        <f t="shared" si="314"/>
        <v>0</v>
      </c>
      <c r="AK117" s="59">
        <f t="shared" si="315"/>
        <v>0</v>
      </c>
      <c r="AL117" s="59">
        <f t="shared" si="316"/>
        <v>0</v>
      </c>
      <c r="AM117" s="59">
        <f t="shared" si="317"/>
        <v>0</v>
      </c>
      <c r="AN117" s="59">
        <f t="shared" si="318"/>
        <v>0</v>
      </c>
      <c r="AO117" s="59">
        <f t="shared" si="319"/>
        <v>0</v>
      </c>
      <c r="AP117" s="59">
        <f t="shared" si="320"/>
        <v>0</v>
      </c>
    </row>
    <row r="118" spans="1:42" x14ac:dyDescent="0.25">
      <c r="A118" s="88" t="s">
        <v>38</v>
      </c>
      <c r="B118" s="87"/>
      <c r="C118" s="166"/>
      <c r="D118" s="166"/>
      <c r="E118" s="87"/>
      <c r="F118" s="87"/>
      <c r="G118" s="154"/>
      <c r="H118" s="50"/>
      <c r="I118" s="50"/>
      <c r="J118" s="50"/>
      <c r="K118" s="155"/>
      <c r="L118" s="155"/>
      <c r="M118" s="155"/>
      <c r="N118" s="155"/>
      <c r="O118" s="155"/>
      <c r="P118" s="155"/>
      <c r="Q118" s="50"/>
      <c r="R118" s="155"/>
      <c r="S118" s="155"/>
      <c r="T118" s="94">
        <f t="shared" ref="T118:AD118" si="321">SUM(T115:T117)</f>
        <v>1.0071626082826914</v>
      </c>
      <c r="U118" s="94">
        <f t="shared" si="321"/>
        <v>3.1959545344655109</v>
      </c>
      <c r="V118" s="94">
        <f t="shared" si="321"/>
        <v>0.23811143237405999</v>
      </c>
      <c r="W118" s="94">
        <f t="shared" si="321"/>
        <v>1.0289167807652563E-2</v>
      </c>
      <c r="X118" s="94">
        <f t="shared" si="321"/>
        <v>0.17673229344110133</v>
      </c>
      <c r="Y118" s="94">
        <f t="shared" si="321"/>
        <v>0.10837163379289542</v>
      </c>
      <c r="Z118" s="94">
        <f t="shared" si="321"/>
        <v>5.1023987729737055E-2</v>
      </c>
      <c r="AA118" s="94">
        <f t="shared" si="321"/>
        <v>1.0715037423244781E-2</v>
      </c>
      <c r="AB118" s="94">
        <f t="shared" si="321"/>
        <v>1528.5837007086075</v>
      </c>
      <c r="AC118" s="94">
        <f t="shared" si="321"/>
        <v>8.7347858409591944E-2</v>
      </c>
      <c r="AD118" s="94">
        <f t="shared" si="321"/>
        <v>3.915620007735169E-2</v>
      </c>
      <c r="AE118" s="69"/>
      <c r="AF118" s="94">
        <f t="shared" ref="AF118:AP118" si="322">SUM(AF115:AF117)</f>
        <v>1.0619651079379022E-2</v>
      </c>
      <c r="AG118" s="94">
        <f t="shared" si="322"/>
        <v>2.5326725441310757E-2</v>
      </c>
      <c r="AH118" s="94">
        <f t="shared" si="322"/>
        <v>2.3398266563179637E-3</v>
      </c>
      <c r="AI118" s="94">
        <f t="shared" si="322"/>
        <v>9.0161382688800807E-5</v>
      </c>
      <c r="AJ118" s="94">
        <f t="shared" si="322"/>
        <v>2.1138606381170388E-3</v>
      </c>
      <c r="AK118" s="94">
        <f t="shared" si="322"/>
        <v>1.4233150635966228E-3</v>
      </c>
      <c r="AL118" s="94">
        <f t="shared" si="322"/>
        <v>6.4761215195435502E-4</v>
      </c>
      <c r="AM118" s="94">
        <f t="shared" si="322"/>
        <v>1.3599855191041455E-4</v>
      </c>
      <c r="AN118" s="94">
        <f t="shared" si="322"/>
        <v>12.075523622046621</v>
      </c>
      <c r="AO118" s="94">
        <f t="shared" si="322"/>
        <v>6.9003164633460999E-4</v>
      </c>
      <c r="AP118" s="94">
        <f t="shared" si="322"/>
        <v>3.0932661310234619E-4</v>
      </c>
    </row>
    <row r="119" spans="1:42" x14ac:dyDescent="0.25">
      <c r="A119" s="159"/>
      <c r="B119" s="87"/>
      <c r="C119" s="166"/>
      <c r="D119" s="166"/>
      <c r="E119" s="87"/>
      <c r="F119" s="87"/>
      <c r="G119" s="154"/>
      <c r="H119" s="50"/>
      <c r="I119" s="50"/>
      <c r="J119" s="50"/>
      <c r="K119" s="155"/>
      <c r="L119" s="155"/>
      <c r="M119" s="155"/>
      <c r="N119" s="155"/>
      <c r="O119" s="155"/>
      <c r="P119" s="155"/>
      <c r="Q119" s="50"/>
      <c r="R119" s="155"/>
      <c r="S119" s="155"/>
      <c r="T119" s="74"/>
      <c r="U119" s="74"/>
      <c r="V119" s="74"/>
      <c r="W119" s="74"/>
      <c r="X119" s="74"/>
      <c r="Y119" s="74"/>
      <c r="Z119" s="75"/>
      <c r="AA119" s="75"/>
      <c r="AB119" s="75"/>
      <c r="AC119" s="75"/>
      <c r="AD119" s="75"/>
      <c r="AE119" s="52"/>
      <c r="AF119" s="74"/>
      <c r="AG119" s="74"/>
      <c r="AH119" s="74"/>
      <c r="AI119" s="74"/>
      <c r="AJ119" s="74"/>
      <c r="AK119" s="74"/>
      <c r="AL119" s="75"/>
      <c r="AM119" s="75"/>
      <c r="AN119" s="76"/>
      <c r="AO119" s="74"/>
      <c r="AP119" s="74"/>
    </row>
    <row r="120" spans="1:42" ht="12.75" hidden="1" customHeight="1" x14ac:dyDescent="0.25">
      <c r="A120" s="88" t="s">
        <v>223</v>
      </c>
      <c r="B120" s="87"/>
      <c r="C120" s="166"/>
      <c r="D120" s="166"/>
      <c r="E120" s="87"/>
      <c r="F120" s="87"/>
      <c r="G120" s="149"/>
      <c r="H120" s="50"/>
      <c r="I120" s="50"/>
      <c r="J120" s="50"/>
      <c r="K120" s="148"/>
      <c r="L120" s="148"/>
      <c r="M120" s="148"/>
      <c r="N120" s="148"/>
      <c r="O120" s="148"/>
      <c r="P120" s="148"/>
      <c r="Q120" s="50"/>
      <c r="R120" s="148"/>
      <c r="S120" s="148"/>
      <c r="T120" s="74"/>
      <c r="U120" s="74"/>
      <c r="V120" s="74"/>
      <c r="W120" s="74"/>
      <c r="X120" s="74"/>
      <c r="Y120" s="74"/>
      <c r="Z120" s="75"/>
      <c r="AA120" s="75"/>
      <c r="AB120" s="75"/>
      <c r="AC120" s="75"/>
      <c r="AD120" s="75"/>
      <c r="AE120" s="52"/>
      <c r="AF120" s="74"/>
      <c r="AG120" s="74"/>
      <c r="AH120" s="74"/>
      <c r="AI120" s="74"/>
      <c r="AJ120" s="74"/>
      <c r="AK120" s="74"/>
      <c r="AL120" s="75"/>
      <c r="AM120" s="75"/>
      <c r="AN120" s="76"/>
      <c r="AO120" s="74"/>
      <c r="AP120" s="74"/>
    </row>
    <row r="121" spans="1:42" ht="12.75" hidden="1" customHeight="1" x14ac:dyDescent="0.25">
      <c r="A121" s="91" t="s">
        <v>154</v>
      </c>
      <c r="B121" s="89" t="s">
        <v>128</v>
      </c>
      <c r="C121" s="90">
        <v>1</v>
      </c>
      <c r="D121" s="90"/>
      <c r="E121" s="90">
        <v>35</v>
      </c>
      <c r="F121" s="90">
        <v>80</v>
      </c>
      <c r="G121" s="145">
        <v>1.119564193</v>
      </c>
      <c r="H121" s="145">
        <v>7.8280273830000002</v>
      </c>
      <c r="I121" s="145">
        <v>0.296728351</v>
      </c>
      <c r="J121" s="145">
        <v>1.0711818E-2</v>
      </c>
      <c r="K121" s="145">
        <v>0.22469266800000001</v>
      </c>
      <c r="L121" s="147">
        <v>1.1999937300532599E-2</v>
      </c>
      <c r="M121" s="147">
        <v>0.130339318979285</v>
      </c>
      <c r="N121" s="145">
        <v>0.20671725399999999</v>
      </c>
      <c r="O121" s="147">
        <v>2.9999843251331498E-3</v>
      </c>
      <c r="P121" s="147">
        <v>5.5859708133979398E-2</v>
      </c>
      <c r="Q121" s="145">
        <v>1111.549278</v>
      </c>
      <c r="R121" s="56">
        <f>0.000057143*Q121</f>
        <v>6.3517260392754002E-2</v>
      </c>
      <c r="S121" s="93">
        <f>0.000025616*Q121</f>
        <v>2.8473446305248E-2</v>
      </c>
      <c r="T121" s="59">
        <f>C121*($F121*$G121)/453.59</f>
        <v>0.19745835543111623</v>
      </c>
      <c r="U121" s="59">
        <f>C121*($F121*$H121)/453.59</f>
        <v>1.3806349139972223</v>
      </c>
      <c r="V121" s="59">
        <f>C121*(($F121*$I121))/453.59</f>
        <v>5.2334196256531233E-2</v>
      </c>
      <c r="W121" s="59">
        <f>C121*($F121*$J121)/453.59</f>
        <v>1.8892511739676801E-3</v>
      </c>
      <c r="X121" s="59">
        <f>C121*(($F121*($K121+$L121+$M121)))/453.59</f>
        <v>6.4733688887288976E-2</v>
      </c>
      <c r="Y121" s="59">
        <f>C121*(($F121*($N121+$O121+$P121)))/453.59</f>
        <v>4.6840000257344756E-2</v>
      </c>
      <c r="Z121" s="59">
        <f>C121*(F121)*$B$220</f>
        <v>7.8498442661133934E-3</v>
      </c>
      <c r="AA121" s="59">
        <f>Z121*0.21</f>
        <v>1.6484672958838125E-3</v>
      </c>
      <c r="AB121" s="59">
        <f>C121*(($F121*($Q121)))/453.59</f>
        <v>196.04475901144207</v>
      </c>
      <c r="AC121" s="59">
        <f>C121*(($F121*($R121)))/453.59</f>
        <v>1.1202585664190835E-2</v>
      </c>
      <c r="AD121" s="59">
        <f>C121*(($F121*($S121)))/453.59</f>
        <v>5.0218825468371E-3</v>
      </c>
      <c r="AE121" s="63">
        <f>3*22</f>
        <v>66</v>
      </c>
      <c r="AF121" s="59">
        <f t="shared" ref="AF121:AM121" si="323">T121*$AE121/2000</f>
        <v>6.5161257292268362E-3</v>
      </c>
      <c r="AG121" s="59">
        <f t="shared" si="323"/>
        <v>4.5560952161908336E-2</v>
      </c>
      <c r="AH121" s="59">
        <f t="shared" si="323"/>
        <v>1.7270284764655307E-3</v>
      </c>
      <c r="AI121" s="59">
        <f t="shared" si="323"/>
        <v>6.2345288740933439E-5</v>
      </c>
      <c r="AJ121" s="59">
        <f t="shared" si="323"/>
        <v>2.136211733280536E-3</v>
      </c>
      <c r="AK121" s="59">
        <f t="shared" si="323"/>
        <v>1.5457200084923769E-3</v>
      </c>
      <c r="AL121" s="59">
        <f t="shared" si="323"/>
        <v>2.59044860781742E-4</v>
      </c>
      <c r="AM121" s="59">
        <f t="shared" si="323"/>
        <v>5.4399420764165811E-5</v>
      </c>
      <c r="AN121" s="59">
        <f t="shared" ref="AN121" si="324">AB121*$AE121/2000</f>
        <v>6.4694770473775876</v>
      </c>
      <c r="AO121" s="59">
        <f t="shared" ref="AO121" si="325">AC121*$AE121/2000</f>
        <v>3.6968532691829758E-4</v>
      </c>
      <c r="AP121" s="59">
        <f t="shared" ref="AP121" si="326">AD121*$AE121/2000</f>
        <v>1.6572212404562431E-4</v>
      </c>
    </row>
    <row r="122" spans="1:42" ht="12.75" hidden="1" customHeight="1" x14ac:dyDescent="0.25">
      <c r="A122" s="88" t="s">
        <v>38</v>
      </c>
      <c r="B122" s="87"/>
      <c r="C122" s="166"/>
      <c r="D122" s="166"/>
      <c r="E122" s="87"/>
      <c r="F122" s="87"/>
      <c r="G122" s="149"/>
      <c r="H122" s="50"/>
      <c r="I122" s="50"/>
      <c r="J122" s="50"/>
      <c r="K122" s="148"/>
      <c r="L122" s="148"/>
      <c r="M122" s="148"/>
      <c r="N122" s="148"/>
      <c r="O122" s="148"/>
      <c r="P122" s="148"/>
      <c r="Q122" s="50"/>
      <c r="R122" s="148"/>
      <c r="S122" s="148"/>
      <c r="T122" s="94">
        <f>T121</f>
        <v>0.19745835543111623</v>
      </c>
      <c r="U122" s="94">
        <f t="shared" ref="U122:AD122" si="327">U121</f>
        <v>1.3806349139972223</v>
      </c>
      <c r="V122" s="94">
        <f t="shared" si="327"/>
        <v>5.2334196256531233E-2</v>
      </c>
      <c r="W122" s="94">
        <f t="shared" si="327"/>
        <v>1.8892511739676801E-3</v>
      </c>
      <c r="X122" s="94">
        <f t="shared" si="327"/>
        <v>6.4733688887288976E-2</v>
      </c>
      <c r="Y122" s="94">
        <f t="shared" si="327"/>
        <v>4.6840000257344756E-2</v>
      </c>
      <c r="Z122" s="94">
        <f t="shared" si="327"/>
        <v>7.8498442661133934E-3</v>
      </c>
      <c r="AA122" s="94">
        <f t="shared" si="327"/>
        <v>1.6484672958838125E-3</v>
      </c>
      <c r="AB122" s="94">
        <f t="shared" si="327"/>
        <v>196.04475901144207</v>
      </c>
      <c r="AC122" s="94">
        <f t="shared" si="327"/>
        <v>1.1202585664190835E-2</v>
      </c>
      <c r="AD122" s="94">
        <f t="shared" si="327"/>
        <v>5.0218825468371E-3</v>
      </c>
      <c r="AE122" s="69"/>
      <c r="AF122" s="94">
        <f>AF121</f>
        <v>6.5161257292268362E-3</v>
      </c>
      <c r="AG122" s="94">
        <f t="shared" ref="AG122:AP122" si="328">AG121</f>
        <v>4.5560952161908336E-2</v>
      </c>
      <c r="AH122" s="94">
        <f t="shared" si="328"/>
        <v>1.7270284764655307E-3</v>
      </c>
      <c r="AI122" s="94">
        <f t="shared" si="328"/>
        <v>6.2345288740933439E-5</v>
      </c>
      <c r="AJ122" s="94">
        <f t="shared" si="328"/>
        <v>2.136211733280536E-3</v>
      </c>
      <c r="AK122" s="94">
        <f t="shared" si="328"/>
        <v>1.5457200084923769E-3</v>
      </c>
      <c r="AL122" s="94">
        <f t="shared" si="328"/>
        <v>2.59044860781742E-4</v>
      </c>
      <c r="AM122" s="94">
        <f t="shared" si="328"/>
        <v>5.4399420764165811E-5</v>
      </c>
      <c r="AN122" s="94">
        <f t="shared" si="328"/>
        <v>6.4694770473775876</v>
      </c>
      <c r="AO122" s="94">
        <f t="shared" si="328"/>
        <v>3.6968532691829758E-4</v>
      </c>
      <c r="AP122" s="94">
        <f t="shared" si="328"/>
        <v>1.6572212404562431E-4</v>
      </c>
    </row>
    <row r="123" spans="1:42" ht="12.75" hidden="1" customHeight="1" x14ac:dyDescent="0.25">
      <c r="A123" s="150"/>
      <c r="B123" s="87"/>
      <c r="C123" s="166"/>
      <c r="D123" s="166"/>
      <c r="E123" s="87"/>
      <c r="F123" s="87"/>
      <c r="G123" s="149"/>
      <c r="H123" s="50"/>
      <c r="I123" s="50"/>
      <c r="J123" s="50"/>
      <c r="K123" s="148"/>
      <c r="L123" s="148"/>
      <c r="M123" s="148"/>
      <c r="N123" s="148"/>
      <c r="O123" s="148"/>
      <c r="P123" s="148"/>
      <c r="Q123" s="50"/>
      <c r="R123" s="148"/>
      <c r="S123" s="148"/>
      <c r="T123" s="74"/>
      <c r="U123" s="74"/>
      <c r="V123" s="74"/>
      <c r="W123" s="74"/>
      <c r="X123" s="74"/>
      <c r="Y123" s="74"/>
      <c r="Z123" s="75"/>
      <c r="AA123" s="75"/>
      <c r="AB123" s="75"/>
      <c r="AC123" s="75"/>
      <c r="AD123" s="75"/>
      <c r="AE123" s="52"/>
      <c r="AF123" s="74"/>
      <c r="AG123" s="74"/>
      <c r="AH123" s="74"/>
      <c r="AI123" s="74"/>
      <c r="AJ123" s="74"/>
      <c r="AK123" s="74"/>
      <c r="AL123" s="75"/>
      <c r="AM123" s="75"/>
      <c r="AN123" s="76"/>
      <c r="AO123" s="74"/>
      <c r="AP123" s="74"/>
    </row>
    <row r="124" spans="1:42" x14ac:dyDescent="0.25">
      <c r="A124" s="88" t="s">
        <v>171</v>
      </c>
      <c r="B124" s="89"/>
      <c r="C124" s="90"/>
      <c r="D124" s="90"/>
      <c r="E124" s="90"/>
      <c r="F124" s="90"/>
      <c r="G124" s="47"/>
      <c r="H124" s="56"/>
      <c r="I124" s="47"/>
      <c r="J124" s="64"/>
      <c r="K124" s="48"/>
      <c r="L124" s="48"/>
      <c r="M124" s="48"/>
      <c r="N124" s="48"/>
      <c r="O124" s="48"/>
      <c r="P124" s="48"/>
      <c r="Q124" s="64"/>
      <c r="R124" s="64"/>
      <c r="S124" s="64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69"/>
      <c r="AF124" s="48"/>
      <c r="AG124" s="48"/>
      <c r="AH124" s="48"/>
      <c r="AI124" s="48"/>
      <c r="AJ124" s="48"/>
      <c r="AK124" s="48"/>
      <c r="AL124" s="48"/>
      <c r="AM124" s="48"/>
      <c r="AN124" s="69"/>
      <c r="AO124" s="48"/>
      <c r="AP124" s="48"/>
    </row>
    <row r="125" spans="1:42" x14ac:dyDescent="0.25">
      <c r="A125" s="91" t="s">
        <v>154</v>
      </c>
      <c r="B125" s="89" t="s">
        <v>128</v>
      </c>
      <c r="C125" s="90">
        <v>3</v>
      </c>
      <c r="D125" s="90">
        <v>2016</v>
      </c>
      <c r="E125" s="90">
        <v>35</v>
      </c>
      <c r="F125" s="90">
        <v>160</v>
      </c>
      <c r="G125" s="145">
        <v>1.0826397662712</v>
      </c>
      <c r="H125" s="145">
        <v>4.9663485177263196</v>
      </c>
      <c r="I125" s="145">
        <v>0.26248012574830598</v>
      </c>
      <c r="J125" s="145">
        <v>1.0711818E-2</v>
      </c>
      <c r="K125" s="145">
        <v>7.1679901069995999E-2</v>
      </c>
      <c r="L125" s="567">
        <v>3.5999811999999999E-2</v>
      </c>
      <c r="M125" s="567">
        <v>6.1739677E-2</v>
      </c>
      <c r="N125" s="145">
        <v>6.59455089843963E-2</v>
      </c>
      <c r="O125" s="567">
        <v>8.9999529999999998E-3</v>
      </c>
      <c r="P125" s="567">
        <v>2.6459862000000001E-2</v>
      </c>
      <c r="Q125" s="145">
        <v>1710.7260798812899</v>
      </c>
      <c r="R125" s="56">
        <f t="shared" ref="R125:R126" si="329">0.000057143*Q125</f>
        <v>9.7756020382656544E-2</v>
      </c>
      <c r="S125" s="93">
        <f t="shared" ref="S125:S126" si="330">0.000025616*Q125</f>
        <v>4.382195926223912E-2</v>
      </c>
      <c r="T125" s="59">
        <f>C125*($F125*$G125)/453.59</f>
        <v>1.1456758037218104</v>
      </c>
      <c r="U125" s="59">
        <f>C125*($F125*$H125)/453.59</f>
        <v>5.2555111190913237</v>
      </c>
      <c r="V125" s="59">
        <f>C125*(($F125*$I125))/453.59</f>
        <v>0.27776287034367353</v>
      </c>
      <c r="W125" s="59">
        <f>C125*($F125*$J125)/453.59</f>
        <v>1.133550704380608E-2</v>
      </c>
      <c r="X125" s="59">
        <f>C125*(($F125*($K125+$L125+$M125)))/453.59</f>
        <v>0.179283730315038</v>
      </c>
      <c r="Y125" s="59">
        <f>C125*(($F125*($N125+$O125+$P125)))/453.59</f>
        <v>0.10730958687914245</v>
      </c>
      <c r="Z125" s="59">
        <f>C125*(F125)*$B$220</f>
        <v>4.7099065596680367E-2</v>
      </c>
      <c r="AA125" s="59">
        <f>Z125*0.21</f>
        <v>9.8908037753028775E-3</v>
      </c>
      <c r="AB125" s="59">
        <f>C125*(($F125*($Q125)))/453.59</f>
        <v>1810.3320583412753</v>
      </c>
      <c r="AC125" s="59">
        <f>C125*(($F125*($R125)))/453.59</f>
        <v>0.1034478048097955</v>
      </c>
      <c r="AD125" s="59">
        <f>C125*(($F125*($S125)))/453.59</f>
        <v>4.6373466006470111E-2</v>
      </c>
      <c r="AE125" s="63">
        <v>22</v>
      </c>
      <c r="AF125" s="59">
        <f t="shared" ref="AF125:AP125" si="331">T125*$AE125/2000</f>
        <v>1.2602433840939915E-2</v>
      </c>
      <c r="AG125" s="59">
        <f t="shared" si="331"/>
        <v>5.7810622310004563E-2</v>
      </c>
      <c r="AH125" s="59">
        <f t="shared" si="331"/>
        <v>3.0553915737804088E-3</v>
      </c>
      <c r="AI125" s="59">
        <f t="shared" si="331"/>
        <v>1.2469057748186688E-4</v>
      </c>
      <c r="AJ125" s="59">
        <f t="shared" si="331"/>
        <v>1.9721210334654178E-3</v>
      </c>
      <c r="AK125" s="59">
        <f t="shared" si="331"/>
        <v>1.1804054556705671E-3</v>
      </c>
      <c r="AL125" s="59">
        <f t="shared" si="331"/>
        <v>5.180897215634841E-4</v>
      </c>
      <c r="AM125" s="59">
        <f t="shared" si="331"/>
        <v>1.0879884152833165E-4</v>
      </c>
      <c r="AN125" s="59">
        <f t="shared" si="331"/>
        <v>19.91365264175403</v>
      </c>
      <c r="AO125" s="59">
        <f t="shared" si="331"/>
        <v>1.1379258529077504E-3</v>
      </c>
      <c r="AP125" s="59">
        <f t="shared" si="331"/>
        <v>5.1010812607117119E-4</v>
      </c>
    </row>
    <row r="126" spans="1:42" x14ac:dyDescent="0.25">
      <c r="A126" s="91" t="s">
        <v>157</v>
      </c>
      <c r="B126" s="89" t="s">
        <v>128</v>
      </c>
      <c r="C126" s="90">
        <v>2</v>
      </c>
      <c r="D126" s="90">
        <v>2016</v>
      </c>
      <c r="E126" s="90">
        <v>35</v>
      </c>
      <c r="F126" s="90">
        <v>80</v>
      </c>
      <c r="G126" s="145">
        <v>1.0826397662712</v>
      </c>
      <c r="H126" s="145">
        <v>4.9663485177263196</v>
      </c>
      <c r="I126" s="145">
        <v>0.26248012574830598</v>
      </c>
      <c r="J126" s="145">
        <v>1.0711818E-2</v>
      </c>
      <c r="K126" s="145">
        <v>7.1679901069995999E-2</v>
      </c>
      <c r="L126" s="567">
        <v>3.5999811999999999E-2</v>
      </c>
      <c r="M126" s="567">
        <v>6.1739677E-2</v>
      </c>
      <c r="N126" s="145">
        <v>6.59455089843963E-2</v>
      </c>
      <c r="O126" s="567">
        <v>8.9999529999999998E-3</v>
      </c>
      <c r="P126" s="567">
        <v>2.6459862000000001E-2</v>
      </c>
      <c r="Q126" s="145">
        <v>1710.7260798812899</v>
      </c>
      <c r="R126" s="56">
        <f t="shared" si="329"/>
        <v>9.7756020382656544E-2</v>
      </c>
      <c r="S126" s="93">
        <f t="shared" si="330"/>
        <v>4.382195926223912E-2</v>
      </c>
      <c r="T126" s="59">
        <f>C126*($F126*$G126)/453.59</f>
        <v>0.38189193457393683</v>
      </c>
      <c r="U126" s="59">
        <f>C126*($F126*$H126)/453.59</f>
        <v>1.7518370396971079</v>
      </c>
      <c r="V126" s="59">
        <f>C126*(($F126*$I126))/453.59</f>
        <v>9.2587623447891176E-2</v>
      </c>
      <c r="W126" s="59">
        <f>C126*($F126*$J126)/453.59</f>
        <v>3.7785023479353602E-3</v>
      </c>
      <c r="X126" s="59">
        <f>C126*(($F126*($K126+$L126+$M126)))/453.59</f>
        <v>5.976124343834599E-2</v>
      </c>
      <c r="Y126" s="59">
        <f>C126*(($F126*($N126+$O126+$P126)))/453.59</f>
        <v>3.5769862293047489E-2</v>
      </c>
      <c r="Z126" s="59">
        <f>C126*(F126)*$B$220</f>
        <v>1.5699688532226787E-2</v>
      </c>
      <c r="AA126" s="59">
        <f>Z126*0.21</f>
        <v>3.296934591767625E-3</v>
      </c>
      <c r="AB126" s="59">
        <f>C126*(($F126*($Q126)))/453.59</f>
        <v>603.44401944709182</v>
      </c>
      <c r="AC126" s="59">
        <f>C126*(($F126*($R126)))/453.59</f>
        <v>3.4482601603265169E-2</v>
      </c>
      <c r="AD126" s="59">
        <f>C126*(($F126*($S126)))/453.59</f>
        <v>1.5457822002156703E-2</v>
      </c>
      <c r="AE126" s="63">
        <v>22</v>
      </c>
      <c r="AF126" s="59">
        <f t="shared" ref="AF126:AM126" si="332">T126*$AE126/2000</f>
        <v>4.2008112803133052E-3</v>
      </c>
      <c r="AG126" s="59">
        <f t="shared" si="332"/>
        <v>1.9270207436668189E-2</v>
      </c>
      <c r="AH126" s="59">
        <f t="shared" si="332"/>
        <v>1.018463857926803E-3</v>
      </c>
      <c r="AI126" s="59">
        <f t="shared" si="332"/>
        <v>4.1563525827288966E-5</v>
      </c>
      <c r="AJ126" s="59">
        <f t="shared" si="332"/>
        <v>6.573736778218059E-4</v>
      </c>
      <c r="AK126" s="59">
        <f t="shared" si="332"/>
        <v>3.9346848522352239E-4</v>
      </c>
      <c r="AL126" s="59">
        <f t="shared" si="332"/>
        <v>1.7269657385449467E-4</v>
      </c>
      <c r="AM126" s="59">
        <f t="shared" si="332"/>
        <v>3.6266280509443874E-5</v>
      </c>
      <c r="AN126" s="59">
        <f t="shared" ref="AN126" si="333">AB126*$AE126/2000</f>
        <v>6.6378842139180101</v>
      </c>
      <c r="AO126" s="59">
        <f t="shared" ref="AO126" si="334">AC126*$AE126/2000</f>
        <v>3.7930861763591682E-4</v>
      </c>
      <c r="AP126" s="59">
        <f t="shared" ref="AP126" si="335">AD126*$AE126/2000</f>
        <v>1.7003604202372373E-4</v>
      </c>
    </row>
    <row r="127" spans="1:42" x14ac:dyDescent="0.25">
      <c r="A127" s="88" t="s">
        <v>38</v>
      </c>
      <c r="B127" s="89"/>
      <c r="C127" s="90"/>
      <c r="D127" s="90"/>
      <c r="E127" s="90"/>
      <c r="F127" s="90"/>
      <c r="G127" s="124"/>
      <c r="H127" s="57"/>
      <c r="I127" s="124"/>
      <c r="J127" s="139"/>
      <c r="K127" s="48"/>
      <c r="L127" s="48"/>
      <c r="M127" s="48"/>
      <c r="N127" s="48"/>
      <c r="O127" s="48"/>
      <c r="P127" s="48"/>
      <c r="Q127" s="139"/>
      <c r="R127" s="64"/>
      <c r="S127" s="64"/>
      <c r="T127" s="94">
        <f>SUM(T125:T126)</f>
        <v>1.5275677382957473</v>
      </c>
      <c r="U127" s="94">
        <f t="shared" ref="U127:AD127" si="336">SUM(U125:U126)</f>
        <v>7.0073481587884316</v>
      </c>
      <c r="V127" s="94">
        <f t="shared" si="336"/>
        <v>0.37035049379156471</v>
      </c>
      <c r="W127" s="94">
        <f t="shared" si="336"/>
        <v>1.5114009391741441E-2</v>
      </c>
      <c r="X127" s="94">
        <f t="shared" si="336"/>
        <v>0.23904497375338399</v>
      </c>
      <c r="Y127" s="94">
        <f t="shared" si="336"/>
        <v>0.14307944917218995</v>
      </c>
      <c r="Z127" s="94">
        <f t="shared" si="336"/>
        <v>6.2798754128907147E-2</v>
      </c>
      <c r="AA127" s="94">
        <f t="shared" si="336"/>
        <v>1.3187738367070503E-2</v>
      </c>
      <c r="AB127" s="94">
        <f t="shared" si="336"/>
        <v>2413.7760777883673</v>
      </c>
      <c r="AC127" s="94">
        <f t="shared" si="336"/>
        <v>0.13793040641306067</v>
      </c>
      <c r="AD127" s="94">
        <f t="shared" si="336"/>
        <v>6.1831288008626813E-2</v>
      </c>
      <c r="AE127" s="69"/>
      <c r="AF127" s="95">
        <f>SUM(AF125:AF126)</f>
        <v>1.6803245121253221E-2</v>
      </c>
      <c r="AG127" s="95">
        <f t="shared" ref="AG127:AP127" si="337">SUM(AG125:AG126)</f>
        <v>7.7080829746672755E-2</v>
      </c>
      <c r="AH127" s="95">
        <f t="shared" si="337"/>
        <v>4.073855431707212E-3</v>
      </c>
      <c r="AI127" s="95">
        <f t="shared" si="337"/>
        <v>1.6625410330915584E-4</v>
      </c>
      <c r="AJ127" s="95">
        <f t="shared" si="337"/>
        <v>2.6294947112872236E-3</v>
      </c>
      <c r="AK127" s="95">
        <f t="shared" si="337"/>
        <v>1.5738739408940896E-3</v>
      </c>
      <c r="AL127" s="95">
        <f t="shared" si="337"/>
        <v>6.907862954179788E-4</v>
      </c>
      <c r="AM127" s="95">
        <f t="shared" si="337"/>
        <v>1.4506512203777552E-4</v>
      </c>
      <c r="AN127" s="95">
        <f t="shared" si="337"/>
        <v>26.55153685567204</v>
      </c>
      <c r="AO127" s="95">
        <f t="shared" si="337"/>
        <v>1.5172344705436673E-3</v>
      </c>
      <c r="AP127" s="95">
        <f t="shared" si="337"/>
        <v>6.8014416809489492E-4</v>
      </c>
    </row>
    <row r="128" spans="1:42" x14ac:dyDescent="0.25">
      <c r="A128" s="88"/>
      <c r="B128" s="89"/>
      <c r="C128" s="90"/>
      <c r="D128" s="90"/>
      <c r="E128" s="90"/>
      <c r="F128" s="90"/>
      <c r="G128" s="124"/>
      <c r="H128" s="57"/>
      <c r="I128" s="124"/>
      <c r="J128" s="139"/>
      <c r="K128" s="48"/>
      <c r="L128" s="48"/>
      <c r="M128" s="48"/>
      <c r="N128" s="48"/>
      <c r="O128" s="48"/>
      <c r="P128" s="48"/>
      <c r="Q128" s="139"/>
      <c r="R128" s="64"/>
      <c r="S128" s="64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69"/>
      <c r="AF128" s="95"/>
      <c r="AG128" s="95"/>
      <c r="AH128" s="95"/>
      <c r="AI128" s="95"/>
      <c r="AJ128" s="95"/>
      <c r="AK128" s="95"/>
      <c r="AL128" s="95"/>
      <c r="AM128" s="95"/>
      <c r="AN128" s="76"/>
      <c r="AO128" s="95"/>
      <c r="AP128" s="95"/>
    </row>
    <row r="129" spans="1:42" ht="26.4" x14ac:dyDescent="0.25">
      <c r="A129" s="88" t="s">
        <v>172</v>
      </c>
      <c r="B129" s="89"/>
      <c r="C129" s="90"/>
      <c r="D129" s="90"/>
      <c r="E129" s="90"/>
      <c r="F129" s="90"/>
      <c r="G129" s="124"/>
      <c r="H129" s="57"/>
      <c r="I129" s="124"/>
      <c r="J129" s="139"/>
      <c r="K129" s="48"/>
      <c r="L129" s="48"/>
      <c r="M129" s="48"/>
      <c r="N129" s="48"/>
      <c r="O129" s="48"/>
      <c r="P129" s="48"/>
      <c r="Q129" s="139"/>
      <c r="R129" s="64"/>
      <c r="S129" s="64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69"/>
      <c r="AF129" s="59"/>
      <c r="AG129" s="59"/>
      <c r="AH129" s="59"/>
      <c r="AI129" s="59"/>
      <c r="AJ129" s="59"/>
      <c r="AK129" s="59"/>
      <c r="AL129" s="61"/>
      <c r="AM129" s="61"/>
      <c r="AN129" s="63"/>
      <c r="AO129" s="61"/>
      <c r="AP129" s="61"/>
    </row>
    <row r="130" spans="1:42" x14ac:dyDescent="0.25">
      <c r="A130" s="91" t="s">
        <v>114</v>
      </c>
      <c r="B130" s="89" t="s">
        <v>107</v>
      </c>
      <c r="C130" s="92">
        <v>5</v>
      </c>
      <c r="D130" s="90">
        <v>2018</v>
      </c>
      <c r="E130" s="90">
        <v>15</v>
      </c>
      <c r="F130" s="90">
        <v>60</v>
      </c>
      <c r="G130" s="145">
        <v>0.56875974610331004</v>
      </c>
      <c r="H130" s="145">
        <v>0.60613619912309102</v>
      </c>
      <c r="I130" s="145">
        <v>0.110002906126779</v>
      </c>
      <c r="J130" s="145">
        <v>3.18613688227605E-3</v>
      </c>
      <c r="K130" s="145">
        <v>9.0901627580601399E-2</v>
      </c>
      <c r="L130" s="56">
        <v>7.99995847163921E-3</v>
      </c>
      <c r="M130" s="56">
        <v>3.6749815577381599E-2</v>
      </c>
      <c r="N130" s="145">
        <v>8.3629500044256497E-2</v>
      </c>
      <c r="O130" s="56">
        <v>1.9999896145790402E-3</v>
      </c>
      <c r="P130" s="56">
        <v>1.57499200131354E-2</v>
      </c>
      <c r="Q130" s="145">
        <v>284.47755884310999</v>
      </c>
      <c r="R130" s="56">
        <f>0.000057143*Q130</f>
        <v>1.6255901144971833E-2</v>
      </c>
      <c r="S130" s="93">
        <f>0.000025616*Q130</f>
        <v>7.2871771473251058E-3</v>
      </c>
      <c r="T130" s="59">
        <f>C130*($F130*$G130)/453.59</f>
        <v>0.37617214627966444</v>
      </c>
      <c r="U130" s="59">
        <f>C130*($F130*$H130)/453.59</f>
        <v>0.40089256759833181</v>
      </c>
      <c r="V130" s="59">
        <f>C130*(($F130*$I130))/453.59</f>
        <v>7.275484873571661E-2</v>
      </c>
      <c r="W130" s="59">
        <f>C130*($F130*$J130)/453.59</f>
        <v>2.1072798445354065E-3</v>
      </c>
      <c r="X130" s="59">
        <f>C130*(($F130*($K130+$L130+$M130)))/453.59</f>
        <v>8.9718513390697918E-2</v>
      </c>
      <c r="Y130" s="59">
        <f>C130*(($F130*($N130+$O130+$P130)))/453.59</f>
        <v>6.7051352326090261E-2</v>
      </c>
      <c r="Z130" s="59">
        <f>C130*(F130)*$B$220</f>
        <v>2.943691599792523E-2</v>
      </c>
      <c r="AA130" s="59">
        <f>Z130*0.21</f>
        <v>6.181752359564298E-3</v>
      </c>
      <c r="AB130" s="59">
        <f>C130*(($F130*($Q130)))/453.59</f>
        <v>188.15068156911087</v>
      </c>
      <c r="AC130" s="59">
        <f>C130*(($F130*($R130)))/453.59</f>
        <v>1.0751494396903703E-2</v>
      </c>
      <c r="AD130" s="59">
        <f>C130*(($F130*($S130)))/453.59</f>
        <v>4.8196678590743443E-3</v>
      </c>
      <c r="AE130" s="63">
        <v>22</v>
      </c>
      <c r="AF130" s="59">
        <f t="shared" ref="AF130:AM130" si="338">T130*$AE130/2000</f>
        <v>4.1378936090763086E-3</v>
      </c>
      <c r="AG130" s="59">
        <f t="shared" si="338"/>
        <v>4.4098182435816499E-3</v>
      </c>
      <c r="AH130" s="59">
        <f t="shared" si="338"/>
        <v>8.0030333609288273E-4</v>
      </c>
      <c r="AI130" s="59">
        <f t="shared" si="338"/>
        <v>2.3180078289889472E-5</v>
      </c>
      <c r="AJ130" s="59">
        <f t="shared" si="338"/>
        <v>9.8690364729767718E-4</v>
      </c>
      <c r="AK130" s="59">
        <f t="shared" si="338"/>
        <v>7.375648755869929E-4</v>
      </c>
      <c r="AL130" s="59">
        <f t="shared" si="338"/>
        <v>3.2380607597717751E-4</v>
      </c>
      <c r="AM130" s="59">
        <f t="shared" si="338"/>
        <v>6.7999275955207277E-5</v>
      </c>
      <c r="AN130" s="59">
        <f t="shared" ref="AN130" si="339">AB130*$AE130/2000</f>
        <v>2.06965749726022</v>
      </c>
      <c r="AO130" s="59">
        <f t="shared" ref="AO130" si="340">AC130*$AE130/2000</f>
        <v>1.1826643836594074E-4</v>
      </c>
      <c r="AP130" s="59">
        <f t="shared" ref="AP130" si="341">AD130*$AE130/2000</f>
        <v>5.3016346449817784E-5</v>
      </c>
    </row>
    <row r="131" spans="1:42" x14ac:dyDescent="0.25">
      <c r="A131" s="88" t="s">
        <v>38</v>
      </c>
      <c r="B131" s="89"/>
      <c r="C131" s="90"/>
      <c r="D131" s="90"/>
      <c r="E131" s="90"/>
      <c r="F131" s="90"/>
      <c r="G131" s="124"/>
      <c r="H131" s="57"/>
      <c r="I131" s="124"/>
      <c r="J131" s="139"/>
      <c r="K131" s="48"/>
      <c r="L131" s="48"/>
      <c r="M131" s="48"/>
      <c r="N131" s="48"/>
      <c r="O131" s="48"/>
      <c r="P131" s="48"/>
      <c r="Q131" s="139"/>
      <c r="R131" s="64"/>
      <c r="S131" s="64"/>
      <c r="T131" s="94">
        <f>T130</f>
        <v>0.37617214627966444</v>
      </c>
      <c r="U131" s="94">
        <f t="shared" ref="U131:AD131" si="342">U130</f>
        <v>0.40089256759833181</v>
      </c>
      <c r="V131" s="94">
        <f t="shared" si="342"/>
        <v>7.275484873571661E-2</v>
      </c>
      <c r="W131" s="94">
        <f t="shared" si="342"/>
        <v>2.1072798445354065E-3</v>
      </c>
      <c r="X131" s="94">
        <f t="shared" si="342"/>
        <v>8.9718513390697918E-2</v>
      </c>
      <c r="Y131" s="94">
        <f t="shared" si="342"/>
        <v>6.7051352326090261E-2</v>
      </c>
      <c r="Z131" s="94">
        <f t="shared" si="342"/>
        <v>2.943691599792523E-2</v>
      </c>
      <c r="AA131" s="94">
        <f t="shared" si="342"/>
        <v>6.181752359564298E-3</v>
      </c>
      <c r="AB131" s="94">
        <f t="shared" si="342"/>
        <v>188.15068156911087</v>
      </c>
      <c r="AC131" s="94">
        <f t="shared" si="342"/>
        <v>1.0751494396903703E-2</v>
      </c>
      <c r="AD131" s="94">
        <f t="shared" si="342"/>
        <v>4.8196678590743443E-3</v>
      </c>
      <c r="AE131" s="69"/>
      <c r="AF131" s="94">
        <f>AF130</f>
        <v>4.1378936090763086E-3</v>
      </c>
      <c r="AG131" s="94">
        <f t="shared" ref="AG131:AP131" si="343">AG130</f>
        <v>4.4098182435816499E-3</v>
      </c>
      <c r="AH131" s="94">
        <f t="shared" si="343"/>
        <v>8.0030333609288273E-4</v>
      </c>
      <c r="AI131" s="94">
        <f t="shared" si="343"/>
        <v>2.3180078289889472E-5</v>
      </c>
      <c r="AJ131" s="94">
        <f t="shared" si="343"/>
        <v>9.8690364729767718E-4</v>
      </c>
      <c r="AK131" s="94">
        <f t="shared" si="343"/>
        <v>7.375648755869929E-4</v>
      </c>
      <c r="AL131" s="94">
        <f t="shared" si="343"/>
        <v>3.2380607597717751E-4</v>
      </c>
      <c r="AM131" s="94">
        <f t="shared" si="343"/>
        <v>6.7999275955207277E-5</v>
      </c>
      <c r="AN131" s="94">
        <f t="shared" si="343"/>
        <v>2.06965749726022</v>
      </c>
      <c r="AO131" s="94">
        <f t="shared" si="343"/>
        <v>1.1826643836594074E-4</v>
      </c>
      <c r="AP131" s="94">
        <f t="shared" si="343"/>
        <v>5.3016346449817784E-5</v>
      </c>
    </row>
    <row r="132" spans="1:42" x14ac:dyDescent="0.25">
      <c r="A132" s="88"/>
      <c r="B132" s="89"/>
      <c r="C132" s="90"/>
      <c r="D132" s="90"/>
      <c r="E132" s="90"/>
      <c r="F132" s="90"/>
      <c r="G132" s="124"/>
      <c r="H132" s="57"/>
      <c r="I132" s="124"/>
      <c r="J132" s="139"/>
      <c r="K132" s="48"/>
      <c r="L132" s="48"/>
      <c r="M132" s="48"/>
      <c r="N132" s="48"/>
      <c r="O132" s="48"/>
      <c r="P132" s="48"/>
      <c r="Q132" s="139"/>
      <c r="R132" s="64"/>
      <c r="S132" s="64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69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</row>
    <row r="133" spans="1:42" ht="26.4" x14ac:dyDescent="0.25">
      <c r="A133" s="88" t="s">
        <v>224</v>
      </c>
      <c r="B133" s="89"/>
      <c r="C133" s="90"/>
      <c r="D133" s="90"/>
      <c r="E133" s="90"/>
      <c r="F133" s="90"/>
      <c r="G133" s="145"/>
      <c r="H133" s="145"/>
      <c r="I133" s="145"/>
      <c r="J133" s="145"/>
      <c r="K133" s="145"/>
      <c r="L133" s="56"/>
      <c r="M133" s="56"/>
      <c r="N133" s="145"/>
      <c r="O133" s="56"/>
      <c r="P133" s="56"/>
      <c r="Q133" s="145"/>
      <c r="R133" s="56"/>
      <c r="S133" s="93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69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</row>
    <row r="134" spans="1:42" x14ac:dyDescent="0.25">
      <c r="A134" s="91" t="s">
        <v>205</v>
      </c>
      <c r="B134" s="89" t="s">
        <v>128</v>
      </c>
      <c r="C134" s="90">
        <v>1</v>
      </c>
      <c r="D134" s="90">
        <v>2015</v>
      </c>
      <c r="E134" s="90">
        <v>35</v>
      </c>
      <c r="F134" s="90">
        <v>80</v>
      </c>
      <c r="G134" s="145">
        <v>1.1475010375994501</v>
      </c>
      <c r="H134" s="145">
        <v>6.1597902567033698</v>
      </c>
      <c r="I134" s="145">
        <v>0.27527412390358202</v>
      </c>
      <c r="J134" s="145">
        <v>1.0711818E-2</v>
      </c>
      <c r="K134" s="145">
        <v>7.9574350742464495E-2</v>
      </c>
      <c r="L134" s="567">
        <v>3.5999811999999999E-2</v>
      </c>
      <c r="M134" s="567">
        <v>6.1739677E-2</v>
      </c>
      <c r="N134" s="145">
        <v>7.32084026830674E-2</v>
      </c>
      <c r="O134" s="567">
        <v>8.9999529999999998E-3</v>
      </c>
      <c r="P134" s="567">
        <v>2.6459862000000001E-2</v>
      </c>
      <c r="Q134" s="145">
        <v>1735.6021746639301</v>
      </c>
      <c r="R134" s="56">
        <f>0.000057143*Q134</f>
        <v>9.9177515066820959E-2</v>
      </c>
      <c r="S134" s="93">
        <f>0.000025616*Q134</f>
        <v>4.445918530619123E-2</v>
      </c>
      <c r="T134" s="59">
        <f>C134*($F134*$G134)/453.59</f>
        <v>0.20238559714269716</v>
      </c>
      <c r="U134" s="59">
        <f>C134*($F134*$H134)/453.59</f>
        <v>1.0864067120886034</v>
      </c>
      <c r="V134" s="59">
        <f>C134*(($F134*$I134))/453.59</f>
        <v>4.8550298534550063E-2</v>
      </c>
      <c r="W134" s="59">
        <f>C134*($F134*$J134)/453.59</f>
        <v>1.8892511739676801E-3</v>
      </c>
      <c r="X134" s="59">
        <f>C134*(($F134*($K134+$L134+$M134)))/453.59</f>
        <v>3.1272971580936879E-2</v>
      </c>
      <c r="Y134" s="59">
        <f>C134*(($F134*($N134+$O134+$P134)))/453.59</f>
        <v>1.9165893019346531E-2</v>
      </c>
      <c r="Z134" s="59">
        <f>C134*(F134)*$B$220</f>
        <v>7.8498442661133934E-3</v>
      </c>
      <c r="AA134" s="59">
        <f>Z134*0.21</f>
        <v>1.6484672958838125E-3</v>
      </c>
      <c r="AB134" s="59">
        <f>C134*(($F134*($Q134)))/453.59</f>
        <v>306.10942475167974</v>
      </c>
      <c r="AC134" s="59">
        <f>C134*(($F134*($R134)))/453.59</f>
        <v>1.7492010858585236E-2</v>
      </c>
      <c r="AD134" s="59">
        <f>C134*(($F134*($S134)))/453.59</f>
        <v>7.8412990244390284E-3</v>
      </c>
      <c r="AE134" s="63">
        <v>44</v>
      </c>
      <c r="AF134" s="59">
        <f t="shared" ref="AF134:AM135" si="344">T134*$AE134/2000</f>
        <v>4.4524831371393373E-3</v>
      </c>
      <c r="AG134" s="59">
        <f t="shared" si="344"/>
        <v>2.3900947665949274E-2</v>
      </c>
      <c r="AH134" s="59">
        <f t="shared" si="344"/>
        <v>1.0681065677601014E-3</v>
      </c>
      <c r="AI134" s="59">
        <f t="shared" si="344"/>
        <v>4.1563525827288966E-5</v>
      </c>
      <c r="AJ134" s="59">
        <f t="shared" si="344"/>
        <v>6.8800537478061127E-4</v>
      </c>
      <c r="AK134" s="59">
        <f t="shared" si="344"/>
        <v>4.2164964642562371E-4</v>
      </c>
      <c r="AL134" s="59">
        <f t="shared" si="344"/>
        <v>1.7269657385449467E-4</v>
      </c>
      <c r="AM134" s="59">
        <f t="shared" si="344"/>
        <v>3.6266280509443874E-5</v>
      </c>
      <c r="AN134" s="59">
        <f t="shared" ref="AN134:AN135" si="345">AB134*$AE134/2000</f>
        <v>6.7344073445369537</v>
      </c>
      <c r="AO134" s="59">
        <f t="shared" ref="AO134:AO135" si="346">AC134*$AE134/2000</f>
        <v>3.8482423888887518E-4</v>
      </c>
      <c r="AP134" s="59">
        <f t="shared" ref="AP134:AP135" si="347">AD134*$AE134/2000</f>
        <v>1.7250857853765863E-4</v>
      </c>
    </row>
    <row r="135" spans="1:42" x14ac:dyDescent="0.25">
      <c r="A135" s="91" t="s">
        <v>154</v>
      </c>
      <c r="B135" s="89" t="s">
        <v>128</v>
      </c>
      <c r="C135" s="90">
        <v>5</v>
      </c>
      <c r="D135" s="90">
        <v>2015</v>
      </c>
      <c r="E135" s="90">
        <v>35</v>
      </c>
      <c r="F135" s="90">
        <v>160</v>
      </c>
      <c r="G135" s="145">
        <v>1.1475010375994501</v>
      </c>
      <c r="H135" s="145">
        <v>6.1597902567033698</v>
      </c>
      <c r="I135" s="145">
        <v>0.27527412390358202</v>
      </c>
      <c r="J135" s="145">
        <v>1.0711818E-2</v>
      </c>
      <c r="K135" s="145">
        <v>7.9574350742464495E-2</v>
      </c>
      <c r="L135" s="567">
        <v>3.5999811999999999E-2</v>
      </c>
      <c r="M135" s="567">
        <v>6.1739677E-2</v>
      </c>
      <c r="N135" s="145">
        <v>7.32084026830674E-2</v>
      </c>
      <c r="O135" s="567">
        <v>8.9999529999999998E-3</v>
      </c>
      <c r="P135" s="567">
        <v>2.6459862000000001E-2</v>
      </c>
      <c r="Q135" s="145">
        <v>1735.6021746639301</v>
      </c>
      <c r="R135" s="56">
        <f>0.000057143*Q135</f>
        <v>9.9177515066820959E-2</v>
      </c>
      <c r="S135" s="93">
        <f>0.000025616*Q135</f>
        <v>4.445918530619123E-2</v>
      </c>
      <c r="T135" s="59">
        <f>C135*($F135*$G135)/453.59</f>
        <v>2.0238559714269715</v>
      </c>
      <c r="U135" s="59">
        <f>C135*($F135*$H135)/453.59</f>
        <v>10.864067120886034</v>
      </c>
      <c r="V135" s="59">
        <f>C135*(($F135*$I135))/453.59</f>
        <v>0.48550298534550068</v>
      </c>
      <c r="W135" s="59">
        <f>C135*($F135*$J135)/453.59</f>
        <v>1.88925117396768E-2</v>
      </c>
      <c r="X135" s="59">
        <f>C135*(($F135*($K135+$L135+$M135)))/453.59</f>
        <v>0.31272971580936881</v>
      </c>
      <c r="Y135" s="59">
        <f>C135*(($F135*($N135+$O135+$P135)))/453.59</f>
        <v>0.1916589301934653</v>
      </c>
      <c r="Z135" s="59">
        <f>C135*(F135)*$B$220</f>
        <v>7.8498442661133941E-2</v>
      </c>
      <c r="AA135" s="59">
        <f>Z135*0.21</f>
        <v>1.6484672958838126E-2</v>
      </c>
      <c r="AB135" s="59">
        <f>C135*(($F135*($Q135)))/453.59</f>
        <v>3061.0942475167976</v>
      </c>
      <c r="AC135" s="59">
        <f>C135*(($F135*($R135)))/453.59</f>
        <v>0.17492010858585233</v>
      </c>
      <c r="AD135" s="59">
        <f>C135*(($F135*($S135)))/453.59</f>
        <v>7.8412990244390274E-2</v>
      </c>
      <c r="AE135" s="63">
        <v>44</v>
      </c>
      <c r="AF135" s="59">
        <f t="shared" si="344"/>
        <v>4.4524831371393375E-2</v>
      </c>
      <c r="AG135" s="59">
        <f t="shared" si="344"/>
        <v>0.23900947665949274</v>
      </c>
      <c r="AH135" s="59">
        <f t="shared" si="344"/>
        <v>1.0681065677601015E-2</v>
      </c>
      <c r="AI135" s="59">
        <f t="shared" si="344"/>
        <v>4.1563525827288959E-4</v>
      </c>
      <c r="AJ135" s="59">
        <f t="shared" si="344"/>
        <v>6.8800537478061145E-3</v>
      </c>
      <c r="AK135" s="59">
        <f t="shared" si="344"/>
        <v>4.216496464256236E-3</v>
      </c>
      <c r="AL135" s="59">
        <f t="shared" si="344"/>
        <v>1.7269657385449466E-3</v>
      </c>
      <c r="AM135" s="59">
        <f t="shared" si="344"/>
        <v>3.6266280509443879E-4</v>
      </c>
      <c r="AN135" s="59">
        <f t="shared" si="345"/>
        <v>67.344073445369546</v>
      </c>
      <c r="AO135" s="59">
        <f t="shared" si="346"/>
        <v>3.8482423888887515E-3</v>
      </c>
      <c r="AP135" s="59">
        <f t="shared" si="347"/>
        <v>1.7250857853765859E-3</v>
      </c>
    </row>
    <row r="136" spans="1:42" x14ac:dyDescent="0.25">
      <c r="A136" s="88" t="s">
        <v>38</v>
      </c>
      <c r="B136" s="87"/>
      <c r="C136" s="166"/>
      <c r="D136" s="166"/>
      <c r="E136" s="87"/>
      <c r="F136" s="87"/>
      <c r="G136" s="145"/>
      <c r="H136" s="145"/>
      <c r="I136" s="145"/>
      <c r="J136" s="145"/>
      <c r="K136" s="145"/>
      <c r="L136" s="567"/>
      <c r="M136" s="567"/>
      <c r="N136" s="145"/>
      <c r="O136" s="567"/>
      <c r="P136" s="567"/>
      <c r="Q136" s="145"/>
      <c r="R136" s="56"/>
      <c r="S136" s="93"/>
      <c r="T136" s="94">
        <f t="shared" ref="T136:AD136" si="348">SUM(T134:T135)</f>
        <v>2.2262415685696686</v>
      </c>
      <c r="U136" s="94">
        <f t="shared" si="348"/>
        <v>11.950473832974637</v>
      </c>
      <c r="V136" s="94">
        <f t="shared" si="348"/>
        <v>0.53405328388005069</v>
      </c>
      <c r="W136" s="94">
        <f t="shared" si="348"/>
        <v>2.0781762913644478E-2</v>
      </c>
      <c r="X136" s="94">
        <f t="shared" si="348"/>
        <v>0.34400268739030571</v>
      </c>
      <c r="Y136" s="94">
        <f t="shared" si="348"/>
        <v>0.21082482321281185</v>
      </c>
      <c r="Z136" s="94">
        <f t="shared" si="348"/>
        <v>8.6348286927247331E-2</v>
      </c>
      <c r="AA136" s="94">
        <f t="shared" si="348"/>
        <v>1.8133140254721937E-2</v>
      </c>
      <c r="AB136" s="94">
        <f t="shared" si="348"/>
        <v>3367.2036722684775</v>
      </c>
      <c r="AC136" s="94">
        <f t="shared" si="348"/>
        <v>0.19241211944443756</v>
      </c>
      <c r="AD136" s="94">
        <f t="shared" si="348"/>
        <v>8.6254289268829304E-2</v>
      </c>
      <c r="AE136" s="52"/>
      <c r="AF136" s="95">
        <f t="shared" ref="AF136:AP136" si="349">SUM(AF134:AF135)</f>
        <v>4.897731450853271E-2</v>
      </c>
      <c r="AG136" s="95">
        <f t="shared" si="349"/>
        <v>0.26291042432544198</v>
      </c>
      <c r="AH136" s="95">
        <f t="shared" si="349"/>
        <v>1.1749172245361117E-2</v>
      </c>
      <c r="AI136" s="95">
        <f t="shared" si="349"/>
        <v>4.5719878410017858E-4</v>
      </c>
      <c r="AJ136" s="95">
        <f t="shared" si="349"/>
        <v>7.5680591225867257E-3</v>
      </c>
      <c r="AK136" s="95">
        <f t="shared" si="349"/>
        <v>4.6381461106818596E-3</v>
      </c>
      <c r="AL136" s="95">
        <f t="shared" si="349"/>
        <v>1.8996623123994413E-3</v>
      </c>
      <c r="AM136" s="95">
        <f t="shared" si="349"/>
        <v>3.9892908560388267E-4</v>
      </c>
      <c r="AN136" s="95">
        <f t="shared" si="349"/>
        <v>74.078480789906493</v>
      </c>
      <c r="AO136" s="95">
        <f t="shared" si="349"/>
        <v>4.2330666277776265E-3</v>
      </c>
      <c r="AP136" s="95">
        <f t="shared" si="349"/>
        <v>1.8975943639142445E-3</v>
      </c>
    </row>
    <row r="137" spans="1:42" x14ac:dyDescent="0.25">
      <c r="A137" s="88"/>
      <c r="B137" s="89"/>
      <c r="C137" s="90"/>
      <c r="D137" s="90"/>
      <c r="E137" s="90"/>
      <c r="F137" s="90"/>
      <c r="G137" s="147"/>
      <c r="H137" s="57"/>
      <c r="I137" s="147"/>
      <c r="J137" s="139"/>
      <c r="K137" s="48"/>
      <c r="L137" s="48"/>
      <c r="M137" s="48"/>
      <c r="N137" s="48"/>
      <c r="O137" s="48"/>
      <c r="P137" s="48"/>
      <c r="Q137" s="139"/>
      <c r="R137" s="64"/>
      <c r="S137" s="64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69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</row>
    <row r="138" spans="1:42" ht="26.4" x14ac:dyDescent="0.25">
      <c r="A138" s="88" t="s">
        <v>225</v>
      </c>
      <c r="B138" s="89"/>
      <c r="C138" s="90"/>
      <c r="D138" s="90"/>
      <c r="E138" s="90"/>
      <c r="F138" s="90"/>
      <c r="G138" s="147"/>
      <c r="H138" s="57"/>
      <c r="I138" s="147"/>
      <c r="J138" s="139"/>
      <c r="K138" s="48"/>
      <c r="L138" s="48"/>
      <c r="M138" s="48"/>
      <c r="N138" s="48"/>
      <c r="O138" s="48"/>
      <c r="P138" s="48"/>
      <c r="Q138" s="139"/>
      <c r="R138" s="64"/>
      <c r="S138" s="64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69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</row>
    <row r="139" spans="1:42" x14ac:dyDescent="0.25">
      <c r="A139" s="91" t="s">
        <v>154</v>
      </c>
      <c r="B139" s="89" t="s">
        <v>128</v>
      </c>
      <c r="C139" s="90">
        <v>5</v>
      </c>
      <c r="D139" s="90">
        <v>2015</v>
      </c>
      <c r="E139" s="90">
        <v>35</v>
      </c>
      <c r="F139" s="90">
        <v>160</v>
      </c>
      <c r="G139" s="145">
        <v>1.1475010375994501</v>
      </c>
      <c r="H139" s="145">
        <v>6.1597902567033698</v>
      </c>
      <c r="I139" s="145">
        <v>0.27527412390358202</v>
      </c>
      <c r="J139" s="145">
        <v>1.0711818E-2</v>
      </c>
      <c r="K139" s="145">
        <v>7.9574350742464495E-2</v>
      </c>
      <c r="L139" s="567">
        <v>3.5999811999999999E-2</v>
      </c>
      <c r="M139" s="567">
        <v>6.1739677E-2</v>
      </c>
      <c r="N139" s="145">
        <v>7.32084026830674E-2</v>
      </c>
      <c r="O139" s="567">
        <v>8.9999529999999998E-3</v>
      </c>
      <c r="P139" s="567">
        <v>2.6459862000000001E-2</v>
      </c>
      <c r="Q139" s="145">
        <v>1735.6021746639301</v>
      </c>
      <c r="R139" s="56">
        <f>0.000057143*Q139</f>
        <v>9.9177515066820959E-2</v>
      </c>
      <c r="S139" s="93">
        <f>0.000025616*Q139</f>
        <v>4.445918530619123E-2</v>
      </c>
      <c r="T139" s="59">
        <f>C139*($F139*$G139)/453.59</f>
        <v>2.0238559714269715</v>
      </c>
      <c r="U139" s="59">
        <f>C139*($F139*$H139)/453.59</f>
        <v>10.864067120886034</v>
      </c>
      <c r="V139" s="59">
        <f>C139*(($F139*$I139))/453.59</f>
        <v>0.48550298534550068</v>
      </c>
      <c r="W139" s="59">
        <f>C139*($F139*$J139)/453.59</f>
        <v>1.88925117396768E-2</v>
      </c>
      <c r="X139" s="59">
        <f>C139*(($F139*($K139+$L139+$M139)))/453.59</f>
        <v>0.31272971580936881</v>
      </c>
      <c r="Y139" s="59">
        <f>C139*(($F139*($N139+$O139+$P139)))/453.59</f>
        <v>0.1916589301934653</v>
      </c>
      <c r="Z139" s="59">
        <f>C139*(F139)*$B$220</f>
        <v>7.8498442661133941E-2</v>
      </c>
      <c r="AA139" s="59">
        <f>Z139*0.21</f>
        <v>1.6484672958838126E-2</v>
      </c>
      <c r="AB139" s="59">
        <f>C139*(($F139*($Q139)))/453.59</f>
        <v>3061.0942475167976</v>
      </c>
      <c r="AC139" s="59">
        <f>C139*(($F139*($R139)))/453.59</f>
        <v>0.17492010858585233</v>
      </c>
      <c r="AD139" s="59">
        <f>C139*(($F139*($S139)))/453.59</f>
        <v>7.8412990244390274E-2</v>
      </c>
      <c r="AE139" s="63">
        <f>6*22</f>
        <v>132</v>
      </c>
      <c r="AF139" s="59">
        <f t="shared" ref="AF139:AM139" si="350">T139*$AE139/2000</f>
        <v>0.13357449411418013</v>
      </c>
      <c r="AG139" s="59">
        <f t="shared" si="350"/>
        <v>0.71702842997847827</v>
      </c>
      <c r="AH139" s="59">
        <f t="shared" si="350"/>
        <v>3.204319703280304E-2</v>
      </c>
      <c r="AI139" s="59">
        <f t="shared" si="350"/>
        <v>1.2469057748186686E-3</v>
      </c>
      <c r="AJ139" s="59">
        <f t="shared" si="350"/>
        <v>2.0640161243418342E-2</v>
      </c>
      <c r="AK139" s="59">
        <f t="shared" si="350"/>
        <v>1.2649489392768712E-2</v>
      </c>
      <c r="AL139" s="59">
        <f t="shared" si="350"/>
        <v>5.1808972156348401E-3</v>
      </c>
      <c r="AM139" s="59">
        <f t="shared" si="350"/>
        <v>1.0879884152833164E-3</v>
      </c>
      <c r="AN139" s="59">
        <f t="shared" ref="AN139" si="351">AB139*$AE139/2000</f>
        <v>202.03222033610865</v>
      </c>
      <c r="AO139" s="59">
        <f t="shared" ref="AO139" si="352">AC139*$AE139/2000</f>
        <v>1.1544727166666255E-2</v>
      </c>
      <c r="AP139" s="59">
        <f t="shared" ref="AP139" si="353">AD139*$AE139/2000</f>
        <v>5.1752573561297576E-3</v>
      </c>
    </row>
    <row r="140" spans="1:42" x14ac:dyDescent="0.25">
      <c r="A140" s="88" t="s">
        <v>38</v>
      </c>
      <c r="B140" s="87"/>
      <c r="C140" s="166"/>
      <c r="D140" s="166"/>
      <c r="E140" s="87"/>
      <c r="F140" s="87"/>
      <c r="G140" s="149"/>
      <c r="H140" s="50"/>
      <c r="I140" s="50"/>
      <c r="J140" s="50"/>
      <c r="K140" s="148"/>
      <c r="L140" s="148"/>
      <c r="M140" s="148"/>
      <c r="N140" s="148"/>
      <c r="O140" s="148"/>
      <c r="P140" s="148"/>
      <c r="Q140" s="50"/>
      <c r="R140" s="148"/>
      <c r="S140" s="148"/>
      <c r="T140" s="94">
        <f>T139</f>
        <v>2.0238559714269715</v>
      </c>
      <c r="U140" s="94">
        <f t="shared" ref="U140:AD140" si="354">U139</f>
        <v>10.864067120886034</v>
      </c>
      <c r="V140" s="94">
        <f t="shared" si="354"/>
        <v>0.48550298534550068</v>
      </c>
      <c r="W140" s="94">
        <f t="shared" si="354"/>
        <v>1.88925117396768E-2</v>
      </c>
      <c r="X140" s="94">
        <f t="shared" si="354"/>
        <v>0.31272971580936881</v>
      </c>
      <c r="Y140" s="94">
        <f t="shared" si="354"/>
        <v>0.1916589301934653</v>
      </c>
      <c r="Z140" s="94">
        <f t="shared" si="354"/>
        <v>7.8498442661133941E-2</v>
      </c>
      <c r="AA140" s="94">
        <f t="shared" si="354"/>
        <v>1.6484672958838126E-2</v>
      </c>
      <c r="AB140" s="94">
        <f t="shared" si="354"/>
        <v>3061.0942475167976</v>
      </c>
      <c r="AC140" s="94">
        <f t="shared" si="354"/>
        <v>0.17492010858585233</v>
      </c>
      <c r="AD140" s="94">
        <f t="shared" si="354"/>
        <v>7.8412990244390274E-2</v>
      </c>
      <c r="AE140" s="69"/>
      <c r="AF140" s="94">
        <f>AF139</f>
        <v>0.13357449411418013</v>
      </c>
      <c r="AG140" s="94">
        <f t="shared" ref="AG140:AP140" si="355">AG139</f>
        <v>0.71702842997847827</v>
      </c>
      <c r="AH140" s="94">
        <f t="shared" si="355"/>
        <v>3.204319703280304E-2</v>
      </c>
      <c r="AI140" s="94">
        <f t="shared" si="355"/>
        <v>1.2469057748186686E-3</v>
      </c>
      <c r="AJ140" s="94">
        <f t="shared" si="355"/>
        <v>2.0640161243418342E-2</v>
      </c>
      <c r="AK140" s="94">
        <f t="shared" si="355"/>
        <v>1.2649489392768712E-2</v>
      </c>
      <c r="AL140" s="94">
        <f t="shared" si="355"/>
        <v>5.1808972156348401E-3</v>
      </c>
      <c r="AM140" s="94">
        <f t="shared" si="355"/>
        <v>1.0879884152833164E-3</v>
      </c>
      <c r="AN140" s="94">
        <f t="shared" si="355"/>
        <v>202.03222033610865</v>
      </c>
      <c r="AO140" s="94">
        <f t="shared" si="355"/>
        <v>1.1544727166666255E-2</v>
      </c>
      <c r="AP140" s="94">
        <f t="shared" si="355"/>
        <v>5.1752573561297576E-3</v>
      </c>
    </row>
    <row r="141" spans="1:42" x14ac:dyDescent="0.25">
      <c r="A141" s="88"/>
      <c r="B141" s="89"/>
      <c r="C141" s="90"/>
      <c r="D141" s="90"/>
      <c r="E141" s="90"/>
      <c r="F141" s="90"/>
      <c r="G141" s="147"/>
      <c r="H141" s="57"/>
      <c r="I141" s="147"/>
      <c r="J141" s="139"/>
      <c r="K141" s="48"/>
      <c r="L141" s="48"/>
      <c r="M141" s="48"/>
      <c r="N141" s="48"/>
      <c r="O141" s="48"/>
      <c r="P141" s="48"/>
      <c r="Q141" s="139"/>
      <c r="R141" s="64"/>
      <c r="S141" s="64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69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</row>
    <row r="142" spans="1:42" ht="26.4" x14ac:dyDescent="0.25">
      <c r="A142" s="88" t="s">
        <v>174</v>
      </c>
      <c r="B142" s="89"/>
      <c r="C142" s="90"/>
      <c r="D142" s="90"/>
      <c r="E142" s="90"/>
      <c r="F142" s="90"/>
      <c r="G142" s="124"/>
      <c r="H142" s="56"/>
      <c r="I142" s="124"/>
      <c r="J142" s="64"/>
      <c r="K142" s="48"/>
      <c r="L142" s="48"/>
      <c r="M142" s="48"/>
      <c r="N142" s="48"/>
      <c r="O142" s="48"/>
      <c r="P142" s="48"/>
      <c r="Q142" s="64"/>
      <c r="R142" s="64"/>
      <c r="S142" s="64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69"/>
      <c r="AF142" s="95"/>
      <c r="AG142" s="95"/>
      <c r="AH142" s="95"/>
      <c r="AI142" s="95"/>
      <c r="AJ142" s="95"/>
      <c r="AK142" s="95"/>
      <c r="AL142" s="95"/>
      <c r="AM142" s="95"/>
      <c r="AN142" s="76"/>
      <c r="AO142" s="95"/>
      <c r="AP142" s="95"/>
    </row>
    <row r="143" spans="1:42" x14ac:dyDescent="0.25">
      <c r="A143" s="91" t="s">
        <v>157</v>
      </c>
      <c r="B143" s="89" t="s">
        <v>128</v>
      </c>
      <c r="C143" s="90">
        <v>20</v>
      </c>
      <c r="D143" s="90">
        <v>2016</v>
      </c>
      <c r="E143" s="90">
        <v>35</v>
      </c>
      <c r="F143" s="90">
        <v>80</v>
      </c>
      <c r="G143" s="145">
        <v>1.0826397662712</v>
      </c>
      <c r="H143" s="145">
        <v>4.9663485177263196</v>
      </c>
      <c r="I143" s="145">
        <v>0.26248012574830598</v>
      </c>
      <c r="J143" s="145">
        <v>1.0711818E-2</v>
      </c>
      <c r="K143" s="145">
        <v>7.1679901069995999E-2</v>
      </c>
      <c r="L143" s="567">
        <v>3.5999811999999999E-2</v>
      </c>
      <c r="M143" s="567">
        <v>6.1739677E-2</v>
      </c>
      <c r="N143" s="145">
        <v>6.59455089843963E-2</v>
      </c>
      <c r="O143" s="567">
        <v>8.9999529999999998E-3</v>
      </c>
      <c r="P143" s="567">
        <v>2.6459862000000001E-2</v>
      </c>
      <c r="Q143" s="145">
        <v>1710.7260798812899</v>
      </c>
      <c r="R143" s="56">
        <f t="shared" ref="R143" si="356">0.000057143*Q143</f>
        <v>9.7756020382656544E-2</v>
      </c>
      <c r="S143" s="93">
        <f t="shared" ref="S143" si="357">0.000025616*Q143</f>
        <v>4.382195926223912E-2</v>
      </c>
      <c r="T143" s="59">
        <f>C143*($F143*$G143)/453.59</f>
        <v>3.818919345739368</v>
      </c>
      <c r="U143" s="59">
        <f>C143*($F143*$H143)/453.59</f>
        <v>17.518370396971079</v>
      </c>
      <c r="V143" s="59">
        <f>C143*(($F143*$I143))/453.59</f>
        <v>0.92587623447891187</v>
      </c>
      <c r="W143" s="59">
        <f>C143*($F143*$J143)/453.59</f>
        <v>3.7785023479353599E-2</v>
      </c>
      <c r="X143" s="59">
        <f>C143*(($F143*($K143+$L143+$M143)))/453.59</f>
        <v>0.5976124343834599</v>
      </c>
      <c r="Y143" s="59">
        <f>C143*(($F143*($N143+$O143+$P143)))/453.59</f>
        <v>0.35769862293047483</v>
      </c>
      <c r="Z143" s="59">
        <f>C143*(F143)*$B$220</f>
        <v>0.15699688532226788</v>
      </c>
      <c r="AA143" s="59">
        <f>Z143*0.21</f>
        <v>3.2969345917676252E-2</v>
      </c>
      <c r="AB143" s="59">
        <f>C143*(($F143*($Q143)))/453.59</f>
        <v>6034.4401944709189</v>
      </c>
      <c r="AC143" s="59">
        <f>C143*(($F143*($R143)))/453.59</f>
        <v>0.34482601603265162</v>
      </c>
      <c r="AD143" s="59">
        <f>C143*(($F143*($S143)))/453.59</f>
        <v>0.15457822002156704</v>
      </c>
      <c r="AE143" s="63">
        <v>66</v>
      </c>
      <c r="AF143" s="59">
        <f t="shared" ref="AF143" si="358">T143*$AE143/2000</f>
        <v>0.12602433840939914</v>
      </c>
      <c r="AG143" s="59">
        <f t="shared" ref="AG143" si="359">U143*$AE143/2000</f>
        <v>0.57810622310004556</v>
      </c>
      <c r="AH143" s="59">
        <f t="shared" ref="AH143" si="360">V143*$AE143/2000</f>
        <v>3.0553915737804093E-2</v>
      </c>
      <c r="AI143" s="59">
        <f t="shared" ref="AI143" si="361">W143*$AE143/2000</f>
        <v>1.2469057748186686E-3</v>
      </c>
      <c r="AJ143" s="59">
        <f t="shared" ref="AJ143" si="362">X143*$AE143/2000</f>
        <v>1.9721210334654179E-2</v>
      </c>
      <c r="AK143" s="59">
        <f t="shared" ref="AK143" si="363">Y143*$AE143/2000</f>
        <v>1.1804054556705669E-2</v>
      </c>
      <c r="AL143" s="59">
        <f t="shared" ref="AL143" si="364">Z143*$AE143/2000</f>
        <v>5.1808972156348401E-3</v>
      </c>
      <c r="AM143" s="59">
        <f t="shared" ref="AM143" si="365">AA143*$AE143/2000</f>
        <v>1.0879884152833164E-3</v>
      </c>
      <c r="AN143" s="59">
        <f t="shared" ref="AN143" si="366">AB143*$AE143/2000</f>
        <v>199.13652641754032</v>
      </c>
      <c r="AO143" s="59">
        <f t="shared" ref="AO143" si="367">AC143*$AE143/2000</f>
        <v>1.1379258529077504E-2</v>
      </c>
      <c r="AP143" s="59">
        <f t="shared" ref="AP143" si="368">AD143*$AE143/2000</f>
        <v>5.1010812607117121E-3</v>
      </c>
    </row>
    <row r="144" spans="1:42" x14ac:dyDescent="0.25">
      <c r="A144" s="88" t="s">
        <v>38</v>
      </c>
      <c r="B144" s="89"/>
      <c r="C144" s="90"/>
      <c r="D144" s="90"/>
      <c r="E144" s="90"/>
      <c r="F144" s="90"/>
      <c r="G144" s="124"/>
      <c r="H144" s="57"/>
      <c r="I144" s="124"/>
      <c r="J144" s="139"/>
      <c r="K144" s="48"/>
      <c r="L144" s="48"/>
      <c r="M144" s="48"/>
      <c r="N144" s="48"/>
      <c r="O144" s="48"/>
      <c r="P144" s="48"/>
      <c r="Q144" s="139"/>
      <c r="R144" s="64"/>
      <c r="S144" s="64"/>
      <c r="T144" s="94">
        <f t="shared" ref="T144:AD144" si="369">SUM(T143:T143)</f>
        <v>3.818919345739368</v>
      </c>
      <c r="U144" s="94">
        <f t="shared" si="369"/>
        <v>17.518370396971079</v>
      </c>
      <c r="V144" s="94">
        <f t="shared" si="369"/>
        <v>0.92587623447891187</v>
      </c>
      <c r="W144" s="94">
        <f t="shared" si="369"/>
        <v>3.7785023479353599E-2</v>
      </c>
      <c r="X144" s="94">
        <f t="shared" si="369"/>
        <v>0.5976124343834599</v>
      </c>
      <c r="Y144" s="94">
        <f t="shared" si="369"/>
        <v>0.35769862293047483</v>
      </c>
      <c r="Z144" s="94">
        <f t="shared" si="369"/>
        <v>0.15699688532226788</v>
      </c>
      <c r="AA144" s="94">
        <f t="shared" si="369"/>
        <v>3.2969345917676252E-2</v>
      </c>
      <c r="AB144" s="94">
        <f t="shared" si="369"/>
        <v>6034.4401944709189</v>
      </c>
      <c r="AC144" s="94">
        <f t="shared" si="369"/>
        <v>0.34482601603265162</v>
      </c>
      <c r="AD144" s="94">
        <f t="shared" si="369"/>
        <v>0.15457822002156704</v>
      </c>
      <c r="AE144" s="69"/>
      <c r="AF144" s="95">
        <f t="shared" ref="AF144:AP144" si="370">SUM(AF143:AF143)</f>
        <v>0.12602433840939914</v>
      </c>
      <c r="AG144" s="95">
        <f t="shared" si="370"/>
        <v>0.57810622310004556</v>
      </c>
      <c r="AH144" s="95">
        <f t="shared" si="370"/>
        <v>3.0553915737804093E-2</v>
      </c>
      <c r="AI144" s="95">
        <f t="shared" si="370"/>
        <v>1.2469057748186686E-3</v>
      </c>
      <c r="AJ144" s="95">
        <f t="shared" si="370"/>
        <v>1.9721210334654179E-2</v>
      </c>
      <c r="AK144" s="95">
        <f t="shared" si="370"/>
        <v>1.1804054556705669E-2</v>
      </c>
      <c r="AL144" s="95">
        <f t="shared" si="370"/>
        <v>5.1808972156348401E-3</v>
      </c>
      <c r="AM144" s="95">
        <f t="shared" si="370"/>
        <v>1.0879884152833164E-3</v>
      </c>
      <c r="AN144" s="95">
        <f t="shared" si="370"/>
        <v>199.13652641754032</v>
      </c>
      <c r="AO144" s="95">
        <f t="shared" si="370"/>
        <v>1.1379258529077504E-2</v>
      </c>
      <c r="AP144" s="95">
        <f t="shared" si="370"/>
        <v>5.1010812607117121E-3</v>
      </c>
    </row>
    <row r="145" spans="1:42" x14ac:dyDescent="0.25">
      <c r="A145" s="88"/>
      <c r="B145" s="89"/>
      <c r="C145" s="90"/>
      <c r="D145" s="90"/>
      <c r="E145" s="90"/>
      <c r="F145" s="90"/>
      <c r="G145" s="124"/>
      <c r="H145" s="57"/>
      <c r="I145" s="124"/>
      <c r="J145" s="139"/>
      <c r="K145" s="48"/>
      <c r="L145" s="48"/>
      <c r="M145" s="48"/>
      <c r="N145" s="48"/>
      <c r="O145" s="48"/>
      <c r="P145" s="48"/>
      <c r="Q145" s="139"/>
      <c r="R145" s="64"/>
      <c r="S145" s="64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69"/>
      <c r="AF145" s="59"/>
      <c r="AG145" s="59"/>
      <c r="AH145" s="59"/>
      <c r="AI145" s="59"/>
      <c r="AJ145" s="59"/>
      <c r="AK145" s="59"/>
      <c r="AL145" s="61"/>
      <c r="AM145" s="61"/>
      <c r="AN145" s="63"/>
      <c r="AO145" s="61"/>
      <c r="AP145" s="61"/>
    </row>
    <row r="146" spans="1:42" ht="26.4" x14ac:dyDescent="0.25">
      <c r="A146" s="88" t="s">
        <v>173</v>
      </c>
      <c r="B146" s="89"/>
      <c r="C146" s="90"/>
      <c r="D146" s="90"/>
      <c r="E146" s="90"/>
      <c r="F146" s="90"/>
      <c r="G146" s="124"/>
      <c r="H146" s="57"/>
      <c r="I146" s="124"/>
      <c r="J146" s="139"/>
      <c r="K146" s="48"/>
      <c r="L146" s="48"/>
      <c r="M146" s="48"/>
      <c r="N146" s="48"/>
      <c r="O146" s="48"/>
      <c r="P146" s="48"/>
      <c r="Q146" s="139"/>
      <c r="R146" s="64"/>
      <c r="S146" s="64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69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</row>
    <row r="147" spans="1:42" x14ac:dyDescent="0.25">
      <c r="A147" s="91" t="s">
        <v>114</v>
      </c>
      <c r="B147" s="89" t="s">
        <v>107</v>
      </c>
      <c r="C147" s="92">
        <v>6</v>
      </c>
      <c r="D147" s="90">
        <v>2016</v>
      </c>
      <c r="E147" s="90">
        <v>15</v>
      </c>
      <c r="F147" s="90">
        <v>60</v>
      </c>
      <c r="G147" s="145">
        <v>0.70902920600557995</v>
      </c>
      <c r="H147" s="145">
        <v>0.69767352274313099</v>
      </c>
      <c r="I147" s="145">
        <v>0.138100398559698</v>
      </c>
      <c r="J147" s="145">
        <v>3.18613688227605E-3</v>
      </c>
      <c r="K147" s="145">
        <v>0.11526917970440601</v>
      </c>
      <c r="L147" s="56">
        <v>7.99995847163921E-3</v>
      </c>
      <c r="M147" s="56">
        <v>3.6749815577381599E-2</v>
      </c>
      <c r="N147" s="145">
        <v>0.106047654633784</v>
      </c>
      <c r="O147" s="56">
        <v>1.9999896145790402E-3</v>
      </c>
      <c r="P147" s="56">
        <v>1.57499200131354E-2</v>
      </c>
      <c r="Q147" s="145">
        <v>305.602291171589</v>
      </c>
      <c r="R147" s="56">
        <f>0.000057143*Q147</f>
        <v>1.7463031724418109E-2</v>
      </c>
      <c r="S147" s="93">
        <f>0.000025616*Q147</f>
        <v>7.8283082906514239E-3</v>
      </c>
      <c r="T147" s="59">
        <f>C147*($F147*$G147)/453.59</f>
        <v>0.56273399802025792</v>
      </c>
      <c r="U147" s="59">
        <f>C147*($F147*$H147)/453.59</f>
        <v>0.55372135229508401</v>
      </c>
      <c r="V147" s="59">
        <f>C147*(($F147*$I147))/453.59</f>
        <v>0.10960590727637577</v>
      </c>
      <c r="W147" s="59">
        <f>C147*($F147*$J147)/453.59</f>
        <v>2.5287358134424877E-3</v>
      </c>
      <c r="X147" s="59">
        <f>C147*(($F147*($K147+$L147+$M147)))/453.59</f>
        <v>0.1270019695126296</v>
      </c>
      <c r="Y147" s="59">
        <f>C147*(($F147*($N147+$O147+$P147)))/453.59</f>
        <v>9.8254201226083998E-2</v>
      </c>
      <c r="Z147" s="59">
        <f>C147*(F147)*$B$220</f>
        <v>3.5324299197510275E-2</v>
      </c>
      <c r="AA147" s="59">
        <f>Z147*0.21</f>
        <v>7.4181028314771573E-3</v>
      </c>
      <c r="AB147" s="59">
        <f>C147*(($F147*($Q147)))/453.59</f>
        <v>242.54684808256806</v>
      </c>
      <c r="AC147" s="59">
        <f>C147*(($F147*($R147)))/453.59</f>
        <v>1.3859854539982187E-2</v>
      </c>
      <c r="AD147" s="59">
        <f>C147*(($F147*($S147)))/453.59</f>
        <v>6.2130800604830632E-3</v>
      </c>
      <c r="AE147" s="63">
        <f>13*22</f>
        <v>286</v>
      </c>
      <c r="AF147" s="59">
        <f t="shared" ref="AF147:AM147" si="371">T147*$AE147/2000</f>
        <v>8.0470961716896883E-2</v>
      </c>
      <c r="AG147" s="59">
        <f t="shared" si="371"/>
        <v>7.918215337819702E-2</v>
      </c>
      <c r="AH147" s="59">
        <f t="shared" si="371"/>
        <v>1.5673644740521735E-2</v>
      </c>
      <c r="AI147" s="59">
        <f t="shared" si="371"/>
        <v>3.6160922132227576E-4</v>
      </c>
      <c r="AJ147" s="59">
        <f t="shared" si="371"/>
        <v>1.8161281640306032E-2</v>
      </c>
      <c r="AK147" s="59">
        <f t="shared" si="371"/>
        <v>1.4050350775330012E-2</v>
      </c>
      <c r="AL147" s="59">
        <f t="shared" si="371"/>
        <v>5.0513747852439696E-3</v>
      </c>
      <c r="AM147" s="59">
        <f t="shared" si="371"/>
        <v>1.0607887049012335E-3</v>
      </c>
      <c r="AN147" s="59">
        <f t="shared" ref="AN147" si="372">AB147*$AE147/2000</f>
        <v>34.684199275807231</v>
      </c>
      <c r="AO147" s="59">
        <f t="shared" ref="AO147" si="373">AC147*$AE147/2000</f>
        <v>1.9819591992174526E-3</v>
      </c>
      <c r="AP147" s="59">
        <f t="shared" ref="AP147" si="374">AD147*$AE147/2000</f>
        <v>8.8847044864907799E-4</v>
      </c>
    </row>
    <row r="148" spans="1:42" x14ac:dyDescent="0.25">
      <c r="A148" s="88" t="s">
        <v>38</v>
      </c>
      <c r="B148" s="89"/>
      <c r="C148" s="90"/>
      <c r="D148" s="90"/>
      <c r="E148" s="90"/>
      <c r="F148" s="90"/>
      <c r="G148" s="47"/>
      <c r="H148" s="56"/>
      <c r="I148" s="47"/>
      <c r="J148" s="64"/>
      <c r="K148" s="48"/>
      <c r="L148" s="48"/>
      <c r="M148" s="48"/>
      <c r="N148" s="48"/>
      <c r="O148" s="48"/>
      <c r="P148" s="48"/>
      <c r="Q148" s="64"/>
      <c r="R148" s="64"/>
      <c r="S148" s="64"/>
      <c r="T148" s="94">
        <f>T147</f>
        <v>0.56273399802025792</v>
      </c>
      <c r="U148" s="94">
        <f t="shared" ref="U148" si="375">U147</f>
        <v>0.55372135229508401</v>
      </c>
      <c r="V148" s="94">
        <f t="shared" ref="V148" si="376">V147</f>
        <v>0.10960590727637577</v>
      </c>
      <c r="W148" s="94">
        <f t="shared" ref="W148" si="377">W147</f>
        <v>2.5287358134424877E-3</v>
      </c>
      <c r="X148" s="94">
        <f t="shared" ref="X148" si="378">X147</f>
        <v>0.1270019695126296</v>
      </c>
      <c r="Y148" s="94">
        <f t="shared" ref="Y148" si="379">Y147</f>
        <v>9.8254201226083998E-2</v>
      </c>
      <c r="Z148" s="94">
        <f t="shared" ref="Z148" si="380">Z147</f>
        <v>3.5324299197510275E-2</v>
      </c>
      <c r="AA148" s="94">
        <f t="shared" ref="AA148" si="381">AA147</f>
        <v>7.4181028314771573E-3</v>
      </c>
      <c r="AB148" s="94">
        <f t="shared" ref="AB148" si="382">AB147</f>
        <v>242.54684808256806</v>
      </c>
      <c r="AC148" s="94">
        <f t="shared" ref="AC148" si="383">AC147</f>
        <v>1.3859854539982187E-2</v>
      </c>
      <c r="AD148" s="94">
        <f t="shared" ref="AD148" si="384">AD147</f>
        <v>6.2130800604830632E-3</v>
      </c>
      <c r="AE148" s="69"/>
      <c r="AF148" s="94">
        <f>AF147</f>
        <v>8.0470961716896883E-2</v>
      </c>
      <c r="AG148" s="94">
        <f t="shared" ref="AG148" si="385">AG147</f>
        <v>7.918215337819702E-2</v>
      </c>
      <c r="AH148" s="94">
        <f t="shared" ref="AH148" si="386">AH147</f>
        <v>1.5673644740521735E-2</v>
      </c>
      <c r="AI148" s="94">
        <f t="shared" ref="AI148" si="387">AI147</f>
        <v>3.6160922132227576E-4</v>
      </c>
      <c r="AJ148" s="94">
        <f t="shared" ref="AJ148" si="388">AJ147</f>
        <v>1.8161281640306032E-2</v>
      </c>
      <c r="AK148" s="94">
        <f t="shared" ref="AK148" si="389">AK147</f>
        <v>1.4050350775330012E-2</v>
      </c>
      <c r="AL148" s="94">
        <f t="shared" ref="AL148" si="390">AL147</f>
        <v>5.0513747852439696E-3</v>
      </c>
      <c r="AM148" s="94">
        <f t="shared" ref="AM148" si="391">AM147</f>
        <v>1.0607887049012335E-3</v>
      </c>
      <c r="AN148" s="94">
        <f t="shared" ref="AN148" si="392">AN147</f>
        <v>34.684199275807231</v>
      </c>
      <c r="AO148" s="94">
        <f t="shared" ref="AO148" si="393">AO147</f>
        <v>1.9819591992174526E-3</v>
      </c>
      <c r="AP148" s="94">
        <f t="shared" ref="AP148" si="394">AP147</f>
        <v>8.8847044864907799E-4</v>
      </c>
    </row>
    <row r="149" spans="1:42" x14ac:dyDescent="0.25">
      <c r="A149" s="88"/>
      <c r="B149" s="89"/>
      <c r="C149" s="90"/>
      <c r="D149" s="90"/>
      <c r="E149" s="90"/>
      <c r="F149" s="90"/>
      <c r="G149" s="47"/>
      <c r="H149" s="56"/>
      <c r="I149" s="47"/>
      <c r="J149" s="64"/>
      <c r="K149" s="48"/>
      <c r="L149" s="48"/>
      <c r="M149" s="48"/>
      <c r="N149" s="48"/>
      <c r="O149" s="48"/>
      <c r="P149" s="48"/>
      <c r="Q149" s="64"/>
      <c r="R149" s="64"/>
      <c r="S149" s="6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69"/>
      <c r="AF149" s="59"/>
      <c r="AG149" s="59"/>
      <c r="AH149" s="59"/>
      <c r="AI149" s="59"/>
      <c r="AJ149" s="59"/>
      <c r="AK149" s="59"/>
      <c r="AL149" s="61"/>
      <c r="AM149" s="61"/>
      <c r="AN149" s="63"/>
      <c r="AO149" s="61"/>
      <c r="AP149" s="61"/>
    </row>
    <row r="150" spans="1:42" ht="26.4" x14ac:dyDescent="0.25">
      <c r="A150" s="88" t="s">
        <v>226</v>
      </c>
      <c r="B150" s="89"/>
      <c r="C150" s="90"/>
      <c r="D150" s="90"/>
      <c r="E150" s="90"/>
      <c r="F150" s="90"/>
      <c r="G150" s="147"/>
      <c r="H150" s="56"/>
      <c r="I150" s="147"/>
      <c r="J150" s="64"/>
      <c r="K150" s="48"/>
      <c r="L150" s="48"/>
      <c r="M150" s="48"/>
      <c r="N150" s="48"/>
      <c r="O150" s="48"/>
      <c r="P150" s="48"/>
      <c r="Q150" s="64"/>
      <c r="R150" s="64"/>
      <c r="S150" s="6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69"/>
      <c r="AF150" s="59"/>
      <c r="AG150" s="59"/>
      <c r="AH150" s="59"/>
      <c r="AI150" s="59"/>
      <c r="AJ150" s="59"/>
      <c r="AK150" s="59"/>
      <c r="AL150" s="61"/>
      <c r="AM150" s="61"/>
      <c r="AN150" s="63"/>
      <c r="AO150" s="61"/>
      <c r="AP150" s="61"/>
    </row>
    <row r="151" spans="1:42" x14ac:dyDescent="0.25">
      <c r="A151" s="91" t="s">
        <v>213</v>
      </c>
      <c r="B151" s="89" t="s">
        <v>107</v>
      </c>
      <c r="C151" s="92">
        <v>4</v>
      </c>
      <c r="D151" s="90">
        <v>2017</v>
      </c>
      <c r="E151" s="90">
        <v>15</v>
      </c>
      <c r="F151" s="90">
        <v>60</v>
      </c>
      <c r="G151" s="145">
        <v>0.63993288844985996</v>
      </c>
      <c r="H151" s="145">
        <v>0.65182464654293903</v>
      </c>
      <c r="I151" s="145">
        <v>0.124829278285952</v>
      </c>
      <c r="J151" s="145">
        <v>3.18613688227605E-3</v>
      </c>
      <c r="K151" s="145">
        <v>0.10291450019173901</v>
      </c>
      <c r="L151" s="56">
        <v>7.99995847163921E-3</v>
      </c>
      <c r="M151" s="56">
        <v>3.6749815577381599E-2</v>
      </c>
      <c r="N151" s="145">
        <v>9.4681348812781493E-2</v>
      </c>
      <c r="O151" s="56">
        <v>1.9999896145790402E-3</v>
      </c>
      <c r="P151" s="56">
        <v>1.57499200131354E-2</v>
      </c>
      <c r="Q151" s="145">
        <v>294.90083630548003</v>
      </c>
      <c r="R151" s="56">
        <f>0.000057143*Q151</f>
        <v>1.6851518489004045E-2</v>
      </c>
      <c r="S151" s="93">
        <f>0.000025616*Q151</f>
        <v>7.5541798228011764E-3</v>
      </c>
      <c r="T151" s="59">
        <f>C151*($F151*$G151)/453.59</f>
        <v>0.33859629451259154</v>
      </c>
      <c r="U151" s="59">
        <f>C151*($F151*$H151)/453.59</f>
        <v>0.34488836872573331</v>
      </c>
      <c r="V151" s="59">
        <f>C151*(($F151*$I151))/453.59</f>
        <v>6.6048693288274618E-2</v>
      </c>
      <c r="W151" s="59">
        <f>C151*($F151*$J151)/453.59</f>
        <v>1.6858238756283252E-3</v>
      </c>
      <c r="X151" s="59">
        <f>C151*(($F151*($K151+$L151+$M151)))/453.59</f>
        <v>7.8130968094054898E-2</v>
      </c>
      <c r="Y151" s="59">
        <f>C151*(($F151*($N151+$O151+$P151)))/453.59</f>
        <v>5.94887498086797E-2</v>
      </c>
      <c r="Z151" s="59">
        <f>C151*(F151)*$B$220</f>
        <v>2.3549532798340184E-2</v>
      </c>
      <c r="AA151" s="59">
        <f>Z151*0.21</f>
        <v>4.9454018876514388E-3</v>
      </c>
      <c r="AB151" s="59">
        <f>C151*(($F151*($Q151)))/453.59</f>
        <v>156.03562846031704</v>
      </c>
      <c r="AC151" s="59">
        <f>C151*(($F151*($R151)))/453.59</f>
        <v>8.9163439171078968E-3</v>
      </c>
      <c r="AD151" s="59">
        <f>C151*(($F151*($S151)))/453.59</f>
        <v>3.9970086586394813E-3</v>
      </c>
      <c r="AE151" s="63">
        <f>6*22</f>
        <v>132</v>
      </c>
      <c r="AF151" s="59">
        <f t="shared" ref="AF151:AM151" si="395">T151*$AE151/2000</f>
        <v>2.2347355437831042E-2</v>
      </c>
      <c r="AG151" s="59">
        <f t="shared" si="395"/>
        <v>2.2762632335898397E-2</v>
      </c>
      <c r="AH151" s="59">
        <f t="shared" si="395"/>
        <v>4.3592137570261247E-3</v>
      </c>
      <c r="AI151" s="59">
        <f t="shared" si="395"/>
        <v>1.1126437579146946E-4</v>
      </c>
      <c r="AJ151" s="59">
        <f t="shared" si="395"/>
        <v>5.1566438942076236E-3</v>
      </c>
      <c r="AK151" s="59">
        <f t="shared" si="395"/>
        <v>3.9262574873728607E-3</v>
      </c>
      <c r="AL151" s="59">
        <f t="shared" si="395"/>
        <v>1.5542691646904521E-3</v>
      </c>
      <c r="AM151" s="59">
        <f t="shared" si="395"/>
        <v>3.2639652458499497E-4</v>
      </c>
      <c r="AN151" s="59">
        <f t="shared" ref="AN151" si="396">AB151*$AE151/2000</f>
        <v>10.298351478380924</v>
      </c>
      <c r="AO151" s="59">
        <f t="shared" ref="AO151" si="397">AC151*$AE151/2000</f>
        <v>5.8847869852912118E-4</v>
      </c>
      <c r="AP151" s="59">
        <f t="shared" ref="AP151" si="398">AD151*$AE151/2000</f>
        <v>2.6380257147020573E-4</v>
      </c>
    </row>
    <row r="152" spans="1:42" x14ac:dyDescent="0.25">
      <c r="A152" s="88" t="s">
        <v>38</v>
      </c>
      <c r="B152" s="89"/>
      <c r="C152" s="90"/>
      <c r="D152" s="90"/>
      <c r="E152" s="90"/>
      <c r="F152" s="90"/>
      <c r="G152" s="147"/>
      <c r="H152" s="56"/>
      <c r="I152" s="147"/>
      <c r="J152" s="64"/>
      <c r="K152" s="48"/>
      <c r="L152" s="48"/>
      <c r="M152" s="48"/>
      <c r="N152" s="48"/>
      <c r="O152" s="48"/>
      <c r="P152" s="48"/>
      <c r="Q152" s="64"/>
      <c r="R152" s="64"/>
      <c r="S152" s="64"/>
      <c r="T152" s="94">
        <f>T151</f>
        <v>0.33859629451259154</v>
      </c>
      <c r="U152" s="94">
        <f t="shared" ref="U152:AD152" si="399">U151</f>
        <v>0.34488836872573331</v>
      </c>
      <c r="V152" s="94">
        <f t="shared" si="399"/>
        <v>6.6048693288274618E-2</v>
      </c>
      <c r="W152" s="94">
        <f t="shared" si="399"/>
        <v>1.6858238756283252E-3</v>
      </c>
      <c r="X152" s="94">
        <f t="shared" si="399"/>
        <v>7.8130968094054898E-2</v>
      </c>
      <c r="Y152" s="94">
        <f t="shared" si="399"/>
        <v>5.94887498086797E-2</v>
      </c>
      <c r="Z152" s="94">
        <f t="shared" si="399"/>
        <v>2.3549532798340184E-2</v>
      </c>
      <c r="AA152" s="94">
        <f t="shared" si="399"/>
        <v>4.9454018876514388E-3</v>
      </c>
      <c r="AB152" s="94">
        <f t="shared" si="399"/>
        <v>156.03562846031704</v>
      </c>
      <c r="AC152" s="94">
        <f t="shared" si="399"/>
        <v>8.9163439171078968E-3</v>
      </c>
      <c r="AD152" s="94">
        <f t="shared" si="399"/>
        <v>3.9970086586394813E-3</v>
      </c>
      <c r="AE152" s="69"/>
      <c r="AF152" s="94">
        <f>AF151</f>
        <v>2.2347355437831042E-2</v>
      </c>
      <c r="AG152" s="94">
        <f t="shared" ref="AG152:AP152" si="400">AG151</f>
        <v>2.2762632335898397E-2</v>
      </c>
      <c r="AH152" s="94">
        <f t="shared" si="400"/>
        <v>4.3592137570261247E-3</v>
      </c>
      <c r="AI152" s="94">
        <f t="shared" si="400"/>
        <v>1.1126437579146946E-4</v>
      </c>
      <c r="AJ152" s="94">
        <f t="shared" si="400"/>
        <v>5.1566438942076236E-3</v>
      </c>
      <c r="AK152" s="94">
        <f t="shared" si="400"/>
        <v>3.9262574873728607E-3</v>
      </c>
      <c r="AL152" s="94">
        <f t="shared" si="400"/>
        <v>1.5542691646904521E-3</v>
      </c>
      <c r="AM152" s="94">
        <f t="shared" si="400"/>
        <v>3.2639652458499497E-4</v>
      </c>
      <c r="AN152" s="94">
        <f t="shared" si="400"/>
        <v>10.298351478380924</v>
      </c>
      <c r="AO152" s="94">
        <f t="shared" si="400"/>
        <v>5.8847869852912118E-4</v>
      </c>
      <c r="AP152" s="94">
        <f t="shared" si="400"/>
        <v>2.6380257147020573E-4</v>
      </c>
    </row>
    <row r="153" spans="1:42" x14ac:dyDescent="0.25">
      <c r="A153" s="88"/>
      <c r="B153" s="89"/>
      <c r="C153" s="90"/>
      <c r="D153" s="90"/>
      <c r="E153" s="90"/>
      <c r="F153" s="90"/>
      <c r="G153" s="147"/>
      <c r="H153" s="56"/>
      <c r="I153" s="147"/>
      <c r="J153" s="64"/>
      <c r="K153" s="48"/>
      <c r="L153" s="48"/>
      <c r="M153" s="48"/>
      <c r="N153" s="48"/>
      <c r="O153" s="48"/>
      <c r="P153" s="48"/>
      <c r="Q153" s="64"/>
      <c r="R153" s="64"/>
      <c r="S153" s="6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69"/>
      <c r="AF153" s="59"/>
      <c r="AG153" s="59"/>
      <c r="AH153" s="59"/>
      <c r="AI153" s="59"/>
      <c r="AJ153" s="59"/>
      <c r="AK153" s="59"/>
      <c r="AL153" s="61"/>
      <c r="AM153" s="61"/>
      <c r="AN153" s="63"/>
      <c r="AO153" s="61"/>
      <c r="AP153" s="61"/>
    </row>
    <row r="154" spans="1:42" ht="26.4" x14ac:dyDescent="0.25">
      <c r="A154" s="88" t="s">
        <v>227</v>
      </c>
      <c r="B154" s="89"/>
      <c r="C154" s="90"/>
      <c r="D154" s="90"/>
      <c r="E154" s="90"/>
      <c r="F154" s="90"/>
      <c r="G154" s="147"/>
      <c r="H154" s="56"/>
      <c r="I154" s="147"/>
      <c r="J154" s="64"/>
      <c r="K154" s="48"/>
      <c r="L154" s="48"/>
      <c r="M154" s="48"/>
      <c r="N154" s="48"/>
      <c r="O154" s="48"/>
      <c r="P154" s="48"/>
      <c r="Q154" s="64"/>
      <c r="R154" s="64"/>
      <c r="S154" s="6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69"/>
      <c r="AF154" s="59"/>
      <c r="AG154" s="59"/>
      <c r="AH154" s="59"/>
      <c r="AI154" s="59"/>
      <c r="AJ154" s="59"/>
      <c r="AK154" s="59"/>
      <c r="AL154" s="61"/>
      <c r="AM154" s="61"/>
      <c r="AN154" s="63"/>
      <c r="AO154" s="61"/>
      <c r="AP154" s="61"/>
    </row>
    <row r="155" spans="1:42" x14ac:dyDescent="0.25">
      <c r="A155" s="91" t="s">
        <v>213</v>
      </c>
      <c r="B155" s="89" t="s">
        <v>107</v>
      </c>
      <c r="C155" s="92">
        <v>4</v>
      </c>
      <c r="D155" s="90">
        <v>2017</v>
      </c>
      <c r="E155" s="90">
        <v>15</v>
      </c>
      <c r="F155" s="90">
        <v>60</v>
      </c>
      <c r="G155" s="145">
        <v>0.63993288844985996</v>
      </c>
      <c r="H155" s="145">
        <v>0.65182464654293903</v>
      </c>
      <c r="I155" s="145">
        <v>0.124829278285952</v>
      </c>
      <c r="J155" s="145">
        <v>3.18613688227605E-3</v>
      </c>
      <c r="K155" s="145">
        <v>0.10291450019173901</v>
      </c>
      <c r="L155" s="56">
        <v>7.99995847163921E-3</v>
      </c>
      <c r="M155" s="56">
        <v>3.6749815577381599E-2</v>
      </c>
      <c r="N155" s="145">
        <v>9.4681348812781493E-2</v>
      </c>
      <c r="O155" s="56">
        <v>1.9999896145790402E-3</v>
      </c>
      <c r="P155" s="56">
        <v>1.57499200131354E-2</v>
      </c>
      <c r="Q155" s="145">
        <v>294.90083630548003</v>
      </c>
      <c r="R155" s="56">
        <f>0.000057143*Q155</f>
        <v>1.6851518489004045E-2</v>
      </c>
      <c r="S155" s="93">
        <f>0.000025616*Q155</f>
        <v>7.5541798228011764E-3</v>
      </c>
      <c r="T155" s="59">
        <f>C155*($F155*$G155)/453.59</f>
        <v>0.33859629451259154</v>
      </c>
      <c r="U155" s="59">
        <f>C155*($F155*$H155)/453.59</f>
        <v>0.34488836872573331</v>
      </c>
      <c r="V155" s="59">
        <f>C155*(($F155*$I155))/453.59</f>
        <v>6.6048693288274618E-2</v>
      </c>
      <c r="W155" s="59">
        <f>C155*($F155*$J155)/453.59</f>
        <v>1.6858238756283252E-3</v>
      </c>
      <c r="X155" s="59">
        <f>C155*(($F155*($K155+$L155+$M155)))/453.59</f>
        <v>7.8130968094054898E-2</v>
      </c>
      <c r="Y155" s="59">
        <f>C155*(($F155*($N155+$O155+$P155)))/453.59</f>
        <v>5.94887498086797E-2</v>
      </c>
      <c r="Z155" s="59">
        <f>C155*(F155)*$B$220</f>
        <v>2.3549532798340184E-2</v>
      </c>
      <c r="AA155" s="59">
        <f>Z155*0.21</f>
        <v>4.9454018876514388E-3</v>
      </c>
      <c r="AB155" s="59">
        <f>C155*(($F155*($Q155)))/453.59</f>
        <v>156.03562846031704</v>
      </c>
      <c r="AC155" s="59">
        <f>C155*(($F155*($R155)))/453.59</f>
        <v>8.9163439171078968E-3</v>
      </c>
      <c r="AD155" s="59">
        <f>C155*(($F155*($S155)))/453.59</f>
        <v>3.9970086586394813E-3</v>
      </c>
      <c r="AE155" s="63">
        <v>22</v>
      </c>
      <c r="AF155" s="59">
        <f t="shared" ref="AF155:AM155" si="401">T155*$AE155/2000</f>
        <v>3.7245592396385071E-3</v>
      </c>
      <c r="AG155" s="59">
        <f t="shared" si="401"/>
        <v>3.7937720559830662E-3</v>
      </c>
      <c r="AH155" s="59">
        <f t="shared" si="401"/>
        <v>7.2653562617102079E-4</v>
      </c>
      <c r="AI155" s="59">
        <f t="shared" si="401"/>
        <v>1.854406263191158E-5</v>
      </c>
      <c r="AJ155" s="59">
        <f t="shared" si="401"/>
        <v>8.5944064903460378E-4</v>
      </c>
      <c r="AK155" s="59">
        <f t="shared" si="401"/>
        <v>6.5437624789547663E-4</v>
      </c>
      <c r="AL155" s="59">
        <f t="shared" si="401"/>
        <v>2.5904486078174205E-4</v>
      </c>
      <c r="AM155" s="59">
        <f t="shared" si="401"/>
        <v>5.4399420764165824E-5</v>
      </c>
      <c r="AN155" s="59">
        <f t="shared" ref="AN155" si="402">AB155*$AE155/2000</f>
        <v>1.7163919130634875</v>
      </c>
      <c r="AO155" s="59">
        <f t="shared" ref="AO155" si="403">AC155*$AE155/2000</f>
        <v>9.8079783088186859E-5</v>
      </c>
      <c r="AP155" s="59">
        <f t="shared" ref="AP155" si="404">AD155*$AE155/2000</f>
        <v>4.3967095245034293E-5</v>
      </c>
    </row>
    <row r="156" spans="1:42" x14ac:dyDescent="0.25">
      <c r="A156" s="88" t="s">
        <v>38</v>
      </c>
      <c r="B156" s="89"/>
      <c r="C156" s="90"/>
      <c r="D156" s="90"/>
      <c r="E156" s="90"/>
      <c r="F156" s="90"/>
      <c r="G156" s="147"/>
      <c r="H156" s="56"/>
      <c r="I156" s="147"/>
      <c r="J156" s="64"/>
      <c r="K156" s="48"/>
      <c r="L156" s="48"/>
      <c r="M156" s="48"/>
      <c r="N156" s="48"/>
      <c r="O156" s="48"/>
      <c r="P156" s="48"/>
      <c r="Q156" s="64"/>
      <c r="R156" s="64"/>
      <c r="S156" s="64"/>
      <c r="T156" s="94">
        <f>T155</f>
        <v>0.33859629451259154</v>
      </c>
      <c r="U156" s="94">
        <f t="shared" ref="U156:AD156" si="405">U155</f>
        <v>0.34488836872573331</v>
      </c>
      <c r="V156" s="94">
        <f t="shared" si="405"/>
        <v>6.6048693288274618E-2</v>
      </c>
      <c r="W156" s="94">
        <f t="shared" si="405"/>
        <v>1.6858238756283252E-3</v>
      </c>
      <c r="X156" s="94">
        <f t="shared" si="405"/>
        <v>7.8130968094054898E-2</v>
      </c>
      <c r="Y156" s="94">
        <f t="shared" si="405"/>
        <v>5.94887498086797E-2</v>
      </c>
      <c r="Z156" s="94">
        <f t="shared" si="405"/>
        <v>2.3549532798340184E-2</v>
      </c>
      <c r="AA156" s="94">
        <f t="shared" si="405"/>
        <v>4.9454018876514388E-3</v>
      </c>
      <c r="AB156" s="94">
        <f t="shared" si="405"/>
        <v>156.03562846031704</v>
      </c>
      <c r="AC156" s="94">
        <f t="shared" si="405"/>
        <v>8.9163439171078968E-3</v>
      </c>
      <c r="AD156" s="94">
        <f t="shared" si="405"/>
        <v>3.9970086586394813E-3</v>
      </c>
      <c r="AE156" s="69"/>
      <c r="AF156" s="94">
        <f>AF155</f>
        <v>3.7245592396385071E-3</v>
      </c>
      <c r="AG156" s="94">
        <f t="shared" ref="AG156:AP156" si="406">AG155</f>
        <v>3.7937720559830662E-3</v>
      </c>
      <c r="AH156" s="94">
        <f t="shared" si="406"/>
        <v>7.2653562617102079E-4</v>
      </c>
      <c r="AI156" s="94">
        <f t="shared" si="406"/>
        <v>1.854406263191158E-5</v>
      </c>
      <c r="AJ156" s="94">
        <f t="shared" si="406"/>
        <v>8.5944064903460378E-4</v>
      </c>
      <c r="AK156" s="94">
        <f t="shared" si="406"/>
        <v>6.5437624789547663E-4</v>
      </c>
      <c r="AL156" s="94">
        <f t="shared" si="406"/>
        <v>2.5904486078174205E-4</v>
      </c>
      <c r="AM156" s="94">
        <f t="shared" si="406"/>
        <v>5.4399420764165824E-5</v>
      </c>
      <c r="AN156" s="94">
        <f t="shared" si="406"/>
        <v>1.7163919130634875</v>
      </c>
      <c r="AO156" s="94">
        <f t="shared" si="406"/>
        <v>9.8079783088186859E-5</v>
      </c>
      <c r="AP156" s="94">
        <f t="shared" si="406"/>
        <v>4.3967095245034293E-5</v>
      </c>
    </row>
    <row r="157" spans="1:42" x14ac:dyDescent="0.25">
      <c r="A157" s="88"/>
      <c r="B157" s="89"/>
      <c r="C157" s="90"/>
      <c r="D157" s="90"/>
      <c r="E157" s="90"/>
      <c r="F157" s="90"/>
      <c r="G157" s="147"/>
      <c r="H157" s="56"/>
      <c r="I157" s="147"/>
      <c r="J157" s="64"/>
      <c r="K157" s="48"/>
      <c r="L157" s="48"/>
      <c r="M157" s="48"/>
      <c r="N157" s="48"/>
      <c r="O157" s="48"/>
      <c r="P157" s="48"/>
      <c r="Q157" s="64"/>
      <c r="R157" s="64"/>
      <c r="S157" s="6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69"/>
      <c r="AF157" s="59"/>
      <c r="AG157" s="59"/>
      <c r="AH157" s="59"/>
      <c r="AI157" s="59"/>
      <c r="AJ157" s="59"/>
      <c r="AK157" s="59"/>
      <c r="AL157" s="61"/>
      <c r="AM157" s="61"/>
      <c r="AN157" s="63"/>
      <c r="AO157" s="61"/>
      <c r="AP157" s="61"/>
    </row>
    <row r="158" spans="1:42" ht="26.4" x14ac:dyDescent="0.25">
      <c r="A158" s="88" t="s">
        <v>228</v>
      </c>
      <c r="B158" s="89"/>
      <c r="C158" s="90"/>
      <c r="D158" s="90"/>
      <c r="E158" s="90"/>
      <c r="F158" s="90"/>
      <c r="G158" s="147"/>
      <c r="H158" s="56"/>
      <c r="I158" s="147"/>
      <c r="J158" s="64"/>
      <c r="K158" s="48"/>
      <c r="L158" s="48"/>
      <c r="M158" s="48"/>
      <c r="N158" s="48"/>
      <c r="O158" s="48"/>
      <c r="P158" s="48"/>
      <c r="Q158" s="64"/>
      <c r="R158" s="64"/>
      <c r="S158" s="6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69"/>
      <c r="AF158" s="59"/>
      <c r="AG158" s="59"/>
      <c r="AH158" s="59"/>
      <c r="AI158" s="59"/>
      <c r="AJ158" s="59"/>
      <c r="AK158" s="59"/>
      <c r="AL158" s="61"/>
      <c r="AM158" s="61"/>
      <c r="AN158" s="63"/>
      <c r="AO158" s="61"/>
      <c r="AP158" s="61"/>
    </row>
    <row r="159" spans="1:42" x14ac:dyDescent="0.25">
      <c r="A159" s="91" t="s">
        <v>213</v>
      </c>
      <c r="B159" s="89" t="s">
        <v>107</v>
      </c>
      <c r="C159" s="92">
        <v>4</v>
      </c>
      <c r="D159" s="90">
        <v>2017</v>
      </c>
      <c r="E159" s="90">
        <v>15</v>
      </c>
      <c r="F159" s="90">
        <v>60</v>
      </c>
      <c r="G159" s="145">
        <v>0.63993288844985996</v>
      </c>
      <c r="H159" s="145">
        <v>0.65182464654293903</v>
      </c>
      <c r="I159" s="145">
        <v>0.124829278285952</v>
      </c>
      <c r="J159" s="145">
        <v>3.18613688227605E-3</v>
      </c>
      <c r="K159" s="145">
        <v>0.10291450019173901</v>
      </c>
      <c r="L159" s="56">
        <v>7.99995847163921E-3</v>
      </c>
      <c r="M159" s="56">
        <v>3.6749815577381599E-2</v>
      </c>
      <c r="N159" s="145">
        <v>9.4681348812781493E-2</v>
      </c>
      <c r="O159" s="56">
        <v>1.9999896145790402E-3</v>
      </c>
      <c r="P159" s="56">
        <v>1.57499200131354E-2</v>
      </c>
      <c r="Q159" s="145">
        <v>294.90083630548003</v>
      </c>
      <c r="R159" s="56">
        <f>0.000057143*Q159</f>
        <v>1.6851518489004045E-2</v>
      </c>
      <c r="S159" s="93">
        <f>0.000025616*Q159</f>
        <v>7.5541798228011764E-3</v>
      </c>
      <c r="T159" s="59">
        <f>C159*($F159*$G159)/453.59</f>
        <v>0.33859629451259154</v>
      </c>
      <c r="U159" s="59">
        <f>C159*($F159*$H159)/453.59</f>
        <v>0.34488836872573331</v>
      </c>
      <c r="V159" s="59">
        <f>C159*(($F159*$I159))/453.59</f>
        <v>6.6048693288274618E-2</v>
      </c>
      <c r="W159" s="59">
        <f>C159*($F159*$J159)/453.59</f>
        <v>1.6858238756283252E-3</v>
      </c>
      <c r="X159" s="59">
        <f>C159*(($F159*($K159+$L159+$M159)))/453.59</f>
        <v>7.8130968094054898E-2</v>
      </c>
      <c r="Y159" s="59">
        <f>C159*(($F159*($N159+$O159+$P159)))/453.59</f>
        <v>5.94887498086797E-2</v>
      </c>
      <c r="Z159" s="59">
        <f>C159*(F159)*$B$220</f>
        <v>2.3549532798340184E-2</v>
      </c>
      <c r="AA159" s="59">
        <f>Z159*0.21</f>
        <v>4.9454018876514388E-3</v>
      </c>
      <c r="AB159" s="59">
        <f>C159*(($F159*($Q159)))/453.59</f>
        <v>156.03562846031704</v>
      </c>
      <c r="AC159" s="59">
        <f>C159*(($F159*($R159)))/453.59</f>
        <v>8.9163439171078968E-3</v>
      </c>
      <c r="AD159" s="59">
        <f>C159*(($F159*($S159)))/453.59</f>
        <v>3.9970086586394813E-3</v>
      </c>
      <c r="AE159" s="63">
        <v>22</v>
      </c>
      <c r="AF159" s="59">
        <f t="shared" ref="AF159:AM159" si="407">T159*$AE159/2000</f>
        <v>3.7245592396385071E-3</v>
      </c>
      <c r="AG159" s="59">
        <f t="shared" si="407"/>
        <v>3.7937720559830662E-3</v>
      </c>
      <c r="AH159" s="59">
        <f t="shared" si="407"/>
        <v>7.2653562617102079E-4</v>
      </c>
      <c r="AI159" s="59">
        <f t="shared" si="407"/>
        <v>1.854406263191158E-5</v>
      </c>
      <c r="AJ159" s="59">
        <f t="shared" si="407"/>
        <v>8.5944064903460378E-4</v>
      </c>
      <c r="AK159" s="59">
        <f t="shared" si="407"/>
        <v>6.5437624789547663E-4</v>
      </c>
      <c r="AL159" s="59">
        <f t="shared" si="407"/>
        <v>2.5904486078174205E-4</v>
      </c>
      <c r="AM159" s="59">
        <f t="shared" si="407"/>
        <v>5.4399420764165824E-5</v>
      </c>
      <c r="AN159" s="59">
        <f t="shared" ref="AN159" si="408">AB159*$AE159/2000</f>
        <v>1.7163919130634875</v>
      </c>
      <c r="AO159" s="59">
        <f t="shared" ref="AO159" si="409">AC159*$AE159/2000</f>
        <v>9.8079783088186859E-5</v>
      </c>
      <c r="AP159" s="59">
        <f t="shared" ref="AP159" si="410">AD159*$AE159/2000</f>
        <v>4.3967095245034293E-5</v>
      </c>
    </row>
    <row r="160" spans="1:42" x14ac:dyDescent="0.25">
      <c r="A160" s="88" t="s">
        <v>38</v>
      </c>
      <c r="B160" s="89"/>
      <c r="C160" s="90"/>
      <c r="D160" s="90"/>
      <c r="E160" s="90"/>
      <c r="F160" s="90"/>
      <c r="G160" s="147"/>
      <c r="H160" s="56"/>
      <c r="I160" s="147"/>
      <c r="J160" s="64"/>
      <c r="K160" s="48"/>
      <c r="L160" s="48"/>
      <c r="M160" s="48"/>
      <c r="N160" s="48"/>
      <c r="O160" s="48"/>
      <c r="P160" s="48"/>
      <c r="Q160" s="64"/>
      <c r="R160" s="64"/>
      <c r="S160" s="64"/>
      <c r="T160" s="94">
        <f>T159</f>
        <v>0.33859629451259154</v>
      </c>
      <c r="U160" s="94">
        <f t="shared" ref="U160:AD160" si="411">U159</f>
        <v>0.34488836872573331</v>
      </c>
      <c r="V160" s="94">
        <f t="shared" si="411"/>
        <v>6.6048693288274618E-2</v>
      </c>
      <c r="W160" s="94">
        <f t="shared" si="411"/>
        <v>1.6858238756283252E-3</v>
      </c>
      <c r="X160" s="94">
        <f t="shared" si="411"/>
        <v>7.8130968094054898E-2</v>
      </c>
      <c r="Y160" s="94">
        <f t="shared" si="411"/>
        <v>5.94887498086797E-2</v>
      </c>
      <c r="Z160" s="94">
        <f t="shared" si="411"/>
        <v>2.3549532798340184E-2</v>
      </c>
      <c r="AA160" s="94">
        <f t="shared" si="411"/>
        <v>4.9454018876514388E-3</v>
      </c>
      <c r="AB160" s="94">
        <f t="shared" si="411"/>
        <v>156.03562846031704</v>
      </c>
      <c r="AC160" s="94">
        <f t="shared" si="411"/>
        <v>8.9163439171078968E-3</v>
      </c>
      <c r="AD160" s="94">
        <f t="shared" si="411"/>
        <v>3.9970086586394813E-3</v>
      </c>
      <c r="AE160" s="69"/>
      <c r="AF160" s="94">
        <f>AF159</f>
        <v>3.7245592396385071E-3</v>
      </c>
      <c r="AG160" s="94">
        <f t="shared" ref="AG160:AP160" si="412">AG159</f>
        <v>3.7937720559830662E-3</v>
      </c>
      <c r="AH160" s="94">
        <f t="shared" si="412"/>
        <v>7.2653562617102079E-4</v>
      </c>
      <c r="AI160" s="94">
        <f t="shared" si="412"/>
        <v>1.854406263191158E-5</v>
      </c>
      <c r="AJ160" s="94">
        <f t="shared" si="412"/>
        <v>8.5944064903460378E-4</v>
      </c>
      <c r="AK160" s="94">
        <f t="shared" si="412"/>
        <v>6.5437624789547663E-4</v>
      </c>
      <c r="AL160" s="94">
        <f t="shared" si="412"/>
        <v>2.5904486078174205E-4</v>
      </c>
      <c r="AM160" s="94">
        <f t="shared" si="412"/>
        <v>5.4399420764165824E-5</v>
      </c>
      <c r="AN160" s="94">
        <f t="shared" si="412"/>
        <v>1.7163919130634875</v>
      </c>
      <c r="AO160" s="94">
        <f t="shared" si="412"/>
        <v>9.8079783088186859E-5</v>
      </c>
      <c r="AP160" s="94">
        <f t="shared" si="412"/>
        <v>4.3967095245034293E-5</v>
      </c>
    </row>
    <row r="161" spans="1:67" x14ac:dyDescent="0.25">
      <c r="A161" s="88"/>
      <c r="B161" s="89"/>
      <c r="C161" s="90"/>
      <c r="D161" s="90"/>
      <c r="E161" s="90"/>
      <c r="F161" s="90"/>
      <c r="G161" s="147"/>
      <c r="H161" s="56"/>
      <c r="I161" s="147"/>
      <c r="J161" s="64"/>
      <c r="K161" s="48"/>
      <c r="L161" s="48"/>
      <c r="M161" s="48"/>
      <c r="N161" s="48"/>
      <c r="O161" s="48"/>
      <c r="P161" s="48"/>
      <c r="Q161" s="64"/>
      <c r="R161" s="64"/>
      <c r="S161" s="6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69"/>
      <c r="AF161" s="59"/>
      <c r="AG161" s="59"/>
      <c r="AH161" s="59"/>
      <c r="AI161" s="59"/>
      <c r="AJ161" s="59"/>
      <c r="AK161" s="59"/>
      <c r="AL161" s="61"/>
      <c r="AM161" s="61"/>
      <c r="AN161" s="63"/>
      <c r="AO161" s="61"/>
      <c r="AP161" s="61"/>
    </row>
    <row r="162" spans="1:67" ht="26.4" x14ac:dyDescent="0.25">
      <c r="A162" s="88" t="s">
        <v>234</v>
      </c>
      <c r="B162" s="87"/>
      <c r="C162" s="166"/>
      <c r="D162" s="166"/>
      <c r="E162" s="87"/>
      <c r="F162" s="87"/>
      <c r="G162" s="149"/>
      <c r="H162" s="50"/>
      <c r="I162" s="50"/>
      <c r="J162" s="50"/>
      <c r="K162" s="148"/>
      <c r="L162" s="148"/>
      <c r="M162" s="148"/>
      <c r="N162" s="148"/>
      <c r="O162" s="148"/>
      <c r="P162" s="148"/>
      <c r="Q162" s="50"/>
      <c r="R162" s="148"/>
      <c r="S162" s="148"/>
      <c r="T162" s="74"/>
      <c r="U162" s="74"/>
      <c r="V162" s="74"/>
      <c r="W162" s="74"/>
      <c r="X162" s="74"/>
      <c r="Y162" s="74"/>
      <c r="Z162" s="75"/>
      <c r="AA162" s="75"/>
      <c r="AB162" s="75"/>
      <c r="AC162" s="75"/>
      <c r="AD162" s="75"/>
      <c r="AE162" s="52"/>
      <c r="AF162" s="74"/>
      <c r="AG162" s="74"/>
      <c r="AH162" s="74"/>
      <c r="AI162" s="74"/>
      <c r="AJ162" s="74"/>
      <c r="AK162" s="74"/>
      <c r="AL162" s="75"/>
      <c r="AM162" s="75"/>
      <c r="AN162" s="76"/>
      <c r="AO162" s="74"/>
      <c r="AP162" s="74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</row>
    <row r="163" spans="1:67" x14ac:dyDescent="0.25">
      <c r="A163" s="91" t="s">
        <v>154</v>
      </c>
      <c r="B163" s="89" t="s">
        <v>128</v>
      </c>
      <c r="C163" s="90">
        <v>2</v>
      </c>
      <c r="D163" s="90">
        <v>2017</v>
      </c>
      <c r="E163" s="90">
        <v>35</v>
      </c>
      <c r="F163" s="90">
        <v>160</v>
      </c>
      <c r="G163" s="145">
        <v>1.00932081133512</v>
      </c>
      <c r="H163" s="145">
        <v>4.0761754140815798</v>
      </c>
      <c r="I163" s="145">
        <v>0.24604376740349401</v>
      </c>
      <c r="J163" s="145">
        <v>1.0711818E-2</v>
      </c>
      <c r="K163" s="145">
        <v>6.3985946095635404E-2</v>
      </c>
      <c r="L163" s="567">
        <v>3.5999811999999999E-2</v>
      </c>
      <c r="M163" s="567">
        <v>6.1739677E-2</v>
      </c>
      <c r="N163" s="145">
        <v>5.8867070407984501E-2</v>
      </c>
      <c r="O163" s="567">
        <v>8.9999529999999998E-3</v>
      </c>
      <c r="P163" s="567">
        <v>2.6459862000000001E-2</v>
      </c>
      <c r="Q163" s="145">
        <v>1678.6649107952401</v>
      </c>
      <c r="R163" s="56">
        <f>0.000057143*Q163</f>
        <v>9.5923948997572395E-2</v>
      </c>
      <c r="S163" s="93">
        <f>0.000025616*Q163</f>
        <v>4.3000680354930869E-2</v>
      </c>
      <c r="T163" s="59">
        <f>C163*($F163*$G163)/453.59</f>
        <v>0.71205859835366392</v>
      </c>
      <c r="U163" s="59">
        <f>C163*($F163*$H163)/453.59</f>
        <v>2.875672154381943</v>
      </c>
      <c r="V163" s="59">
        <f>C163*(($F163*$I163))/453.59</f>
        <v>0.17357967673255162</v>
      </c>
      <c r="W163" s="59">
        <f>C163*($F163*$J163)/453.59</f>
        <v>7.5570046958707204E-3</v>
      </c>
      <c r="X163" s="59">
        <f>C163*(($F163*($K163+$L163+$M163)))/453.59</f>
        <v>0.11409453301572638</v>
      </c>
      <c r="Y163" s="59">
        <f>C163*(($F163*($N163+$O163+$P163)))/453.59</f>
        <v>6.654600703400658E-2</v>
      </c>
      <c r="Z163" s="59">
        <f>C163*(F163)*$B$220</f>
        <v>3.1399377064453574E-2</v>
      </c>
      <c r="AA163" s="59">
        <f>Z163*0.21</f>
        <v>6.59386918353525E-3</v>
      </c>
      <c r="AB163" s="59">
        <f>C163*(($F163*($Q163)))/453.59</f>
        <v>1184.2694315449567</v>
      </c>
      <c r="AC163" s="59">
        <f>C163*(($F163*($R163)))/453.59</f>
        <v>6.7672708126773451E-2</v>
      </c>
      <c r="AD163" s="59">
        <f>C163*(($F163*($S163)))/453.59</f>
        <v>3.0336245758455609E-2</v>
      </c>
      <c r="AE163" s="63">
        <v>22</v>
      </c>
      <c r="AF163" s="59">
        <f t="shared" ref="AF163:AM165" si="413">T163*$AE163/2000</f>
        <v>7.832644581890303E-3</v>
      </c>
      <c r="AG163" s="59">
        <f t="shared" si="413"/>
        <v>3.1632393698201373E-2</v>
      </c>
      <c r="AH163" s="59">
        <f t="shared" si="413"/>
        <v>1.9093764440580678E-3</v>
      </c>
      <c r="AI163" s="59">
        <f t="shared" si="413"/>
        <v>8.3127051654577932E-5</v>
      </c>
      <c r="AJ163" s="59">
        <f t="shared" si="413"/>
        <v>1.2550398631729902E-3</v>
      </c>
      <c r="AK163" s="59">
        <f t="shared" si="413"/>
        <v>7.3200607737407242E-4</v>
      </c>
      <c r="AL163" s="59">
        <f t="shared" si="413"/>
        <v>3.4539314770898935E-4</v>
      </c>
      <c r="AM163" s="59">
        <f t="shared" si="413"/>
        <v>7.2532561018887748E-5</v>
      </c>
      <c r="AN163" s="59">
        <f t="shared" ref="AN163:AN165" si="414">AB163*$AE163/2000</f>
        <v>13.026963746994523</v>
      </c>
      <c r="AO163" s="59">
        <f t="shared" ref="AO163:AO165" si="415">AC163*$AE163/2000</f>
        <v>7.4439978939450807E-4</v>
      </c>
      <c r="AP163" s="59">
        <f t="shared" ref="AP163:AP165" si="416">AD163*$AE163/2000</f>
        <v>3.3369870334301171E-4</v>
      </c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</row>
    <row r="164" spans="1:67" x14ac:dyDescent="0.25">
      <c r="A164" s="91" t="s">
        <v>205</v>
      </c>
      <c r="B164" s="89" t="s">
        <v>128</v>
      </c>
      <c r="C164" s="90">
        <v>2</v>
      </c>
      <c r="D164" s="90">
        <v>2017</v>
      </c>
      <c r="E164" s="90">
        <v>35</v>
      </c>
      <c r="F164" s="90">
        <v>80</v>
      </c>
      <c r="G164" s="145">
        <v>1.00932081133512</v>
      </c>
      <c r="H164" s="145">
        <v>4.0761754140815798</v>
      </c>
      <c r="I164" s="145">
        <v>0.24604376740349401</v>
      </c>
      <c r="J164" s="145">
        <v>1.0711818E-2</v>
      </c>
      <c r="K164" s="145">
        <v>6.3985946095635404E-2</v>
      </c>
      <c r="L164" s="567">
        <v>3.5999811999999999E-2</v>
      </c>
      <c r="M164" s="567">
        <v>6.1739677E-2</v>
      </c>
      <c r="N164" s="145">
        <v>5.8867070407984501E-2</v>
      </c>
      <c r="O164" s="567">
        <v>8.9999529999999998E-3</v>
      </c>
      <c r="P164" s="567">
        <v>2.6459862000000001E-2</v>
      </c>
      <c r="Q164" s="145">
        <v>1678.6649107952401</v>
      </c>
      <c r="R164" s="56">
        <f>0.000057143*Q164</f>
        <v>9.5923948997572395E-2</v>
      </c>
      <c r="S164" s="93">
        <f>0.000025616*Q164</f>
        <v>4.3000680354930869E-2</v>
      </c>
      <c r="T164" s="59">
        <f>C164*($F164*$G164)/453.59</f>
        <v>0.35602929917683196</v>
      </c>
      <c r="U164" s="59">
        <f>C164*($F164*$H164)/453.59</f>
        <v>1.4378360771909715</v>
      </c>
      <c r="V164" s="59">
        <f>C164*(($F164*$I164))/453.59</f>
        <v>8.6789838366275809E-2</v>
      </c>
      <c r="W164" s="59">
        <f>C164*($F164*$J164)/453.59</f>
        <v>3.7785023479353602E-3</v>
      </c>
      <c r="X164" s="59">
        <f>C164*(($F164*($K164+$L164+$M164)))/453.59</f>
        <v>5.7047266507863188E-2</v>
      </c>
      <c r="Y164" s="59">
        <f>C164*(($F164*($N164+$O164+$P164)))/453.59</f>
        <v>3.327300351700329E-2</v>
      </c>
      <c r="Z164" s="59">
        <f>C164*(F164)*$B$220</f>
        <v>1.5699688532226787E-2</v>
      </c>
      <c r="AA164" s="59">
        <f>Z164*0.21</f>
        <v>3.296934591767625E-3</v>
      </c>
      <c r="AB164" s="59">
        <f>C164*(($F164*($Q164)))/453.59</f>
        <v>592.13471577247833</v>
      </c>
      <c r="AC164" s="59">
        <f>C164*(($F164*($R164)))/453.59</f>
        <v>3.3836354063386725E-2</v>
      </c>
      <c r="AD164" s="59">
        <f>C164*(($F164*($S164)))/453.59</f>
        <v>1.5168122879227804E-2</v>
      </c>
      <c r="AE164" s="63">
        <v>22</v>
      </c>
      <c r="AF164" s="59">
        <f t="shared" si="413"/>
        <v>3.9163222909451515E-3</v>
      </c>
      <c r="AG164" s="59">
        <f t="shared" si="413"/>
        <v>1.5816196849100687E-2</v>
      </c>
      <c r="AH164" s="59">
        <f t="shared" si="413"/>
        <v>9.5468822202903392E-4</v>
      </c>
      <c r="AI164" s="59">
        <f t="shared" si="413"/>
        <v>4.1563525827288966E-5</v>
      </c>
      <c r="AJ164" s="59">
        <f t="shared" si="413"/>
        <v>6.2751993158649511E-4</v>
      </c>
      <c r="AK164" s="59">
        <f t="shared" si="413"/>
        <v>3.6600303868703621E-4</v>
      </c>
      <c r="AL164" s="59">
        <f t="shared" si="413"/>
        <v>1.7269657385449467E-4</v>
      </c>
      <c r="AM164" s="59">
        <f t="shared" si="413"/>
        <v>3.6266280509443874E-5</v>
      </c>
      <c r="AN164" s="59">
        <f t="shared" si="414"/>
        <v>6.5134818734972617</v>
      </c>
      <c r="AO164" s="59">
        <f t="shared" si="415"/>
        <v>3.7219989469725403E-4</v>
      </c>
      <c r="AP164" s="59">
        <f t="shared" si="416"/>
        <v>1.6684935167150585E-4</v>
      </c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</row>
    <row r="165" spans="1:67" x14ac:dyDescent="0.25">
      <c r="A165" s="91" t="s">
        <v>235</v>
      </c>
      <c r="B165" s="89" t="s">
        <v>107</v>
      </c>
      <c r="C165" s="92">
        <v>2</v>
      </c>
      <c r="D165" s="90">
        <v>2017</v>
      </c>
      <c r="E165" s="90">
        <v>15</v>
      </c>
      <c r="F165" s="90">
        <v>60</v>
      </c>
      <c r="G165" s="145">
        <v>0.63993288844985996</v>
      </c>
      <c r="H165" s="145">
        <v>0.65182464654293903</v>
      </c>
      <c r="I165" s="145">
        <v>0.124829278285952</v>
      </c>
      <c r="J165" s="145">
        <v>3.18613688227605E-3</v>
      </c>
      <c r="K165" s="145">
        <v>0.10291450019173901</v>
      </c>
      <c r="L165" s="56">
        <v>7.99995847163921E-3</v>
      </c>
      <c r="M165" s="56">
        <v>3.6749815577381599E-2</v>
      </c>
      <c r="N165" s="145">
        <v>9.4681348812781493E-2</v>
      </c>
      <c r="O165" s="56">
        <v>1.9999896145790402E-3</v>
      </c>
      <c r="P165" s="56">
        <v>1.57499200131354E-2</v>
      </c>
      <c r="Q165" s="145">
        <v>294.90083630548003</v>
      </c>
      <c r="R165" s="56">
        <f>0.000057143*Q165</f>
        <v>1.6851518489004045E-2</v>
      </c>
      <c r="S165" s="93">
        <f>0.000025616*Q165</f>
        <v>7.5541798228011764E-3</v>
      </c>
      <c r="T165" s="59">
        <f>C165*($F165*$G165)/453.59</f>
        <v>0.16929814725629577</v>
      </c>
      <c r="U165" s="59">
        <f>C165*($F165*$H165)/453.59</f>
        <v>0.17244418436286665</v>
      </c>
      <c r="V165" s="59">
        <f>C165*(($F165*$I165))/453.59</f>
        <v>3.3024346644137309E-2</v>
      </c>
      <c r="W165" s="59">
        <f>C165*($F165*$J165)/453.59</f>
        <v>8.429119378141626E-4</v>
      </c>
      <c r="X165" s="59">
        <f>C165*(($F165*($K165+$L165+$M165)))/453.59</f>
        <v>3.9065484047027449E-2</v>
      </c>
      <c r="Y165" s="59">
        <f>C165*(($F165*($N165+$O165+$P165)))/453.59</f>
        <v>2.974437490433985E-2</v>
      </c>
      <c r="Z165" s="59">
        <f>C165*(F165)*$B$220</f>
        <v>1.1774766399170092E-2</v>
      </c>
      <c r="AA165" s="59">
        <f>Z165*0.21</f>
        <v>2.4727009438257194E-3</v>
      </c>
      <c r="AB165" s="59">
        <f>C165*(($F165*($Q165)))/453.59</f>
        <v>78.017814230158521</v>
      </c>
      <c r="AC165" s="59">
        <f>C165*(($F165*($R165)))/453.59</f>
        <v>4.4581719585539484E-3</v>
      </c>
      <c r="AD165" s="59">
        <f>C165*(($F165*($S165)))/453.59</f>
        <v>1.9985043293197407E-3</v>
      </c>
      <c r="AE165" s="63">
        <v>44</v>
      </c>
      <c r="AF165" s="59">
        <f t="shared" si="413"/>
        <v>3.7245592396385071E-3</v>
      </c>
      <c r="AG165" s="59">
        <f t="shared" si="413"/>
        <v>3.7937720559830662E-3</v>
      </c>
      <c r="AH165" s="59">
        <f t="shared" si="413"/>
        <v>7.2653562617102079E-4</v>
      </c>
      <c r="AI165" s="59">
        <f t="shared" si="413"/>
        <v>1.854406263191158E-5</v>
      </c>
      <c r="AJ165" s="59">
        <f t="shared" si="413"/>
        <v>8.5944064903460378E-4</v>
      </c>
      <c r="AK165" s="59">
        <f t="shared" si="413"/>
        <v>6.5437624789547663E-4</v>
      </c>
      <c r="AL165" s="59">
        <f t="shared" si="413"/>
        <v>2.5904486078174205E-4</v>
      </c>
      <c r="AM165" s="59">
        <f t="shared" si="413"/>
        <v>5.4399420764165824E-5</v>
      </c>
      <c r="AN165" s="59">
        <f t="shared" si="414"/>
        <v>1.7163919130634875</v>
      </c>
      <c r="AO165" s="59">
        <f t="shared" si="415"/>
        <v>9.8079783088186859E-5</v>
      </c>
      <c r="AP165" s="59">
        <f t="shared" si="416"/>
        <v>4.3967095245034293E-5</v>
      </c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</row>
    <row r="166" spans="1:67" x14ac:dyDescent="0.25">
      <c r="A166" s="88" t="s">
        <v>38</v>
      </c>
      <c r="B166" s="87"/>
      <c r="C166" s="166"/>
      <c r="D166" s="166"/>
      <c r="E166" s="87"/>
      <c r="F166" s="87"/>
      <c r="G166" s="149"/>
      <c r="H166" s="50"/>
      <c r="I166" s="50"/>
      <c r="J166" s="50"/>
      <c r="K166" s="148"/>
      <c r="L166" s="148"/>
      <c r="M166" s="148"/>
      <c r="N166" s="148"/>
      <c r="O166" s="148"/>
      <c r="P166" s="148"/>
      <c r="Q166" s="50"/>
      <c r="R166" s="148"/>
      <c r="S166" s="148"/>
      <c r="T166" s="94">
        <f>SUM(T163:T165)</f>
        <v>1.2373860447867917</v>
      </c>
      <c r="U166" s="94">
        <f t="shared" ref="U166:AD166" si="417">SUM(U163:U165)</f>
        <v>4.4859524159357811</v>
      </c>
      <c r="V166" s="94">
        <f t="shared" si="417"/>
        <v>0.29339386174296478</v>
      </c>
      <c r="W166" s="94">
        <f t="shared" si="417"/>
        <v>1.2178418981620243E-2</v>
      </c>
      <c r="X166" s="94">
        <f t="shared" si="417"/>
        <v>0.21020728357061702</v>
      </c>
      <c r="Y166" s="94">
        <f t="shared" si="417"/>
        <v>0.12956338545534971</v>
      </c>
      <c r="Z166" s="94">
        <f t="shared" si="417"/>
        <v>5.8873831995850452E-2</v>
      </c>
      <c r="AA166" s="94">
        <f t="shared" si="417"/>
        <v>1.2363504719128594E-2</v>
      </c>
      <c r="AB166" s="94">
        <f t="shared" si="417"/>
        <v>1854.4219615475936</v>
      </c>
      <c r="AC166" s="94">
        <f t="shared" si="417"/>
        <v>0.10596723414871412</v>
      </c>
      <c r="AD166" s="94">
        <f t="shared" si="417"/>
        <v>4.7502872967003153E-2</v>
      </c>
      <c r="AE166" s="52"/>
      <c r="AF166" s="94">
        <f>SUM(AF163:AF165)</f>
        <v>1.5473526112473962E-2</v>
      </c>
      <c r="AG166" s="94">
        <f t="shared" ref="AG166" si="418">SUM(AG163:AG165)</f>
        <v>5.124236260328513E-2</v>
      </c>
      <c r="AH166" s="94">
        <f t="shared" ref="AH166" si="419">SUM(AH163:AH165)</f>
        <v>3.5906002922581224E-3</v>
      </c>
      <c r="AI166" s="94">
        <f t="shared" ref="AI166" si="420">SUM(AI163:AI165)</f>
        <v>1.4323464011377848E-4</v>
      </c>
      <c r="AJ166" s="94">
        <f t="shared" ref="AJ166" si="421">SUM(AJ163:AJ165)</f>
        <v>2.7420004437940892E-3</v>
      </c>
      <c r="AK166" s="94">
        <f t="shared" ref="AK166" si="422">SUM(AK163:AK165)</f>
        <v>1.7523853639565853E-3</v>
      </c>
      <c r="AL166" s="94">
        <f t="shared" ref="AL166" si="423">SUM(AL163:AL165)</f>
        <v>7.7713458234522604E-4</v>
      </c>
      <c r="AM166" s="94">
        <f t="shared" ref="AM166" si="424">SUM(AM163:AM165)</f>
        <v>1.6319826229249743E-4</v>
      </c>
      <c r="AN166" s="94">
        <f t="shared" ref="AN166" si="425">SUM(AN163:AN165)</f>
        <v>21.25683753355527</v>
      </c>
      <c r="AO166" s="94">
        <f t="shared" ref="AO166" si="426">SUM(AO163:AO165)</f>
        <v>1.214679467179949E-3</v>
      </c>
      <c r="AP166" s="94">
        <f t="shared" ref="AP166" si="427">SUM(AP163:AP165)</f>
        <v>5.4451515025955184E-4</v>
      </c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</row>
    <row r="167" spans="1:67" x14ac:dyDescent="0.25">
      <c r="A167" s="88"/>
      <c r="B167" s="87"/>
      <c r="C167" s="166"/>
      <c r="D167" s="166"/>
      <c r="E167" s="87"/>
      <c r="F167" s="87"/>
      <c r="G167" s="149"/>
      <c r="H167" s="50"/>
      <c r="I167" s="50"/>
      <c r="J167" s="50"/>
      <c r="K167" s="148"/>
      <c r="L167" s="148"/>
      <c r="M167" s="148"/>
      <c r="N167" s="148"/>
      <c r="O167" s="148"/>
      <c r="P167" s="148"/>
      <c r="Q167" s="50"/>
      <c r="R167" s="148"/>
      <c r="S167" s="148"/>
      <c r="T167" s="74"/>
      <c r="U167" s="74"/>
      <c r="V167" s="74"/>
      <c r="W167" s="74"/>
      <c r="X167" s="74"/>
      <c r="Y167" s="74"/>
      <c r="Z167" s="75"/>
      <c r="AA167" s="75"/>
      <c r="AB167" s="75"/>
      <c r="AC167" s="75"/>
      <c r="AD167" s="75"/>
      <c r="AE167" s="52"/>
      <c r="AF167" s="74"/>
      <c r="AG167" s="74"/>
      <c r="AH167" s="74"/>
      <c r="AI167" s="74"/>
      <c r="AJ167" s="74"/>
      <c r="AK167" s="74"/>
      <c r="AL167" s="75"/>
      <c r="AM167" s="75"/>
      <c r="AN167" s="76"/>
      <c r="AO167" s="74"/>
      <c r="AP167" s="74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</row>
    <row r="168" spans="1:67" ht="26.4" x14ac:dyDescent="0.25">
      <c r="A168" s="88" t="s">
        <v>229</v>
      </c>
      <c r="B168" s="89"/>
      <c r="C168" s="90"/>
      <c r="D168" s="90"/>
      <c r="E168" s="90"/>
      <c r="F168" s="90"/>
      <c r="G168" s="147"/>
      <c r="H168" s="57"/>
      <c r="I168" s="147"/>
      <c r="J168" s="139"/>
      <c r="K168" s="48"/>
      <c r="L168" s="48"/>
      <c r="M168" s="48"/>
      <c r="N168" s="48"/>
      <c r="O168" s="48"/>
      <c r="P168" s="48"/>
      <c r="Q168" s="139"/>
      <c r="R168" s="64"/>
      <c r="S168" s="64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69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</row>
    <row r="169" spans="1:67" x14ac:dyDescent="0.25">
      <c r="A169" s="91" t="s">
        <v>154</v>
      </c>
      <c r="B169" s="89" t="s">
        <v>128</v>
      </c>
      <c r="C169" s="90">
        <v>5</v>
      </c>
      <c r="D169" s="90">
        <v>2017</v>
      </c>
      <c r="E169" s="90">
        <v>35</v>
      </c>
      <c r="F169" s="90">
        <v>160</v>
      </c>
      <c r="G169" s="145">
        <v>1.00932081133512</v>
      </c>
      <c r="H169" s="145">
        <v>4.0761754140815798</v>
      </c>
      <c r="I169" s="145">
        <v>0.24604376740349401</v>
      </c>
      <c r="J169" s="145">
        <v>1.0711818E-2</v>
      </c>
      <c r="K169" s="145">
        <v>6.3985946095635404E-2</v>
      </c>
      <c r="L169" s="567">
        <v>3.5999811999999999E-2</v>
      </c>
      <c r="M169" s="567">
        <v>6.1739677E-2</v>
      </c>
      <c r="N169" s="145">
        <v>5.8867070407984501E-2</v>
      </c>
      <c r="O169" s="567">
        <v>8.9999529999999998E-3</v>
      </c>
      <c r="P169" s="567">
        <v>2.6459862000000001E-2</v>
      </c>
      <c r="Q169" s="145">
        <v>1678.6649107952401</v>
      </c>
      <c r="R169" s="56">
        <f>0.000057143*Q169</f>
        <v>9.5923948997572395E-2</v>
      </c>
      <c r="S169" s="93">
        <f>0.000025616*Q169</f>
        <v>4.3000680354930869E-2</v>
      </c>
      <c r="T169" s="59">
        <f>C169*($F169*$G169)/453.59</f>
        <v>1.7801464958841595</v>
      </c>
      <c r="U169" s="59">
        <f>C169*($F169*$H169)/453.59</f>
        <v>7.1891803859548578</v>
      </c>
      <c r="V169" s="59">
        <f>C169*(($F169*$I169))/453.59</f>
        <v>0.43394919183137903</v>
      </c>
      <c r="W169" s="59">
        <f>C169*($F169*$J169)/453.59</f>
        <v>1.88925117396768E-2</v>
      </c>
      <c r="X169" s="59">
        <f>C169*(($F169*($K169+$L169+$M169)))/453.59</f>
        <v>0.28523633253931596</v>
      </c>
      <c r="Y169" s="59">
        <f>C169*(($F169*($N169+$O169+$P169)))/453.59</f>
        <v>0.16636501758501643</v>
      </c>
      <c r="Z169" s="59">
        <f>C169*(F169)*$B$220</f>
        <v>7.8498442661133941E-2</v>
      </c>
      <c r="AA169" s="59">
        <f>Z169*0.21</f>
        <v>1.6484672958838126E-2</v>
      </c>
      <c r="AB169" s="59">
        <f>C169*(($F169*($Q169)))/453.59</f>
        <v>2960.6735788623914</v>
      </c>
      <c r="AC169" s="59">
        <f>C169*(($F169*($R169)))/453.59</f>
        <v>0.16918177031693363</v>
      </c>
      <c r="AD169" s="59">
        <f>C169*(($F169*($S169)))/453.59</f>
        <v>7.5840614396139025E-2</v>
      </c>
      <c r="AE169" s="63">
        <v>66</v>
      </c>
      <c r="AF169" s="59">
        <f t="shared" ref="AF169:AM169" si="428">T169*$AE169/2000</f>
        <v>5.8744834364177267E-2</v>
      </c>
      <c r="AG169" s="59">
        <f t="shared" si="428"/>
        <v>0.23724295273651033</v>
      </c>
      <c r="AH169" s="59">
        <f t="shared" si="428"/>
        <v>1.4320323330435508E-2</v>
      </c>
      <c r="AI169" s="59">
        <f t="shared" si="428"/>
        <v>6.2345288740933431E-4</v>
      </c>
      <c r="AJ169" s="59">
        <f t="shared" si="428"/>
        <v>9.4127989737974264E-3</v>
      </c>
      <c r="AK169" s="59">
        <f t="shared" si="428"/>
        <v>5.4900455803055422E-3</v>
      </c>
      <c r="AL169" s="59">
        <f t="shared" si="428"/>
        <v>2.5904486078174201E-3</v>
      </c>
      <c r="AM169" s="59">
        <f t="shared" si="428"/>
        <v>5.4399420764165822E-4</v>
      </c>
      <c r="AN169" s="59">
        <f t="shared" ref="AN169" si="429">AB169*$AE169/2000</f>
        <v>97.702228102458918</v>
      </c>
      <c r="AO169" s="59">
        <f t="shared" ref="AO169" si="430">AC169*$AE169/2000</f>
        <v>5.5829984204588097E-3</v>
      </c>
      <c r="AP169" s="59">
        <f t="shared" ref="AP169" si="431">AD169*$AE169/2000</f>
        <v>2.5027402750725878E-3</v>
      </c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</row>
    <row r="170" spans="1:67" x14ac:dyDescent="0.25">
      <c r="A170" s="88" t="s">
        <v>38</v>
      </c>
      <c r="B170" s="87"/>
      <c r="C170" s="166"/>
      <c r="D170" s="166"/>
      <c r="E170" s="87"/>
      <c r="F170" s="87"/>
      <c r="G170" s="149"/>
      <c r="H170" s="50"/>
      <c r="I170" s="50"/>
      <c r="J170" s="50"/>
      <c r="K170" s="148"/>
      <c r="L170" s="148"/>
      <c r="M170" s="148"/>
      <c r="N170" s="148"/>
      <c r="O170" s="148"/>
      <c r="P170" s="148"/>
      <c r="Q170" s="50"/>
      <c r="R170" s="148"/>
      <c r="S170" s="148"/>
      <c r="T170" s="94">
        <f>T169</f>
        <v>1.7801464958841595</v>
      </c>
      <c r="U170" s="94">
        <f t="shared" ref="U170:AD170" si="432">U169</f>
        <v>7.1891803859548578</v>
      </c>
      <c r="V170" s="94">
        <f t="shared" si="432"/>
        <v>0.43394919183137903</v>
      </c>
      <c r="W170" s="94">
        <f t="shared" si="432"/>
        <v>1.88925117396768E-2</v>
      </c>
      <c r="X170" s="94">
        <f t="shared" si="432"/>
        <v>0.28523633253931596</v>
      </c>
      <c r="Y170" s="94">
        <f t="shared" si="432"/>
        <v>0.16636501758501643</v>
      </c>
      <c r="Z170" s="94">
        <f t="shared" si="432"/>
        <v>7.8498442661133941E-2</v>
      </c>
      <c r="AA170" s="94">
        <f t="shared" si="432"/>
        <v>1.6484672958838126E-2</v>
      </c>
      <c r="AB170" s="94">
        <f t="shared" si="432"/>
        <v>2960.6735788623914</v>
      </c>
      <c r="AC170" s="94">
        <f t="shared" si="432"/>
        <v>0.16918177031693363</v>
      </c>
      <c r="AD170" s="94">
        <f t="shared" si="432"/>
        <v>7.5840614396139025E-2</v>
      </c>
      <c r="AE170" s="69"/>
      <c r="AF170" s="94">
        <f>AF169</f>
        <v>5.8744834364177267E-2</v>
      </c>
      <c r="AG170" s="94">
        <f t="shared" ref="AG170:AP170" si="433">AG169</f>
        <v>0.23724295273651033</v>
      </c>
      <c r="AH170" s="94">
        <f t="shared" si="433"/>
        <v>1.4320323330435508E-2</v>
      </c>
      <c r="AI170" s="94">
        <f t="shared" si="433"/>
        <v>6.2345288740933431E-4</v>
      </c>
      <c r="AJ170" s="94">
        <f t="shared" si="433"/>
        <v>9.4127989737974264E-3</v>
      </c>
      <c r="AK170" s="94">
        <f t="shared" si="433"/>
        <v>5.4900455803055422E-3</v>
      </c>
      <c r="AL170" s="94">
        <f t="shared" si="433"/>
        <v>2.5904486078174201E-3</v>
      </c>
      <c r="AM170" s="94">
        <f t="shared" si="433"/>
        <v>5.4399420764165822E-4</v>
      </c>
      <c r="AN170" s="94">
        <f t="shared" si="433"/>
        <v>97.702228102458918</v>
      </c>
      <c r="AO170" s="94">
        <f t="shared" si="433"/>
        <v>5.5829984204588097E-3</v>
      </c>
      <c r="AP170" s="94">
        <f t="shared" si="433"/>
        <v>2.5027402750725878E-3</v>
      </c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</row>
    <row r="171" spans="1:67" x14ac:dyDescent="0.25">
      <c r="A171" s="88"/>
      <c r="B171" s="89"/>
      <c r="C171" s="90"/>
      <c r="D171" s="90"/>
      <c r="E171" s="90"/>
      <c r="F171" s="90"/>
      <c r="G171" s="147"/>
      <c r="H171" s="57"/>
      <c r="I171" s="147"/>
      <c r="J171" s="139"/>
      <c r="K171" s="48"/>
      <c r="L171" s="48"/>
      <c r="M171" s="48"/>
      <c r="N171" s="48"/>
      <c r="O171" s="48"/>
      <c r="P171" s="48"/>
      <c r="Q171" s="139"/>
      <c r="R171" s="64"/>
      <c r="S171" s="64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69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</row>
    <row r="172" spans="1:67" ht="26.4" x14ac:dyDescent="0.25">
      <c r="A172" s="88" t="s">
        <v>230</v>
      </c>
      <c r="B172" s="89"/>
      <c r="C172" s="90"/>
      <c r="D172" s="90"/>
      <c r="E172" s="90"/>
      <c r="F172" s="90"/>
      <c r="G172" s="147"/>
      <c r="H172" s="56"/>
      <c r="I172" s="147"/>
      <c r="J172" s="64"/>
      <c r="K172" s="48"/>
      <c r="L172" s="48"/>
      <c r="M172" s="48"/>
      <c r="N172" s="48"/>
      <c r="O172" s="48"/>
      <c r="P172" s="48"/>
      <c r="Q172" s="64"/>
      <c r="R172" s="64"/>
      <c r="S172" s="64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69"/>
      <c r="AF172" s="95"/>
      <c r="AG172" s="95"/>
      <c r="AH172" s="95"/>
      <c r="AI172" s="95"/>
      <c r="AJ172" s="95"/>
      <c r="AK172" s="95"/>
      <c r="AL172" s="95"/>
      <c r="AM172" s="95"/>
      <c r="AN172" s="76"/>
      <c r="AO172" s="95"/>
      <c r="AP172" s="95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</row>
    <row r="173" spans="1:67" x14ac:dyDescent="0.25">
      <c r="A173" s="91" t="s">
        <v>154</v>
      </c>
      <c r="B173" s="89" t="s">
        <v>128</v>
      </c>
      <c r="C173" s="90">
        <v>6</v>
      </c>
      <c r="D173" s="90">
        <v>2018</v>
      </c>
      <c r="E173" s="90">
        <v>35</v>
      </c>
      <c r="F173" s="90">
        <v>160</v>
      </c>
      <c r="G173" s="145">
        <v>1.0826397662712</v>
      </c>
      <c r="H173" s="145">
        <v>4.9663485177263196</v>
      </c>
      <c r="I173" s="145">
        <v>0.26248012574830598</v>
      </c>
      <c r="J173" s="145">
        <v>1.0711818E-2</v>
      </c>
      <c r="K173" s="145">
        <v>7.1679901069995999E-2</v>
      </c>
      <c r="L173" s="567">
        <v>3.5999811999999999E-2</v>
      </c>
      <c r="M173" s="567">
        <v>6.1739677E-2</v>
      </c>
      <c r="N173" s="145">
        <v>6.59455089843963E-2</v>
      </c>
      <c r="O173" s="567">
        <v>8.9999529999999998E-3</v>
      </c>
      <c r="P173" s="567">
        <v>2.6459862000000001E-2</v>
      </c>
      <c r="Q173" s="145">
        <v>1710.7260798812899</v>
      </c>
      <c r="R173" s="56">
        <f t="shared" ref="R173:R174" si="434">0.000057143*Q173</f>
        <v>9.7756020382656544E-2</v>
      </c>
      <c r="S173" s="93">
        <f t="shared" ref="S173:S174" si="435">0.000025616*Q173</f>
        <v>4.382195926223912E-2</v>
      </c>
      <c r="T173" s="59">
        <f>C173*($F173*$G173)/453.59</f>
        <v>2.2913516074436209</v>
      </c>
      <c r="U173" s="59">
        <f>C173*($F173*$H173)/453.59</f>
        <v>10.511022238182647</v>
      </c>
      <c r="V173" s="59">
        <f>C173*(($F173*$I173))/453.59</f>
        <v>0.55552574068734706</v>
      </c>
      <c r="W173" s="59">
        <f>C173*($F173*$J173)/453.59</f>
        <v>2.267101408761216E-2</v>
      </c>
      <c r="X173" s="59">
        <f>C173*(($F173*($K173+$L173+$M173)))/453.59</f>
        <v>0.358567460630076</v>
      </c>
      <c r="Y173" s="59">
        <f>C173*(($F173*($N173+$O173+$P173)))/453.59</f>
        <v>0.2146191737582849</v>
      </c>
      <c r="Z173" s="59">
        <f>C173*(F173)*$B$220</f>
        <v>9.4198131193360735E-2</v>
      </c>
      <c r="AA173" s="59">
        <f>Z173*0.21</f>
        <v>1.9781607550605755E-2</v>
      </c>
      <c r="AB173" s="59">
        <f>C173*(($F173*($Q173)))/453.59</f>
        <v>3620.6641166825507</v>
      </c>
      <c r="AC173" s="59">
        <f>C173*(($F173*($R173)))/453.59</f>
        <v>0.206895609619591</v>
      </c>
      <c r="AD173" s="59">
        <f>C173*(($F173*($S173)))/453.59</f>
        <v>9.2746932012940222E-2</v>
      </c>
      <c r="AE173" s="63">
        <v>66</v>
      </c>
      <c r="AF173" s="59">
        <f t="shared" ref="AF173:AF174" si="436">T173*$AE173/2000</f>
        <v>7.5614603045639481E-2</v>
      </c>
      <c r="AG173" s="59">
        <f t="shared" ref="AG173:AG174" si="437">U173*$AE173/2000</f>
        <v>0.34686373386002739</v>
      </c>
      <c r="AH173" s="59">
        <f t="shared" ref="AH173:AH174" si="438">V173*$AE173/2000</f>
        <v>1.8332349442682454E-2</v>
      </c>
      <c r="AI173" s="59">
        <f t="shared" ref="AI173:AI174" si="439">W173*$AE173/2000</f>
        <v>7.4814346489120132E-4</v>
      </c>
      <c r="AJ173" s="59">
        <f t="shared" ref="AJ173:AJ174" si="440">X173*$AE173/2000</f>
        <v>1.1832726200792508E-2</v>
      </c>
      <c r="AK173" s="59">
        <f t="shared" ref="AK173:AK174" si="441">Y173*$AE173/2000</f>
        <v>7.0824327340234016E-3</v>
      </c>
      <c r="AL173" s="59">
        <f t="shared" ref="AL173:AL174" si="442">Z173*$AE173/2000</f>
        <v>3.1085383293809042E-3</v>
      </c>
      <c r="AM173" s="59">
        <f t="shared" ref="AM173:AM174" si="443">AA173*$AE173/2000</f>
        <v>6.5279304916998995E-4</v>
      </c>
      <c r="AN173" s="59">
        <f t="shared" ref="AN173:AN174" si="444">AB173*$AE173/2000</f>
        <v>119.48191585052417</v>
      </c>
      <c r="AO173" s="59">
        <f t="shared" ref="AO173:AO174" si="445">AC173*$AE173/2000</f>
        <v>6.827555117446503E-3</v>
      </c>
      <c r="AP173" s="59">
        <f t="shared" ref="AP173:AP174" si="446">AD173*$AE173/2000</f>
        <v>3.0606487564270274E-3</v>
      </c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</row>
    <row r="174" spans="1:67" x14ac:dyDescent="0.25">
      <c r="A174" s="91" t="s">
        <v>157</v>
      </c>
      <c r="B174" s="89" t="s">
        <v>128</v>
      </c>
      <c r="C174" s="90">
        <v>7</v>
      </c>
      <c r="D174" s="90">
        <v>2018</v>
      </c>
      <c r="E174" s="90">
        <v>35</v>
      </c>
      <c r="F174" s="90">
        <v>80</v>
      </c>
      <c r="G174" s="145">
        <v>1.0826397662712</v>
      </c>
      <c r="H174" s="145">
        <v>4.9663485177263196</v>
      </c>
      <c r="I174" s="145">
        <v>0.26248012574830598</v>
      </c>
      <c r="J174" s="145">
        <v>1.0711818E-2</v>
      </c>
      <c r="K174" s="145">
        <v>7.1679901069995999E-2</v>
      </c>
      <c r="L174" s="567">
        <v>3.5999811999999999E-2</v>
      </c>
      <c r="M174" s="567">
        <v>6.1739677E-2</v>
      </c>
      <c r="N174" s="145">
        <v>6.59455089843963E-2</v>
      </c>
      <c r="O174" s="567">
        <v>8.9999529999999998E-3</v>
      </c>
      <c r="P174" s="567">
        <v>2.6459862000000001E-2</v>
      </c>
      <c r="Q174" s="145">
        <v>1710.7260798812899</v>
      </c>
      <c r="R174" s="56">
        <f t="shared" si="434"/>
        <v>9.7756020382656544E-2</v>
      </c>
      <c r="S174" s="93">
        <f t="shared" si="435"/>
        <v>4.382195926223912E-2</v>
      </c>
      <c r="T174" s="59">
        <f>C174*($F174*$G174)/453.59</f>
        <v>1.3366217710087789</v>
      </c>
      <c r="U174" s="59">
        <f>C174*($F174*$H174)/453.59</f>
        <v>6.1314296389398786</v>
      </c>
      <c r="V174" s="59">
        <f>C174*(($F174*$I174))/453.59</f>
        <v>0.32405668206761912</v>
      </c>
      <c r="W174" s="59">
        <f>C174*($F174*$J174)/453.59</f>
        <v>1.322475821777376E-2</v>
      </c>
      <c r="X174" s="59">
        <f>C174*(($F174*($K174+$L174+$M174)))/453.59</f>
        <v>0.20916435203421097</v>
      </c>
      <c r="Y174" s="59">
        <f>C174*(($F174*($N174+$O174+$P174)))/453.59</f>
        <v>0.1251945180256662</v>
      </c>
      <c r="Z174" s="59">
        <f>C174*(F174)*$B$220</f>
        <v>5.4948909862793757E-2</v>
      </c>
      <c r="AA174" s="59">
        <f>Z174*0.21</f>
        <v>1.1539271071186689E-2</v>
      </c>
      <c r="AB174" s="59">
        <f>C174*(($F174*($Q174)))/453.59</f>
        <v>2112.0540680648214</v>
      </c>
      <c r="AC174" s="59">
        <f>C174*(($F174*($R174)))/453.59</f>
        <v>0.12068910561142809</v>
      </c>
      <c r="AD174" s="59">
        <f>C174*(($F174*($S174)))/453.59</f>
        <v>5.4102377007548462E-2</v>
      </c>
      <c r="AE174" s="63">
        <v>66</v>
      </c>
      <c r="AF174" s="59">
        <f t="shared" si="436"/>
        <v>4.4108518443289703E-2</v>
      </c>
      <c r="AG174" s="59">
        <f t="shared" si="437"/>
        <v>0.202337178085016</v>
      </c>
      <c r="AH174" s="59">
        <f t="shared" si="438"/>
        <v>1.069387050823143E-2</v>
      </c>
      <c r="AI174" s="59">
        <f t="shared" si="439"/>
        <v>4.3641702118653406E-4</v>
      </c>
      <c r="AJ174" s="59">
        <f t="shared" si="440"/>
        <v>6.9024236171289621E-3</v>
      </c>
      <c r="AK174" s="59">
        <f t="shared" si="441"/>
        <v>4.1314190948469843E-3</v>
      </c>
      <c r="AL174" s="59">
        <f t="shared" si="442"/>
        <v>1.8133140254721939E-3</v>
      </c>
      <c r="AM174" s="59">
        <f t="shared" si="443"/>
        <v>3.8079594534916073E-4</v>
      </c>
      <c r="AN174" s="59">
        <f t="shared" si="444"/>
        <v>69.697784246139108</v>
      </c>
      <c r="AO174" s="59">
        <f t="shared" si="445"/>
        <v>3.982740485177127E-3</v>
      </c>
      <c r="AP174" s="59">
        <f t="shared" si="446"/>
        <v>1.7853784412490991E-3</v>
      </c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</row>
    <row r="175" spans="1:67" x14ac:dyDescent="0.25">
      <c r="A175" s="88" t="s">
        <v>38</v>
      </c>
      <c r="B175" s="89"/>
      <c r="C175" s="90"/>
      <c r="D175" s="90"/>
      <c r="E175" s="90"/>
      <c r="F175" s="90"/>
      <c r="G175" s="147"/>
      <c r="H175" s="57"/>
      <c r="I175" s="147"/>
      <c r="J175" s="139"/>
      <c r="K175" s="48"/>
      <c r="L175" s="48"/>
      <c r="M175" s="48"/>
      <c r="N175" s="48"/>
      <c r="O175" s="48"/>
      <c r="P175" s="48"/>
      <c r="Q175" s="139"/>
      <c r="R175" s="64"/>
      <c r="S175" s="64"/>
      <c r="T175" s="94">
        <f>SUM(T173:T174)</f>
        <v>3.6279733784524</v>
      </c>
      <c r="U175" s="94">
        <f t="shared" ref="U175:AD175" si="447">SUM(U173:U174)</f>
        <v>16.642451877122525</v>
      </c>
      <c r="V175" s="94">
        <f t="shared" si="447"/>
        <v>0.87958242275496623</v>
      </c>
      <c r="W175" s="94">
        <f t="shared" si="447"/>
        <v>3.5895772305385917E-2</v>
      </c>
      <c r="X175" s="94">
        <f t="shared" si="447"/>
        <v>0.56773181266428696</v>
      </c>
      <c r="Y175" s="94">
        <f t="shared" si="447"/>
        <v>0.3398136917839511</v>
      </c>
      <c r="Z175" s="94">
        <f t="shared" si="447"/>
        <v>0.14914704105615451</v>
      </c>
      <c r="AA175" s="94">
        <f t="shared" si="447"/>
        <v>3.1320878621792447E-2</v>
      </c>
      <c r="AB175" s="94">
        <f t="shared" si="447"/>
        <v>5732.7181847473721</v>
      </c>
      <c r="AC175" s="94">
        <f t="shared" si="447"/>
        <v>0.32758471523101906</v>
      </c>
      <c r="AD175" s="94">
        <f t="shared" si="447"/>
        <v>0.14684930902048868</v>
      </c>
      <c r="AE175" s="69"/>
      <c r="AF175" s="95">
        <f>SUM(AF173:AF174)</f>
        <v>0.11972312148892919</v>
      </c>
      <c r="AG175" s="95">
        <f t="shared" ref="AG175:AP175" si="448">SUM(AG173:AG174)</f>
        <v>0.54920091194504339</v>
      </c>
      <c r="AH175" s="95">
        <f t="shared" si="448"/>
        <v>2.9026219950913885E-2</v>
      </c>
      <c r="AI175" s="95">
        <f t="shared" si="448"/>
        <v>1.1845604860777354E-3</v>
      </c>
      <c r="AJ175" s="95">
        <f t="shared" si="448"/>
        <v>1.873514981792147E-2</v>
      </c>
      <c r="AK175" s="95">
        <f t="shared" si="448"/>
        <v>1.1213851828870386E-2</v>
      </c>
      <c r="AL175" s="95">
        <f t="shared" si="448"/>
        <v>4.9218523548530983E-3</v>
      </c>
      <c r="AM175" s="95">
        <f t="shared" si="448"/>
        <v>1.0335889945191506E-3</v>
      </c>
      <c r="AN175" s="95">
        <f t="shared" si="448"/>
        <v>189.17970009666328</v>
      </c>
      <c r="AO175" s="95">
        <f t="shared" si="448"/>
        <v>1.0810295602623629E-2</v>
      </c>
      <c r="AP175" s="95">
        <f t="shared" si="448"/>
        <v>4.8460271976761265E-3</v>
      </c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</row>
    <row r="176" spans="1:67" x14ac:dyDescent="0.25">
      <c r="A176" s="88"/>
      <c r="B176" s="89"/>
      <c r="C176" s="90"/>
      <c r="D176" s="90"/>
      <c r="E176" s="90"/>
      <c r="F176" s="90"/>
      <c r="G176" s="147"/>
      <c r="H176" s="57"/>
      <c r="I176" s="147"/>
      <c r="J176" s="139"/>
      <c r="K176" s="48"/>
      <c r="L176" s="48"/>
      <c r="M176" s="48"/>
      <c r="N176" s="48"/>
      <c r="O176" s="48"/>
      <c r="P176" s="48"/>
      <c r="Q176" s="139"/>
      <c r="R176" s="64"/>
      <c r="S176" s="64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69"/>
      <c r="AF176" s="59"/>
      <c r="AG176" s="59"/>
      <c r="AH176" s="59"/>
      <c r="AI176" s="59"/>
      <c r="AJ176" s="59"/>
      <c r="AK176" s="59"/>
      <c r="AL176" s="61"/>
      <c r="AM176" s="61"/>
      <c r="AN176" s="63"/>
      <c r="AO176" s="61"/>
      <c r="AP176" s="61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</row>
    <row r="177" spans="1:67" ht="26.4" x14ac:dyDescent="0.25">
      <c r="A177" s="88" t="s">
        <v>231</v>
      </c>
      <c r="B177" s="89"/>
      <c r="C177" s="90"/>
      <c r="D177" s="90"/>
      <c r="E177" s="90"/>
      <c r="F177" s="90"/>
      <c r="G177" s="147"/>
      <c r="H177" s="57"/>
      <c r="I177" s="147"/>
      <c r="J177" s="139"/>
      <c r="K177" s="48"/>
      <c r="L177" s="48"/>
      <c r="M177" s="48"/>
      <c r="N177" s="48"/>
      <c r="O177" s="48"/>
      <c r="P177" s="48"/>
      <c r="Q177" s="139"/>
      <c r="R177" s="64"/>
      <c r="S177" s="64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69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</row>
    <row r="178" spans="1:67" x14ac:dyDescent="0.25">
      <c r="A178" s="91" t="s">
        <v>114</v>
      </c>
      <c r="B178" s="89" t="s">
        <v>107</v>
      </c>
      <c r="C178" s="92">
        <v>6</v>
      </c>
      <c r="D178" s="90">
        <v>2018</v>
      </c>
      <c r="E178" s="90">
        <v>15</v>
      </c>
      <c r="F178" s="90">
        <v>60</v>
      </c>
      <c r="G178" s="145">
        <v>0.56875974610331004</v>
      </c>
      <c r="H178" s="145">
        <v>0.60613619912309102</v>
      </c>
      <c r="I178" s="145">
        <v>0.110002906126779</v>
      </c>
      <c r="J178" s="145">
        <v>3.18613688227605E-3</v>
      </c>
      <c r="K178" s="145">
        <v>9.0901627580601399E-2</v>
      </c>
      <c r="L178" s="56">
        <v>7.99995847163921E-3</v>
      </c>
      <c r="M178" s="56">
        <v>3.6749815577381599E-2</v>
      </c>
      <c r="N178" s="145">
        <v>8.3629500044256497E-2</v>
      </c>
      <c r="O178" s="56">
        <v>1.9999896145790402E-3</v>
      </c>
      <c r="P178" s="56">
        <v>1.57499200131354E-2</v>
      </c>
      <c r="Q178" s="145">
        <v>284.47755884310999</v>
      </c>
      <c r="R178" s="56">
        <f>0.000057143*Q178</f>
        <v>1.6255901144971833E-2</v>
      </c>
      <c r="S178" s="93">
        <f>0.000025616*Q178</f>
        <v>7.2871771473251058E-3</v>
      </c>
      <c r="T178" s="59">
        <f>C178*($F178*$G178)/453.59</f>
        <v>0.45140657553559738</v>
      </c>
      <c r="U178" s="59">
        <f>C178*($F178*$H178)/453.59</f>
        <v>0.48107108111799818</v>
      </c>
      <c r="V178" s="59">
        <f>C178*(($F178*$I178))/453.59</f>
        <v>8.730581848285994E-2</v>
      </c>
      <c r="W178" s="59">
        <f>C178*($F178*$J178)/453.59</f>
        <v>2.5287358134424877E-3</v>
      </c>
      <c r="X178" s="59">
        <f>C178*(($F178*($K178+$L178+$M178)))/453.59</f>
        <v>0.1076622160688375</v>
      </c>
      <c r="Y178" s="59">
        <f>C178*(($F178*($N178+$O178+$P178)))/453.59</f>
        <v>8.0461622791308321E-2</v>
      </c>
      <c r="Z178" s="59">
        <f>C178*(F178)*$B$220</f>
        <v>3.5324299197510275E-2</v>
      </c>
      <c r="AA178" s="59">
        <f>Z178*0.21</f>
        <v>7.4181028314771573E-3</v>
      </c>
      <c r="AB178" s="59">
        <f>C178*(($F178*($Q178)))/453.59</f>
        <v>225.78081788293304</v>
      </c>
      <c r="AC178" s="59">
        <f>C178*(($F178*($R178)))/453.59</f>
        <v>1.2901793276284443E-2</v>
      </c>
      <c r="AD178" s="59">
        <f>C178*(($F178*($S178)))/453.59</f>
        <v>5.7836014308892143E-3</v>
      </c>
      <c r="AE178" s="63">
        <f>10*22</f>
        <v>220</v>
      </c>
      <c r="AF178" s="59">
        <f t="shared" ref="AF178:AM178" si="449">T178*$AE178/2000</f>
        <v>4.965472330891571E-2</v>
      </c>
      <c r="AG178" s="59">
        <f t="shared" si="449"/>
        <v>5.2917818922979795E-2</v>
      </c>
      <c r="AH178" s="59">
        <f t="shared" si="449"/>
        <v>9.6036400331145945E-3</v>
      </c>
      <c r="AI178" s="59">
        <f t="shared" si="449"/>
        <v>2.7816093947867363E-4</v>
      </c>
      <c r="AJ178" s="59">
        <f t="shared" si="449"/>
        <v>1.1842843767572124E-2</v>
      </c>
      <c r="AK178" s="59">
        <f t="shared" si="449"/>
        <v>8.8507785070439139E-3</v>
      </c>
      <c r="AL178" s="59">
        <f t="shared" si="449"/>
        <v>3.8856729117261301E-3</v>
      </c>
      <c r="AM178" s="59">
        <f t="shared" si="449"/>
        <v>8.1599131146248727E-4</v>
      </c>
      <c r="AN178" s="59">
        <f t="shared" ref="AN178" si="450">AB178*$AE178/2000</f>
        <v>24.835889967122636</v>
      </c>
      <c r="AO178" s="59">
        <f t="shared" ref="AO178" si="451">AC178*$AE178/2000</f>
        <v>1.4191972603912887E-3</v>
      </c>
      <c r="AP178" s="59">
        <f t="shared" ref="AP178" si="452">AD178*$AE178/2000</f>
        <v>6.3619615739781354E-4</v>
      </c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</row>
    <row r="179" spans="1:67" x14ac:dyDescent="0.25">
      <c r="A179" s="88" t="s">
        <v>38</v>
      </c>
      <c r="B179" s="89"/>
      <c r="C179" s="90"/>
      <c r="D179" s="90"/>
      <c r="E179" s="90"/>
      <c r="F179" s="90"/>
      <c r="G179" s="147"/>
      <c r="H179" s="56"/>
      <c r="I179" s="147"/>
      <c r="J179" s="64"/>
      <c r="K179" s="48"/>
      <c r="L179" s="48"/>
      <c r="M179" s="48"/>
      <c r="N179" s="48"/>
      <c r="O179" s="48"/>
      <c r="P179" s="48"/>
      <c r="Q179" s="64"/>
      <c r="R179" s="64"/>
      <c r="S179" s="64"/>
      <c r="T179" s="94">
        <f>T178</f>
        <v>0.45140657553559738</v>
      </c>
      <c r="U179" s="94">
        <f t="shared" ref="U179:AD179" si="453">U178</f>
        <v>0.48107108111799818</v>
      </c>
      <c r="V179" s="94">
        <f t="shared" si="453"/>
        <v>8.730581848285994E-2</v>
      </c>
      <c r="W179" s="94">
        <f t="shared" si="453"/>
        <v>2.5287358134424877E-3</v>
      </c>
      <c r="X179" s="94">
        <f t="shared" si="453"/>
        <v>0.1076622160688375</v>
      </c>
      <c r="Y179" s="94">
        <f t="shared" si="453"/>
        <v>8.0461622791308321E-2</v>
      </c>
      <c r="Z179" s="94">
        <f t="shared" si="453"/>
        <v>3.5324299197510275E-2</v>
      </c>
      <c r="AA179" s="94">
        <f t="shared" si="453"/>
        <v>7.4181028314771573E-3</v>
      </c>
      <c r="AB179" s="94">
        <f t="shared" si="453"/>
        <v>225.78081788293304</v>
      </c>
      <c r="AC179" s="94">
        <f t="shared" si="453"/>
        <v>1.2901793276284443E-2</v>
      </c>
      <c r="AD179" s="94">
        <f t="shared" si="453"/>
        <v>5.7836014308892143E-3</v>
      </c>
      <c r="AE179" s="69"/>
      <c r="AF179" s="94">
        <f>AF178</f>
        <v>4.965472330891571E-2</v>
      </c>
      <c r="AG179" s="94">
        <f t="shared" ref="AG179:AP179" si="454">AG178</f>
        <v>5.2917818922979795E-2</v>
      </c>
      <c r="AH179" s="94">
        <f t="shared" si="454"/>
        <v>9.6036400331145945E-3</v>
      </c>
      <c r="AI179" s="94">
        <f t="shared" si="454"/>
        <v>2.7816093947867363E-4</v>
      </c>
      <c r="AJ179" s="94">
        <f t="shared" si="454"/>
        <v>1.1842843767572124E-2</v>
      </c>
      <c r="AK179" s="94">
        <f t="shared" si="454"/>
        <v>8.8507785070439139E-3</v>
      </c>
      <c r="AL179" s="94">
        <f t="shared" si="454"/>
        <v>3.8856729117261301E-3</v>
      </c>
      <c r="AM179" s="94">
        <f t="shared" si="454"/>
        <v>8.1599131146248727E-4</v>
      </c>
      <c r="AN179" s="94">
        <f t="shared" si="454"/>
        <v>24.835889967122636</v>
      </c>
      <c r="AO179" s="94">
        <f t="shared" si="454"/>
        <v>1.4191972603912887E-3</v>
      </c>
      <c r="AP179" s="94">
        <f t="shared" si="454"/>
        <v>6.3619615739781354E-4</v>
      </c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</row>
    <row r="180" spans="1:67" x14ac:dyDescent="0.25">
      <c r="A180" s="88"/>
      <c r="B180" s="89"/>
      <c r="C180" s="90"/>
      <c r="D180" s="90"/>
      <c r="E180" s="90"/>
      <c r="F180" s="90"/>
      <c r="G180" s="147"/>
      <c r="H180" s="56"/>
      <c r="I180" s="147"/>
      <c r="J180" s="64"/>
      <c r="K180" s="48"/>
      <c r="L180" s="48"/>
      <c r="M180" s="48"/>
      <c r="N180" s="48"/>
      <c r="O180" s="48"/>
      <c r="P180" s="48"/>
      <c r="Q180" s="64"/>
      <c r="R180" s="64"/>
      <c r="S180" s="6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69"/>
      <c r="AF180" s="59"/>
      <c r="AG180" s="59"/>
      <c r="AH180" s="59"/>
      <c r="AI180" s="59"/>
      <c r="AJ180" s="59"/>
      <c r="AK180" s="59"/>
      <c r="AL180" s="61"/>
      <c r="AM180" s="61"/>
      <c r="AN180" s="63"/>
      <c r="AO180" s="61"/>
      <c r="AP180" s="61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</row>
    <row r="181" spans="1:67" ht="26.4" x14ac:dyDescent="0.25">
      <c r="A181" s="88" t="s">
        <v>232</v>
      </c>
      <c r="B181" s="89"/>
      <c r="C181" s="90"/>
      <c r="D181" s="90"/>
      <c r="E181" s="90"/>
      <c r="F181" s="90"/>
      <c r="G181" s="147"/>
      <c r="H181" s="56"/>
      <c r="I181" s="147"/>
      <c r="J181" s="64"/>
      <c r="K181" s="48"/>
      <c r="L181" s="48"/>
      <c r="M181" s="48"/>
      <c r="N181" s="48"/>
      <c r="O181" s="48"/>
      <c r="P181" s="48"/>
      <c r="Q181" s="64"/>
      <c r="R181" s="64"/>
      <c r="S181" s="6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69"/>
      <c r="AF181" s="59"/>
      <c r="AG181" s="59"/>
      <c r="AH181" s="59"/>
      <c r="AI181" s="59"/>
      <c r="AJ181" s="59"/>
      <c r="AK181" s="59"/>
      <c r="AL181" s="61"/>
      <c r="AM181" s="61"/>
      <c r="AN181" s="63"/>
      <c r="AO181" s="61"/>
      <c r="AP181" s="61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</row>
    <row r="182" spans="1:67" x14ac:dyDescent="0.25">
      <c r="A182" s="91" t="s">
        <v>213</v>
      </c>
      <c r="B182" s="89" t="s">
        <v>107</v>
      </c>
      <c r="C182" s="92">
        <v>4</v>
      </c>
      <c r="D182" s="90">
        <v>2019</v>
      </c>
      <c r="E182" s="90">
        <v>15</v>
      </c>
      <c r="F182" s="90">
        <v>60</v>
      </c>
      <c r="G182" s="145">
        <v>0.495117088409599</v>
      </c>
      <c r="H182" s="145">
        <v>0.55235212666934397</v>
      </c>
      <c r="I182" s="145">
        <v>9.4014833022170702E-2</v>
      </c>
      <c r="J182" s="145">
        <v>3.18613688227605E-3</v>
      </c>
      <c r="K182" s="145">
        <v>7.7197004574779099E-2</v>
      </c>
      <c r="L182" s="56">
        <v>7.99995847163921E-3</v>
      </c>
      <c r="M182" s="56">
        <v>3.6749815577381599E-2</v>
      </c>
      <c r="N182" s="145">
        <v>7.1021248482833699E-2</v>
      </c>
      <c r="O182" s="56">
        <v>1.9999896145790402E-3</v>
      </c>
      <c r="P182" s="56">
        <v>1.57499200131354E-2</v>
      </c>
      <c r="Q182" s="145">
        <v>273.54093417721299</v>
      </c>
      <c r="R182" s="56">
        <f>0.000057143*Q182</f>
        <v>1.5630949601688482E-2</v>
      </c>
      <c r="S182" s="93">
        <f>0.000025616*Q182</f>
        <v>7.0070245698834882E-3</v>
      </c>
      <c r="T182" s="59">
        <f>C182*($F182*$G182)/453.59</f>
        <v>0.26197248885183483</v>
      </c>
      <c r="U182" s="59">
        <f>C182*($F182*$H182)/453.59</f>
        <v>0.29225624550947454</v>
      </c>
      <c r="V182" s="59">
        <f>C182*(($F182*$I182))/453.59</f>
        <v>4.974439455305666E-2</v>
      </c>
      <c r="W182" s="59">
        <f>C182*($F182*$J182)/453.59</f>
        <v>1.6858238756283252E-3</v>
      </c>
      <c r="X182" s="59">
        <f>C182*(($F182*($K182+$L182+$M182)))/453.59</f>
        <v>6.4523527568314948E-2</v>
      </c>
      <c r="Y182" s="59">
        <f>C182*(($F182*($N182+$O182+$P182)))/453.59</f>
        <v>4.6969902216829187E-2</v>
      </c>
      <c r="Z182" s="59">
        <f>C182*(F182)*$B$220</f>
        <v>2.3549532798340184E-2</v>
      </c>
      <c r="AA182" s="59">
        <f>Z182*0.21</f>
        <v>4.9454018876514388E-3</v>
      </c>
      <c r="AB182" s="59">
        <f>C182*(($F182*($Q182)))/453.59</f>
        <v>144.73384378520498</v>
      </c>
      <c r="AC182" s="59">
        <f>C182*(($F182*($R182)))/453.59</f>
        <v>8.2705260354179674E-3</v>
      </c>
      <c r="AD182" s="59">
        <f>C182*(($F182*($S182)))/453.59</f>
        <v>3.7075021424018105E-3</v>
      </c>
      <c r="AE182" s="63">
        <f>5*22</f>
        <v>110</v>
      </c>
      <c r="AF182" s="59">
        <f t="shared" ref="AF182:AM182" si="455">T182*$AE182/2000</f>
        <v>1.4408486886850915E-2</v>
      </c>
      <c r="AG182" s="59">
        <f t="shared" si="455"/>
        <v>1.6074093503021102E-2</v>
      </c>
      <c r="AH182" s="59">
        <f t="shared" si="455"/>
        <v>2.7359417004181163E-3</v>
      </c>
      <c r="AI182" s="59">
        <f t="shared" si="455"/>
        <v>9.2720313159557876E-5</v>
      </c>
      <c r="AJ182" s="59">
        <f t="shared" si="455"/>
        <v>3.548794016257322E-3</v>
      </c>
      <c r="AK182" s="59">
        <f t="shared" si="455"/>
        <v>2.5833446219256052E-3</v>
      </c>
      <c r="AL182" s="59">
        <f t="shared" si="455"/>
        <v>1.29522430390871E-3</v>
      </c>
      <c r="AM182" s="59">
        <f t="shared" si="455"/>
        <v>2.7199710382082916E-4</v>
      </c>
      <c r="AN182" s="59">
        <f t="shared" ref="AN182" si="456">AB182*$AE182/2000</f>
        <v>7.9603614081862739</v>
      </c>
      <c r="AO182" s="59">
        <f t="shared" ref="AO182" si="457">AC182*$AE182/2000</f>
        <v>4.5487893194798821E-4</v>
      </c>
      <c r="AP182" s="59">
        <f t="shared" ref="AP182" si="458">AD182*$AE182/2000</f>
        <v>2.0391261783209958E-4</v>
      </c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</row>
    <row r="183" spans="1:67" x14ac:dyDescent="0.25">
      <c r="A183" s="88" t="s">
        <v>38</v>
      </c>
      <c r="B183" s="89"/>
      <c r="C183" s="90"/>
      <c r="D183" s="90"/>
      <c r="E183" s="90"/>
      <c r="F183" s="90"/>
      <c r="G183" s="147"/>
      <c r="H183" s="56"/>
      <c r="I183" s="147"/>
      <c r="J183" s="64"/>
      <c r="K183" s="48"/>
      <c r="L183" s="48"/>
      <c r="M183" s="48"/>
      <c r="N183" s="48"/>
      <c r="O183" s="48"/>
      <c r="P183" s="48"/>
      <c r="Q183" s="64"/>
      <c r="R183" s="64"/>
      <c r="S183" s="64"/>
      <c r="T183" s="94">
        <f>T182</f>
        <v>0.26197248885183483</v>
      </c>
      <c r="U183" s="94">
        <f t="shared" ref="U183:AD183" si="459">U182</f>
        <v>0.29225624550947454</v>
      </c>
      <c r="V183" s="94">
        <f t="shared" si="459"/>
        <v>4.974439455305666E-2</v>
      </c>
      <c r="W183" s="94">
        <f t="shared" si="459"/>
        <v>1.6858238756283252E-3</v>
      </c>
      <c r="X183" s="94">
        <f t="shared" si="459"/>
        <v>6.4523527568314948E-2</v>
      </c>
      <c r="Y183" s="94">
        <f t="shared" si="459"/>
        <v>4.6969902216829187E-2</v>
      </c>
      <c r="Z183" s="94">
        <f t="shared" si="459"/>
        <v>2.3549532798340184E-2</v>
      </c>
      <c r="AA183" s="94">
        <f t="shared" si="459"/>
        <v>4.9454018876514388E-3</v>
      </c>
      <c r="AB183" s="94">
        <f t="shared" si="459"/>
        <v>144.73384378520498</v>
      </c>
      <c r="AC183" s="94">
        <f t="shared" si="459"/>
        <v>8.2705260354179674E-3</v>
      </c>
      <c r="AD183" s="94">
        <f t="shared" si="459"/>
        <v>3.7075021424018105E-3</v>
      </c>
      <c r="AE183" s="69"/>
      <c r="AF183" s="94">
        <f>AF182</f>
        <v>1.4408486886850915E-2</v>
      </c>
      <c r="AG183" s="94">
        <f t="shared" ref="AG183:AP183" si="460">AG182</f>
        <v>1.6074093503021102E-2</v>
      </c>
      <c r="AH183" s="94">
        <f t="shared" si="460"/>
        <v>2.7359417004181163E-3</v>
      </c>
      <c r="AI183" s="94">
        <f t="shared" si="460"/>
        <v>9.2720313159557876E-5</v>
      </c>
      <c r="AJ183" s="94">
        <f t="shared" si="460"/>
        <v>3.548794016257322E-3</v>
      </c>
      <c r="AK183" s="94">
        <f t="shared" si="460"/>
        <v>2.5833446219256052E-3</v>
      </c>
      <c r="AL183" s="94">
        <f t="shared" si="460"/>
        <v>1.29522430390871E-3</v>
      </c>
      <c r="AM183" s="94">
        <f t="shared" si="460"/>
        <v>2.7199710382082916E-4</v>
      </c>
      <c r="AN183" s="94">
        <f t="shared" si="460"/>
        <v>7.9603614081862739</v>
      </c>
      <c r="AO183" s="94">
        <f t="shared" si="460"/>
        <v>4.5487893194798821E-4</v>
      </c>
      <c r="AP183" s="94">
        <f t="shared" si="460"/>
        <v>2.0391261783209958E-4</v>
      </c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</row>
    <row r="184" spans="1:67" x14ac:dyDescent="0.25">
      <c r="A184" s="88"/>
      <c r="B184" s="89"/>
      <c r="C184" s="90"/>
      <c r="D184" s="90"/>
      <c r="E184" s="90"/>
      <c r="F184" s="90"/>
      <c r="G184" s="147"/>
      <c r="H184" s="56"/>
      <c r="I184" s="147"/>
      <c r="J184" s="64"/>
      <c r="K184" s="48"/>
      <c r="L184" s="48"/>
      <c r="M184" s="48"/>
      <c r="N184" s="48"/>
      <c r="O184" s="48"/>
      <c r="P184" s="48"/>
      <c r="Q184" s="64"/>
      <c r="R184" s="64"/>
      <c r="S184" s="6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69"/>
      <c r="AF184" s="59"/>
      <c r="AG184" s="59"/>
      <c r="AH184" s="59"/>
      <c r="AI184" s="59"/>
      <c r="AJ184" s="59"/>
      <c r="AK184" s="59"/>
      <c r="AL184" s="61"/>
      <c r="AM184" s="61"/>
      <c r="AN184" s="63"/>
      <c r="AO184" s="61"/>
      <c r="AP184" s="61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</row>
    <row r="185" spans="1:67" ht="26.4" x14ac:dyDescent="0.25">
      <c r="A185" s="88" t="s">
        <v>236</v>
      </c>
      <c r="B185" s="89"/>
      <c r="C185" s="90"/>
      <c r="D185" s="90"/>
      <c r="E185" s="90"/>
      <c r="F185" s="90"/>
      <c r="G185" s="147"/>
      <c r="H185" s="56"/>
      <c r="I185" s="147"/>
      <c r="J185" s="64"/>
      <c r="K185" s="48"/>
      <c r="L185" s="48"/>
      <c r="M185" s="48"/>
      <c r="N185" s="48"/>
      <c r="O185" s="48"/>
      <c r="P185" s="48"/>
      <c r="Q185" s="64"/>
      <c r="R185" s="64"/>
      <c r="S185" s="6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69"/>
      <c r="AF185" s="59"/>
      <c r="AG185" s="59"/>
      <c r="AH185" s="59"/>
      <c r="AI185" s="59"/>
      <c r="AJ185" s="59"/>
      <c r="AK185" s="59"/>
      <c r="AL185" s="61"/>
      <c r="AM185" s="61"/>
      <c r="AN185" s="63"/>
      <c r="AO185" s="61"/>
      <c r="AP185" s="61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</row>
    <row r="186" spans="1:67" x14ac:dyDescent="0.25">
      <c r="A186" s="91" t="s">
        <v>213</v>
      </c>
      <c r="B186" s="89" t="s">
        <v>107</v>
      </c>
      <c r="C186" s="92">
        <v>4</v>
      </c>
      <c r="D186" s="90">
        <v>2019</v>
      </c>
      <c r="E186" s="90">
        <v>15</v>
      </c>
      <c r="F186" s="90">
        <v>60</v>
      </c>
      <c r="G186" s="145">
        <v>0.495117088409599</v>
      </c>
      <c r="H186" s="145">
        <v>0.55235212666934397</v>
      </c>
      <c r="I186" s="145">
        <v>9.4014833022170702E-2</v>
      </c>
      <c r="J186" s="145">
        <v>3.18613688227605E-3</v>
      </c>
      <c r="K186" s="145">
        <v>7.7197004574779099E-2</v>
      </c>
      <c r="L186" s="56">
        <v>7.99995847163921E-3</v>
      </c>
      <c r="M186" s="56">
        <v>3.6749815577381599E-2</v>
      </c>
      <c r="N186" s="145">
        <v>7.1021248482833699E-2</v>
      </c>
      <c r="O186" s="56">
        <v>1.9999896145790402E-3</v>
      </c>
      <c r="P186" s="56">
        <v>1.57499200131354E-2</v>
      </c>
      <c r="Q186" s="145">
        <v>273.54093417721299</v>
      </c>
      <c r="R186" s="56">
        <f>0.000057143*Q186</f>
        <v>1.5630949601688482E-2</v>
      </c>
      <c r="S186" s="93">
        <f>0.000025616*Q186</f>
        <v>7.0070245698834882E-3</v>
      </c>
      <c r="T186" s="59">
        <f>C186*($F186*$G186)/453.59</f>
        <v>0.26197248885183483</v>
      </c>
      <c r="U186" s="59">
        <f>C186*($F186*$H186)/453.59</f>
        <v>0.29225624550947454</v>
      </c>
      <c r="V186" s="59">
        <f>C186*(($F186*$I186))/453.59</f>
        <v>4.974439455305666E-2</v>
      </c>
      <c r="W186" s="59">
        <f>C186*($F186*$J186)/453.59</f>
        <v>1.6858238756283252E-3</v>
      </c>
      <c r="X186" s="59">
        <f>C186*(($F186*($K186+$L186+$M186)))/453.59</f>
        <v>6.4523527568314948E-2</v>
      </c>
      <c r="Y186" s="59">
        <f>C186*(($F186*($N186+$O186+$P186)))/453.59</f>
        <v>4.6969902216829187E-2</v>
      </c>
      <c r="Z186" s="59">
        <f>C186*(F186)*$B$220</f>
        <v>2.3549532798340184E-2</v>
      </c>
      <c r="AA186" s="59">
        <f>Z186*0.21</f>
        <v>4.9454018876514388E-3</v>
      </c>
      <c r="AB186" s="59">
        <f>C186*(($F186*($Q186)))/453.59</f>
        <v>144.73384378520498</v>
      </c>
      <c r="AC186" s="59">
        <f>C186*(($F186*($R186)))/453.59</f>
        <v>8.2705260354179674E-3</v>
      </c>
      <c r="AD186" s="59">
        <f>C186*(($F186*($S186)))/453.59</f>
        <v>3.7075021424018105E-3</v>
      </c>
      <c r="AE186" s="63">
        <v>10</v>
      </c>
      <c r="AF186" s="59">
        <f t="shared" ref="AF186:AM186" si="461">T186*$AE186/2000</f>
        <v>1.3098624442591741E-3</v>
      </c>
      <c r="AG186" s="59">
        <f t="shared" si="461"/>
        <v>1.4612812275473727E-3</v>
      </c>
      <c r="AH186" s="59">
        <f t="shared" si="461"/>
        <v>2.4872197276528329E-4</v>
      </c>
      <c r="AI186" s="59">
        <f t="shared" si="461"/>
        <v>8.4291193781416257E-6</v>
      </c>
      <c r="AJ186" s="59">
        <f t="shared" si="461"/>
        <v>3.2261763784157473E-4</v>
      </c>
      <c r="AK186" s="59">
        <f t="shared" si="461"/>
        <v>2.3484951108414593E-4</v>
      </c>
      <c r="AL186" s="59">
        <f t="shared" si="461"/>
        <v>1.1774766399170092E-4</v>
      </c>
      <c r="AM186" s="59">
        <f t="shared" si="461"/>
        <v>2.4727009438257195E-5</v>
      </c>
      <c r="AN186" s="59">
        <f t="shared" ref="AN186" si="462">AB186*$AE186/2000</f>
        <v>0.72366921892602487</v>
      </c>
      <c r="AO186" s="59">
        <f t="shared" ref="AO186" si="463">AC186*$AE186/2000</f>
        <v>4.1352630177089839E-5</v>
      </c>
      <c r="AP186" s="59">
        <f t="shared" ref="AP186" si="464">AD186*$AE186/2000</f>
        <v>1.8537510712009052E-5</v>
      </c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</row>
    <row r="187" spans="1:67" x14ac:dyDescent="0.25">
      <c r="A187" s="88" t="s">
        <v>38</v>
      </c>
      <c r="B187" s="89"/>
      <c r="C187" s="90"/>
      <c r="D187" s="90"/>
      <c r="E187" s="90"/>
      <c r="F187" s="90"/>
      <c r="G187" s="147"/>
      <c r="H187" s="56"/>
      <c r="I187" s="147"/>
      <c r="J187" s="64"/>
      <c r="K187" s="48"/>
      <c r="L187" s="48"/>
      <c r="M187" s="48"/>
      <c r="N187" s="48"/>
      <c r="O187" s="48"/>
      <c r="P187" s="48"/>
      <c r="Q187" s="64"/>
      <c r="R187" s="64"/>
      <c r="S187" s="64"/>
      <c r="T187" s="94">
        <f>T186</f>
        <v>0.26197248885183483</v>
      </c>
      <c r="U187" s="94">
        <f t="shared" ref="U187:AD187" si="465">U186</f>
        <v>0.29225624550947454</v>
      </c>
      <c r="V187" s="94">
        <f t="shared" si="465"/>
        <v>4.974439455305666E-2</v>
      </c>
      <c r="W187" s="94">
        <f t="shared" si="465"/>
        <v>1.6858238756283252E-3</v>
      </c>
      <c r="X187" s="94">
        <f t="shared" si="465"/>
        <v>6.4523527568314948E-2</v>
      </c>
      <c r="Y187" s="94">
        <f t="shared" si="465"/>
        <v>4.6969902216829187E-2</v>
      </c>
      <c r="Z187" s="94">
        <f t="shared" si="465"/>
        <v>2.3549532798340184E-2</v>
      </c>
      <c r="AA187" s="94">
        <f t="shared" si="465"/>
        <v>4.9454018876514388E-3</v>
      </c>
      <c r="AB187" s="94">
        <f t="shared" si="465"/>
        <v>144.73384378520498</v>
      </c>
      <c r="AC187" s="94">
        <f t="shared" si="465"/>
        <v>8.2705260354179674E-3</v>
      </c>
      <c r="AD187" s="94">
        <f t="shared" si="465"/>
        <v>3.7075021424018105E-3</v>
      </c>
      <c r="AE187" s="69"/>
      <c r="AF187" s="94">
        <f>AF186</f>
        <v>1.3098624442591741E-3</v>
      </c>
      <c r="AG187" s="94">
        <f t="shared" ref="AG187:AP187" si="466">AG186</f>
        <v>1.4612812275473727E-3</v>
      </c>
      <c r="AH187" s="94">
        <f t="shared" si="466"/>
        <v>2.4872197276528329E-4</v>
      </c>
      <c r="AI187" s="94">
        <f t="shared" si="466"/>
        <v>8.4291193781416257E-6</v>
      </c>
      <c r="AJ187" s="94">
        <f t="shared" si="466"/>
        <v>3.2261763784157473E-4</v>
      </c>
      <c r="AK187" s="94">
        <f t="shared" si="466"/>
        <v>2.3484951108414593E-4</v>
      </c>
      <c r="AL187" s="94">
        <f t="shared" si="466"/>
        <v>1.1774766399170092E-4</v>
      </c>
      <c r="AM187" s="94">
        <f t="shared" si="466"/>
        <v>2.4727009438257195E-5</v>
      </c>
      <c r="AN187" s="94">
        <f t="shared" si="466"/>
        <v>0.72366921892602487</v>
      </c>
      <c r="AO187" s="94">
        <f t="shared" si="466"/>
        <v>4.1352630177089839E-5</v>
      </c>
      <c r="AP187" s="94">
        <f t="shared" si="466"/>
        <v>1.8537510712009052E-5</v>
      </c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</row>
    <row r="188" spans="1:67" x14ac:dyDescent="0.25">
      <c r="A188" s="88"/>
      <c r="B188" s="89"/>
      <c r="C188" s="90"/>
      <c r="D188" s="90"/>
      <c r="E188" s="90"/>
      <c r="F188" s="90"/>
      <c r="G188" s="147"/>
      <c r="H188" s="56"/>
      <c r="I188" s="147"/>
      <c r="J188" s="64"/>
      <c r="K188" s="48"/>
      <c r="L188" s="48"/>
      <c r="M188" s="48"/>
      <c r="N188" s="48"/>
      <c r="O188" s="48"/>
      <c r="P188" s="48"/>
      <c r="Q188" s="64"/>
      <c r="R188" s="64"/>
      <c r="S188" s="6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69"/>
      <c r="AF188" s="59"/>
      <c r="AG188" s="59"/>
      <c r="AH188" s="59"/>
      <c r="AI188" s="59"/>
      <c r="AJ188" s="59"/>
      <c r="AK188" s="59"/>
      <c r="AL188" s="61"/>
      <c r="AM188" s="61"/>
      <c r="AN188" s="63"/>
      <c r="AO188" s="61"/>
      <c r="AP188" s="61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</row>
    <row r="189" spans="1:67" ht="26.4" x14ac:dyDescent="0.25">
      <c r="A189" s="88" t="s">
        <v>233</v>
      </c>
      <c r="B189" s="89"/>
      <c r="C189" s="90"/>
      <c r="D189" s="90"/>
      <c r="E189" s="90"/>
      <c r="F189" s="90"/>
      <c r="G189" s="147"/>
      <c r="H189" s="56"/>
      <c r="I189" s="147"/>
      <c r="J189" s="64"/>
      <c r="K189" s="48"/>
      <c r="L189" s="48"/>
      <c r="M189" s="48"/>
      <c r="N189" s="48"/>
      <c r="O189" s="48"/>
      <c r="P189" s="48"/>
      <c r="Q189" s="64"/>
      <c r="R189" s="64"/>
      <c r="S189" s="6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69"/>
      <c r="AF189" s="59"/>
      <c r="AG189" s="59"/>
      <c r="AH189" s="59"/>
      <c r="AI189" s="59"/>
      <c r="AJ189" s="59"/>
      <c r="AK189" s="59"/>
      <c r="AL189" s="61"/>
      <c r="AM189" s="61"/>
      <c r="AN189" s="63"/>
      <c r="AO189" s="61"/>
      <c r="AP189" s="61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</row>
    <row r="190" spans="1:67" x14ac:dyDescent="0.25">
      <c r="A190" s="91" t="s">
        <v>213</v>
      </c>
      <c r="B190" s="89" t="s">
        <v>107</v>
      </c>
      <c r="C190" s="92">
        <v>4</v>
      </c>
      <c r="D190" s="90">
        <v>2020</v>
      </c>
      <c r="E190" s="90">
        <v>15</v>
      </c>
      <c r="F190" s="90">
        <v>60</v>
      </c>
      <c r="G190" s="145">
        <v>0.446217541419338</v>
      </c>
      <c r="H190" s="145">
        <v>0.51866314808008496</v>
      </c>
      <c r="I190" s="145">
        <v>8.3875569462970104E-2</v>
      </c>
      <c r="J190" s="145">
        <v>3.18613688227605E-3</v>
      </c>
      <c r="K190" s="145">
        <v>6.7930538389187098E-2</v>
      </c>
      <c r="L190" s="56">
        <v>7.99995847163921E-3</v>
      </c>
      <c r="M190" s="56">
        <v>3.6749815577381599E-2</v>
      </c>
      <c r="N190" s="145">
        <v>6.2496100790764599E-2</v>
      </c>
      <c r="O190" s="56">
        <v>1.9999896145790402E-3</v>
      </c>
      <c r="P190" s="56">
        <v>1.57499200131354E-2</v>
      </c>
      <c r="Q190" s="145">
        <v>263.10176198027398</v>
      </c>
      <c r="R190" s="56">
        <f>0.000057143*Q190</f>
        <v>1.5034423984838795E-2</v>
      </c>
      <c r="S190" s="93">
        <f>0.000025616*Q190</f>
        <v>6.739614734886698E-3</v>
      </c>
      <c r="T190" s="59">
        <f>C190*($F190*$G190)/453.59</f>
        <v>0.23609914226645456</v>
      </c>
      <c r="U190" s="59">
        <f>C190*($F190*$H190)/453.59</f>
        <v>0.27443099614017152</v>
      </c>
      <c r="V190" s="59">
        <f>C190*(($F190*$I190))/453.59</f>
        <v>4.4379586567412921E-2</v>
      </c>
      <c r="W190" s="59">
        <f>C190*($F190*$J190)/453.59</f>
        <v>1.6858238756283252E-3</v>
      </c>
      <c r="X190" s="59">
        <f>C190*(($F190*($K190+$L190+$M190)))/453.59</f>
        <v>5.962052731579158E-2</v>
      </c>
      <c r="Y190" s="59">
        <f>C190*(($F190*($N190+$O190+$P190)))/453.59</f>
        <v>4.2459142618741529E-2</v>
      </c>
      <c r="Z190" s="59">
        <f>C190*(F190)*$B$220</f>
        <v>2.3549532798340184E-2</v>
      </c>
      <c r="AA190" s="59">
        <f>Z190*0.21</f>
        <v>4.9454018876514388E-3</v>
      </c>
      <c r="AB190" s="59">
        <f>C190*(($F190*($Q190)))/453.59</f>
        <v>139.21035048229845</v>
      </c>
      <c r="AC190" s="59">
        <f>C190*(($F190*($R190)))/453.59</f>
        <v>7.9548970576099817E-3</v>
      </c>
      <c r="AD190" s="59">
        <f>C190*(($F190*($S190)))/453.59</f>
        <v>3.566012337954557E-3</v>
      </c>
      <c r="AE190" s="63">
        <v>22</v>
      </c>
      <c r="AF190" s="59">
        <f t="shared" ref="AF190:AM190" si="467">T190*$AE190/2000</f>
        <v>2.5970905649310002E-3</v>
      </c>
      <c r="AG190" s="59">
        <f t="shared" si="467"/>
        <v>3.0187409575418867E-3</v>
      </c>
      <c r="AH190" s="59">
        <f t="shared" si="467"/>
        <v>4.8817545224154216E-4</v>
      </c>
      <c r="AI190" s="59">
        <f t="shared" si="467"/>
        <v>1.854406263191158E-5</v>
      </c>
      <c r="AJ190" s="59">
        <f t="shared" si="467"/>
        <v>6.5582580047370746E-4</v>
      </c>
      <c r="AK190" s="59">
        <f t="shared" si="467"/>
        <v>4.6705056880615679E-4</v>
      </c>
      <c r="AL190" s="59">
        <f t="shared" si="467"/>
        <v>2.5904486078174205E-4</v>
      </c>
      <c r="AM190" s="59">
        <f t="shared" si="467"/>
        <v>5.4399420764165824E-5</v>
      </c>
      <c r="AN190" s="59">
        <f t="shared" ref="AN190" si="468">AB190*$AE190/2000</f>
        <v>1.531313855305283</v>
      </c>
      <c r="AO190" s="59">
        <f t="shared" ref="AO190" si="469">AC190*$AE190/2000</f>
        <v>8.7503867633709797E-5</v>
      </c>
      <c r="AP190" s="59">
        <f t="shared" ref="AP190" si="470">AD190*$AE190/2000</f>
        <v>3.9226135717500125E-5</v>
      </c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</row>
    <row r="191" spans="1:67" x14ac:dyDescent="0.25">
      <c r="A191" s="88" t="s">
        <v>38</v>
      </c>
      <c r="B191" s="89"/>
      <c r="C191" s="90"/>
      <c r="D191" s="90"/>
      <c r="E191" s="90"/>
      <c r="F191" s="90"/>
      <c r="G191" s="147"/>
      <c r="H191" s="56"/>
      <c r="I191" s="147"/>
      <c r="J191" s="64"/>
      <c r="K191" s="48"/>
      <c r="L191" s="48"/>
      <c r="M191" s="48"/>
      <c r="N191" s="48"/>
      <c r="O191" s="48"/>
      <c r="P191" s="48"/>
      <c r="Q191" s="64"/>
      <c r="R191" s="64"/>
      <c r="S191" s="64"/>
      <c r="T191" s="94">
        <f>T190</f>
        <v>0.23609914226645456</v>
      </c>
      <c r="U191" s="94">
        <f t="shared" ref="U191:AD191" si="471">U190</f>
        <v>0.27443099614017152</v>
      </c>
      <c r="V191" s="94">
        <f t="shared" si="471"/>
        <v>4.4379586567412921E-2</v>
      </c>
      <c r="W191" s="94">
        <f t="shared" si="471"/>
        <v>1.6858238756283252E-3</v>
      </c>
      <c r="X191" s="94">
        <f t="shared" si="471"/>
        <v>5.962052731579158E-2</v>
      </c>
      <c r="Y191" s="94">
        <f t="shared" si="471"/>
        <v>4.2459142618741529E-2</v>
      </c>
      <c r="Z191" s="94">
        <f t="shared" si="471"/>
        <v>2.3549532798340184E-2</v>
      </c>
      <c r="AA191" s="94">
        <f t="shared" si="471"/>
        <v>4.9454018876514388E-3</v>
      </c>
      <c r="AB191" s="94">
        <f t="shared" si="471"/>
        <v>139.21035048229845</v>
      </c>
      <c r="AC191" s="94">
        <f t="shared" si="471"/>
        <v>7.9548970576099817E-3</v>
      </c>
      <c r="AD191" s="94">
        <f t="shared" si="471"/>
        <v>3.566012337954557E-3</v>
      </c>
      <c r="AE191" s="69"/>
      <c r="AF191" s="94">
        <f>AF190</f>
        <v>2.5970905649310002E-3</v>
      </c>
      <c r="AG191" s="94">
        <f t="shared" ref="AG191:AP191" si="472">AG190</f>
        <v>3.0187409575418867E-3</v>
      </c>
      <c r="AH191" s="94">
        <f t="shared" si="472"/>
        <v>4.8817545224154216E-4</v>
      </c>
      <c r="AI191" s="94">
        <f t="shared" si="472"/>
        <v>1.854406263191158E-5</v>
      </c>
      <c r="AJ191" s="94">
        <f t="shared" si="472"/>
        <v>6.5582580047370746E-4</v>
      </c>
      <c r="AK191" s="94">
        <f t="shared" si="472"/>
        <v>4.6705056880615679E-4</v>
      </c>
      <c r="AL191" s="94">
        <f t="shared" si="472"/>
        <v>2.5904486078174205E-4</v>
      </c>
      <c r="AM191" s="94">
        <f t="shared" si="472"/>
        <v>5.4399420764165824E-5</v>
      </c>
      <c r="AN191" s="94">
        <f t="shared" si="472"/>
        <v>1.531313855305283</v>
      </c>
      <c r="AO191" s="94">
        <f t="shared" si="472"/>
        <v>8.7503867633709797E-5</v>
      </c>
      <c r="AP191" s="94">
        <f t="shared" si="472"/>
        <v>3.9226135717500125E-5</v>
      </c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</row>
    <row r="192" spans="1:67" x14ac:dyDescent="0.25">
      <c r="A192" s="88"/>
      <c r="B192" s="89"/>
      <c r="C192" s="90"/>
      <c r="D192" s="90"/>
      <c r="E192" s="90"/>
      <c r="F192" s="90"/>
      <c r="G192" s="167"/>
      <c r="H192" s="55"/>
      <c r="I192" s="168"/>
      <c r="J192" s="169"/>
      <c r="K192" s="48"/>
      <c r="L192" s="48"/>
      <c r="M192" s="48"/>
      <c r="N192" s="48"/>
      <c r="O192" s="48"/>
      <c r="P192" s="48"/>
      <c r="Q192" s="169"/>
      <c r="R192" s="64"/>
      <c r="S192" s="6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69"/>
      <c r="AF192" s="59"/>
      <c r="AG192" s="59"/>
      <c r="AH192" s="59"/>
      <c r="AI192" s="59"/>
      <c r="AJ192" s="59"/>
      <c r="AK192" s="59"/>
      <c r="AL192" s="61"/>
      <c r="AM192" s="61"/>
      <c r="AN192" s="63"/>
      <c r="AO192" s="61"/>
      <c r="AP192" s="61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</row>
    <row r="193" spans="1:67" x14ac:dyDescent="0.25">
      <c r="A193" s="88"/>
      <c r="B193" s="89"/>
      <c r="C193" s="90"/>
      <c r="D193" s="90"/>
      <c r="E193" s="90"/>
      <c r="F193" s="90"/>
      <c r="G193" s="147"/>
      <c r="H193" s="57"/>
      <c r="I193" s="147"/>
      <c r="J193" s="139"/>
      <c r="K193" s="48"/>
      <c r="L193" s="48"/>
      <c r="M193" s="48"/>
      <c r="N193" s="48"/>
      <c r="O193" s="48"/>
      <c r="P193" s="48"/>
      <c r="Q193" s="139"/>
      <c r="R193" s="64"/>
      <c r="S193" s="64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69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</row>
    <row r="194" spans="1:67" x14ac:dyDescent="0.25">
      <c r="R194" s="101"/>
      <c r="S194" s="70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</row>
    <row r="195" spans="1:67" x14ac:dyDescent="0.25">
      <c r="R195" s="101"/>
      <c r="S195" s="70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</row>
    <row r="196" spans="1:67" x14ac:dyDescent="0.25"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100"/>
      <c r="AF196" s="70"/>
      <c r="AG196" s="70"/>
      <c r="AH196" s="70"/>
      <c r="AI196" s="70"/>
      <c r="AJ196" s="70"/>
      <c r="AK196" s="70"/>
      <c r="AL196" s="70"/>
      <c r="AM196" s="70"/>
      <c r="AN196" s="10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</row>
    <row r="197" spans="1:67" x14ac:dyDescent="0.25"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100"/>
      <c r="AF197" s="70"/>
      <c r="AG197" s="70"/>
      <c r="AH197" s="70"/>
      <c r="AI197" s="70"/>
      <c r="AJ197" s="70"/>
      <c r="AK197" s="70"/>
      <c r="AL197" s="70"/>
      <c r="AM197" s="70"/>
      <c r="AN197" s="10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</row>
    <row r="198" spans="1:67" x14ac:dyDescent="0.25"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100"/>
      <c r="AF198" s="70"/>
      <c r="AG198" s="70"/>
      <c r="AH198" s="70"/>
      <c r="AI198" s="70"/>
      <c r="AJ198" s="70"/>
      <c r="AK198" s="70"/>
      <c r="AL198" s="70"/>
      <c r="AM198" s="70"/>
      <c r="AN198" s="10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</row>
    <row r="199" spans="1:67" x14ac:dyDescent="0.25"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100"/>
      <c r="AF199" s="70"/>
      <c r="AG199" s="70"/>
      <c r="AH199" s="70"/>
      <c r="AI199" s="70"/>
      <c r="AJ199" s="70"/>
      <c r="AK199" s="70"/>
      <c r="AL199" s="70"/>
      <c r="AM199" s="70"/>
      <c r="AN199" s="10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</row>
    <row r="200" spans="1:67" x14ac:dyDescent="0.25"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100"/>
      <c r="AF200" s="70"/>
      <c r="AG200" s="70"/>
      <c r="AH200" s="70"/>
      <c r="AI200" s="70"/>
      <c r="AJ200" s="70"/>
      <c r="AK200" s="70"/>
      <c r="AL200" s="70"/>
      <c r="AM200" s="70"/>
      <c r="AN200" s="10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</row>
    <row r="201" spans="1:67" x14ac:dyDescent="0.25"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100"/>
      <c r="AF201" s="70"/>
      <c r="AG201" s="70"/>
      <c r="AH201" s="70"/>
      <c r="AI201" s="70"/>
      <c r="AJ201" s="70"/>
      <c r="AK201" s="70"/>
      <c r="AL201" s="70"/>
      <c r="AM201" s="70"/>
      <c r="AN201" s="10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</row>
    <row r="202" spans="1:67" ht="15.6" x14ac:dyDescent="0.35">
      <c r="A202" s="730" t="s">
        <v>353</v>
      </c>
      <c r="B202" s="730" t="s">
        <v>63</v>
      </c>
      <c r="C202" s="730" t="s">
        <v>130</v>
      </c>
      <c r="D202" s="86"/>
      <c r="E202" s="86" t="s">
        <v>64</v>
      </c>
      <c r="F202" s="86" t="s">
        <v>65</v>
      </c>
      <c r="G202" s="173" t="s">
        <v>66</v>
      </c>
      <c r="H202" s="173" t="s">
        <v>67</v>
      </c>
      <c r="I202" s="172" t="s">
        <v>68</v>
      </c>
      <c r="J202" s="173" t="s">
        <v>69</v>
      </c>
      <c r="K202" s="720" t="s">
        <v>70</v>
      </c>
      <c r="L202" s="733"/>
      <c r="M202" s="733"/>
      <c r="N202" s="720" t="s">
        <v>71</v>
      </c>
      <c r="O202" s="733"/>
      <c r="P202" s="733"/>
      <c r="Q202" s="173" t="s">
        <v>72</v>
      </c>
      <c r="R202" s="172" t="s">
        <v>73</v>
      </c>
      <c r="S202" s="172" t="s">
        <v>74</v>
      </c>
      <c r="T202" s="715" t="s">
        <v>75</v>
      </c>
      <c r="U202" s="724"/>
      <c r="V202" s="724"/>
      <c r="W202" s="724"/>
      <c r="X202" s="724"/>
      <c r="Y202" s="725"/>
      <c r="Z202" s="725"/>
      <c r="AA202" s="725"/>
      <c r="AB202" s="725"/>
      <c r="AC202" s="725"/>
      <c r="AD202" s="717"/>
      <c r="AE202" s="69"/>
      <c r="AF202" s="726" t="s">
        <v>76</v>
      </c>
      <c r="AG202" s="727"/>
      <c r="AH202" s="727"/>
      <c r="AI202" s="727"/>
      <c r="AJ202" s="727"/>
      <c r="AK202" s="728"/>
      <c r="AL202" s="728"/>
      <c r="AM202" s="728"/>
      <c r="AN202" s="728"/>
      <c r="AO202" s="728"/>
      <c r="AP202" s="729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</row>
    <row r="203" spans="1:67" ht="66" x14ac:dyDescent="0.25">
      <c r="A203" s="731"/>
      <c r="B203" s="731"/>
      <c r="C203" s="732"/>
      <c r="D203" s="582" t="s">
        <v>575</v>
      </c>
      <c r="E203" s="87" t="s">
        <v>78</v>
      </c>
      <c r="F203" s="87" t="s">
        <v>79</v>
      </c>
      <c r="G203" s="174" t="s">
        <v>80</v>
      </c>
      <c r="H203" s="50" t="s">
        <v>80</v>
      </c>
      <c r="I203" s="50" t="s">
        <v>80</v>
      </c>
      <c r="J203" s="50" t="s">
        <v>80</v>
      </c>
      <c r="K203" s="172" t="s">
        <v>80</v>
      </c>
      <c r="L203" s="172" t="s">
        <v>82</v>
      </c>
      <c r="M203" s="172" t="s">
        <v>83</v>
      </c>
      <c r="N203" s="172" t="s">
        <v>80</v>
      </c>
      <c r="O203" s="172" t="s">
        <v>82</v>
      </c>
      <c r="P203" s="172" t="s">
        <v>83</v>
      </c>
      <c r="Q203" s="50" t="s">
        <v>80</v>
      </c>
      <c r="R203" s="172" t="s">
        <v>80</v>
      </c>
      <c r="S203" s="172" t="s">
        <v>80</v>
      </c>
      <c r="T203" s="74" t="s">
        <v>66</v>
      </c>
      <c r="U203" s="74" t="s">
        <v>84</v>
      </c>
      <c r="V203" s="74" t="s">
        <v>85</v>
      </c>
      <c r="W203" s="74" t="s">
        <v>69</v>
      </c>
      <c r="X203" s="74" t="s">
        <v>70</v>
      </c>
      <c r="Y203" s="74" t="s">
        <v>71</v>
      </c>
      <c r="Z203" s="75" t="s">
        <v>86</v>
      </c>
      <c r="AA203" s="75" t="s">
        <v>87</v>
      </c>
      <c r="AB203" s="75" t="s">
        <v>72</v>
      </c>
      <c r="AC203" s="75" t="s">
        <v>73</v>
      </c>
      <c r="AD203" s="75" t="s">
        <v>74</v>
      </c>
      <c r="AE203" s="52" t="s">
        <v>355</v>
      </c>
      <c r="AF203" s="74" t="s">
        <v>66</v>
      </c>
      <c r="AG203" s="74" t="s">
        <v>84</v>
      </c>
      <c r="AH203" s="74" t="s">
        <v>85</v>
      </c>
      <c r="AI203" s="74" t="s">
        <v>69</v>
      </c>
      <c r="AJ203" s="74" t="s">
        <v>70</v>
      </c>
      <c r="AK203" s="74" t="s">
        <v>71</v>
      </c>
      <c r="AL203" s="75" t="s">
        <v>86</v>
      </c>
      <c r="AM203" s="75" t="s">
        <v>87</v>
      </c>
      <c r="AN203" s="76" t="s">
        <v>72</v>
      </c>
      <c r="AO203" s="74" t="s">
        <v>73</v>
      </c>
      <c r="AP203" s="74" t="s">
        <v>74</v>
      </c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</row>
    <row r="204" spans="1:67" x14ac:dyDescent="0.25">
      <c r="A204" s="177" t="s">
        <v>354</v>
      </c>
      <c r="B204" s="87"/>
      <c r="C204" s="166"/>
      <c r="D204" s="166"/>
      <c r="E204" s="87"/>
      <c r="F204" s="87"/>
      <c r="G204" s="174"/>
      <c r="H204" s="50"/>
      <c r="I204" s="50"/>
      <c r="J204" s="50"/>
      <c r="K204" s="172"/>
      <c r="L204" s="172"/>
      <c r="M204" s="172"/>
      <c r="N204" s="172"/>
      <c r="O204" s="172"/>
      <c r="P204" s="172"/>
      <c r="Q204" s="50"/>
      <c r="R204" s="172"/>
      <c r="S204" s="172"/>
      <c r="T204" s="74"/>
      <c r="U204" s="74"/>
      <c r="V204" s="74"/>
      <c r="W204" s="74"/>
      <c r="X204" s="74"/>
      <c r="Y204" s="74"/>
      <c r="Z204" s="75"/>
      <c r="AA204" s="75"/>
      <c r="AB204" s="75"/>
      <c r="AC204" s="75"/>
      <c r="AD204" s="75"/>
      <c r="AE204" s="52"/>
      <c r="AF204" s="74"/>
      <c r="AG204" s="74"/>
      <c r="AH204" s="74"/>
      <c r="AI204" s="74"/>
      <c r="AJ204" s="74"/>
      <c r="AK204" s="74"/>
      <c r="AL204" s="75"/>
      <c r="AM204" s="75"/>
      <c r="AN204" s="76"/>
      <c r="AO204" s="74"/>
      <c r="AP204" s="74"/>
    </row>
    <row r="205" spans="1:67" x14ac:dyDescent="0.25">
      <c r="A205" s="91" t="s">
        <v>114</v>
      </c>
      <c r="B205" s="89" t="s">
        <v>107</v>
      </c>
      <c r="C205" s="92">
        <v>2</v>
      </c>
      <c r="D205" s="90">
        <v>2020</v>
      </c>
      <c r="E205" s="90">
        <v>15</v>
      </c>
      <c r="F205" s="90">
        <v>60</v>
      </c>
      <c r="G205" s="145">
        <v>0.446217541419338</v>
      </c>
      <c r="H205" s="145">
        <v>0.51866314808008496</v>
      </c>
      <c r="I205" s="145">
        <v>8.3875569462970104E-2</v>
      </c>
      <c r="J205" s="145">
        <v>3.18613688227605E-3</v>
      </c>
      <c r="K205" s="145">
        <v>6.7930538389187098E-2</v>
      </c>
      <c r="L205" s="56">
        <v>7.99995847163921E-3</v>
      </c>
      <c r="M205" s="56">
        <v>3.6749815577381599E-2</v>
      </c>
      <c r="N205" s="145">
        <v>6.2496100790764599E-2</v>
      </c>
      <c r="O205" s="56">
        <v>1.9999896145790402E-3</v>
      </c>
      <c r="P205" s="56">
        <v>1.57499200131354E-2</v>
      </c>
      <c r="Q205" s="145">
        <v>263.10176198027398</v>
      </c>
      <c r="R205" s="56">
        <f>0.000057143*Q205</f>
        <v>1.5034423984838795E-2</v>
      </c>
      <c r="S205" s="93">
        <f>0.000025616*Q205</f>
        <v>6.739614734886698E-3</v>
      </c>
      <c r="T205" s="59">
        <f>C205*($F205*$G205)/453.59</f>
        <v>0.11804957113322728</v>
      </c>
      <c r="U205" s="59">
        <f>C205*($F205*$H205)/453.59</f>
        <v>0.13721549807008576</v>
      </c>
      <c r="V205" s="59">
        <f>C205*(($F205*$I205))/453.59</f>
        <v>2.218979328370646E-2</v>
      </c>
      <c r="W205" s="59">
        <f>C205*($F205*$J205)/453.59</f>
        <v>8.429119378141626E-4</v>
      </c>
      <c r="X205" s="59">
        <f>C205*(($F205*($K205+$L205+$M205)))/453.59</f>
        <v>2.981026365789579E-2</v>
      </c>
      <c r="Y205" s="59">
        <f>C205*(($F205*($N205+$O205+$P205)))/453.59</f>
        <v>2.1229571309370764E-2</v>
      </c>
      <c r="Z205" s="59">
        <f>C205*(F205)*$B$220</f>
        <v>1.1774766399170092E-2</v>
      </c>
      <c r="AA205" s="59">
        <f>Z205*0.21</f>
        <v>2.4727009438257194E-3</v>
      </c>
      <c r="AB205" s="59">
        <f>C205*(($F205*($Q205)))/453.59</f>
        <v>69.605175241149226</v>
      </c>
      <c r="AC205" s="59">
        <f>C205*(($F205*($R205)))/453.59</f>
        <v>3.9774485288049909E-3</v>
      </c>
      <c r="AD205" s="59">
        <f>C205*(($F205*($S205)))/453.59</f>
        <v>1.7830061689772785E-3</v>
      </c>
      <c r="AE205" s="63">
        <v>30</v>
      </c>
      <c r="AF205" s="59">
        <f t="shared" ref="AF205" si="473">T205*$AE205/2000</f>
        <v>1.7707435669984093E-3</v>
      </c>
      <c r="AG205" s="59">
        <f t="shared" ref="AG205" si="474">U205*$AE205/2000</f>
        <v>2.0582324710512862E-3</v>
      </c>
      <c r="AH205" s="59">
        <f t="shared" ref="AH205" si="475">V205*$AE205/2000</f>
        <v>3.3284689925559688E-4</v>
      </c>
      <c r="AI205" s="59">
        <f t="shared" ref="AI205" si="476">W205*$AE205/2000</f>
        <v>1.2643679067212439E-5</v>
      </c>
      <c r="AJ205" s="59">
        <f t="shared" ref="AJ205" si="477">X205*$AE205/2000</f>
        <v>4.4715395486843686E-4</v>
      </c>
      <c r="AK205" s="59">
        <f t="shared" ref="AK205" si="478">Y205*$AE205/2000</f>
        <v>3.1844356964056146E-4</v>
      </c>
      <c r="AL205" s="59">
        <f t="shared" ref="AL205" si="479">Z205*$AE205/2000</f>
        <v>1.7662149598755139E-4</v>
      </c>
      <c r="AM205" s="59">
        <f t="shared" ref="AM205" si="480">AA205*$AE205/2000</f>
        <v>3.7090514157385788E-5</v>
      </c>
      <c r="AN205" s="59">
        <f t="shared" ref="AN205" si="481">AB205*$AE205/2000</f>
        <v>1.0440776286172384</v>
      </c>
      <c r="AO205" s="219">
        <f t="shared" ref="AO205" si="482">AC205*$AE205/2000</f>
        <v>5.9661727932074858E-5</v>
      </c>
      <c r="AP205" s="219">
        <f t="shared" ref="AP205" si="483">AD205*$AE205/2000</f>
        <v>2.6745092534659177E-5</v>
      </c>
    </row>
    <row r="210" spans="1:2" ht="26.4" x14ac:dyDescent="0.25">
      <c r="A210" s="96" t="s">
        <v>133</v>
      </c>
    </row>
    <row r="212" spans="1:2" x14ac:dyDescent="0.25">
      <c r="A212" s="41" t="s">
        <v>93</v>
      </c>
    </row>
    <row r="213" spans="1:2" x14ac:dyDescent="0.25">
      <c r="A213" s="41" t="s">
        <v>94</v>
      </c>
    </row>
    <row r="214" spans="1:2" x14ac:dyDescent="0.25">
      <c r="A214" s="41" t="s">
        <v>95</v>
      </c>
    </row>
    <row r="215" spans="1:2" x14ac:dyDescent="0.25">
      <c r="A215" s="42" t="s">
        <v>108</v>
      </c>
    </row>
    <row r="216" spans="1:2" x14ac:dyDescent="0.25">
      <c r="A216" s="41" t="s">
        <v>97</v>
      </c>
    </row>
    <row r="217" spans="1:2" x14ac:dyDescent="0.25">
      <c r="A217" s="41" t="s">
        <v>98</v>
      </c>
    </row>
    <row r="218" spans="1:2" x14ac:dyDescent="0.25">
      <c r="A218" s="41" t="s">
        <v>99</v>
      </c>
    </row>
    <row r="219" spans="1:2" x14ac:dyDescent="0.25">
      <c r="A219" s="41" t="s">
        <v>0</v>
      </c>
    </row>
    <row r="220" spans="1:2" x14ac:dyDescent="0.25">
      <c r="A220" s="42" t="s">
        <v>109</v>
      </c>
      <c r="B220" s="41">
        <f>(0.016*(0.03/2)^0.65*(2/3)^1.5)-0.00047</f>
        <v>9.8123053326417428E-5</v>
      </c>
    </row>
    <row r="221" spans="1:2" x14ac:dyDescent="0.25">
      <c r="A221" s="42" t="s">
        <v>110</v>
      </c>
      <c r="B221" s="41">
        <f>(0.016*(0.03/2)^0.65*(13/3)^1.5)-0.00047</f>
        <v>8.9448292388582783E-3</v>
      </c>
    </row>
    <row r="222" spans="1:2" x14ac:dyDescent="0.25">
      <c r="A222" s="42" t="s">
        <v>111</v>
      </c>
      <c r="B222" s="41">
        <f>(0.016*(0.03/2)^0.65*(20/3)^1.5)-0.00047</f>
        <v>1.7495628397607786E-2</v>
      </c>
    </row>
  </sheetData>
  <mergeCells count="14">
    <mergeCell ref="AF6:AP6"/>
    <mergeCell ref="T6:AD6"/>
    <mergeCell ref="K6:M6"/>
    <mergeCell ref="N6:P6"/>
    <mergeCell ref="A6:A7"/>
    <mergeCell ref="B6:B7"/>
    <mergeCell ref="C6:C7"/>
    <mergeCell ref="T202:AD202"/>
    <mergeCell ref="AF202:AP202"/>
    <mergeCell ref="A202:A203"/>
    <mergeCell ref="B202:B203"/>
    <mergeCell ref="C202:C203"/>
    <mergeCell ref="K202:M202"/>
    <mergeCell ref="N202:P202"/>
  </mergeCells>
  <pageMargins left="0.75" right="0.75" top="1" bottom="1" header="0.5" footer="0.5"/>
  <pageSetup scale="10" firstPageNumber="17" orientation="landscape" useFirstPageNumber="1" r:id="rId1"/>
  <headerFooter alignWithMargins="0">
    <oddHeader>&amp;CTable A-12
Construction and Operational Truck Trip Emissions
South Orange County Reliability Project</oddHeader>
    <oddFooter>&amp;CA-12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Q342"/>
  <sheetViews>
    <sheetView view="pageBreakPreview" topLeftCell="F1" zoomScale="75" zoomScaleNormal="80" zoomScaleSheetLayoutView="75" workbookViewId="0">
      <selection activeCell="M19" sqref="M19"/>
    </sheetView>
  </sheetViews>
  <sheetFormatPr defaultColWidth="9.109375" defaultRowHeight="14.4" x14ac:dyDescent="0.3"/>
  <cols>
    <col min="1" max="1" width="30.88671875" style="220" customWidth="1"/>
    <col min="2" max="2" width="9.6640625" style="220" customWidth="1"/>
    <col min="3" max="3" width="9" style="220" customWidth="1"/>
    <col min="4" max="5" width="11.6640625" style="220" customWidth="1"/>
    <col min="6" max="6" width="9.5546875" style="220" customWidth="1"/>
    <col min="7" max="7" width="10.6640625" style="220" customWidth="1"/>
    <col min="8" max="8" width="11.6640625" style="220" customWidth="1"/>
    <col min="9" max="9" width="4.109375" style="220" customWidth="1"/>
    <col min="10" max="15" width="12.5546875" style="220" customWidth="1"/>
    <col min="16" max="21" width="10.6640625" style="220" customWidth="1"/>
    <col min="22" max="22" width="9.44140625" style="220" hidden="1" customWidth="1"/>
    <col min="23" max="23" width="0" style="221" hidden="1" customWidth="1"/>
    <col min="24" max="69" width="9.109375" style="221"/>
    <col min="70" max="16384" width="9.109375" style="220"/>
  </cols>
  <sheetData>
    <row r="1" spans="1:69" s="221" customFormat="1" x14ac:dyDescent="0.3">
      <c r="A1" s="294" t="s">
        <v>377</v>
      </c>
      <c r="J1" s="293" t="s">
        <v>362</v>
      </c>
      <c r="K1" s="292" t="s">
        <v>361</v>
      </c>
      <c r="L1" s="290" t="s">
        <v>360</v>
      </c>
      <c r="M1" s="291" t="s">
        <v>66</v>
      </c>
      <c r="N1" s="290" t="s">
        <v>359</v>
      </c>
      <c r="O1" s="289" t="s">
        <v>72</v>
      </c>
      <c r="P1" s="293" t="s">
        <v>362</v>
      </c>
      <c r="Q1" s="292" t="s">
        <v>361</v>
      </c>
      <c r="R1" s="290" t="s">
        <v>360</v>
      </c>
      <c r="S1" s="291" t="s">
        <v>66</v>
      </c>
      <c r="T1" s="290" t="s">
        <v>359</v>
      </c>
      <c r="U1" s="289" t="s">
        <v>72</v>
      </c>
      <c r="V1" s="288" t="s">
        <v>73</v>
      </c>
      <c r="W1" s="287" t="s">
        <v>74</v>
      </c>
    </row>
    <row r="2" spans="1:69" s="221" customFormat="1" ht="15" thickBot="1" x14ac:dyDescent="0.35">
      <c r="A2" s="286" t="s">
        <v>429</v>
      </c>
      <c r="J2" s="370" t="s">
        <v>430</v>
      </c>
      <c r="K2" s="371" t="s">
        <v>430</v>
      </c>
      <c r="L2" s="371" t="s">
        <v>430</v>
      </c>
      <c r="M2" s="371" t="s">
        <v>430</v>
      </c>
      <c r="N2" s="371" t="s">
        <v>430</v>
      </c>
      <c r="O2" s="372" t="s">
        <v>430</v>
      </c>
      <c r="P2" s="285" t="s">
        <v>358</v>
      </c>
      <c r="Q2" s="284" t="s">
        <v>358</v>
      </c>
      <c r="R2" s="283" t="s">
        <v>358</v>
      </c>
      <c r="S2" s="284" t="s">
        <v>358</v>
      </c>
      <c r="T2" s="283" t="s">
        <v>358</v>
      </c>
      <c r="U2" s="282" t="s">
        <v>358</v>
      </c>
      <c r="V2" s="281" t="s">
        <v>358</v>
      </c>
      <c r="W2" s="280" t="s">
        <v>358</v>
      </c>
    </row>
    <row r="3" spans="1:69" s="221" customFormat="1" ht="15" thickBot="1" x14ac:dyDescent="0.35">
      <c r="A3" s="273" t="s">
        <v>376</v>
      </c>
      <c r="D3" s="273"/>
      <c r="J3" s="279">
        <f t="shared" ref="J3:U3" si="0">SUM(J11:J12)</f>
        <v>66.887438003316817</v>
      </c>
      <c r="K3" s="279">
        <f t="shared" si="0"/>
        <v>12.830799050242181</v>
      </c>
      <c r="L3" s="279">
        <f t="shared" si="0"/>
        <v>22.109244879957675</v>
      </c>
      <c r="M3" s="279">
        <f t="shared" si="0"/>
        <v>66.887438003316817</v>
      </c>
      <c r="N3" s="279">
        <f t="shared" si="0"/>
        <v>12.314722567340549</v>
      </c>
      <c r="O3" s="279">
        <f t="shared" si="0"/>
        <v>30084.642801206399</v>
      </c>
      <c r="P3" s="279">
        <f t="shared" si="0"/>
        <v>0.66887438003316801</v>
      </c>
      <c r="Q3" s="279">
        <f t="shared" si="0"/>
        <v>0.12830799050242181</v>
      </c>
      <c r="R3" s="279">
        <f t="shared" si="0"/>
        <v>0.22109244879957674</v>
      </c>
      <c r="S3" s="279">
        <f t="shared" si="0"/>
        <v>0.66887438003316801</v>
      </c>
      <c r="T3" s="279">
        <f t="shared" si="0"/>
        <v>0.1231472256734055</v>
      </c>
      <c r="U3" s="279">
        <f t="shared" si="0"/>
        <v>300.846428012064</v>
      </c>
      <c r="V3" s="278" t="e">
        <f>SUM(V11:V12,#REF!,#REF!,#REF!)</f>
        <v>#REF!</v>
      </c>
      <c r="W3" s="277" t="e">
        <f>SUM(W11:W12,#REF!,#REF!,#REF!)</f>
        <v>#REF!</v>
      </c>
    </row>
    <row r="4" spans="1:69" s="221" customFormat="1" x14ac:dyDescent="0.3">
      <c r="A4" s="276" t="s">
        <v>375</v>
      </c>
      <c r="B4" s="275">
        <v>2</v>
      </c>
      <c r="C4" s="274" t="s">
        <v>373</v>
      </c>
      <c r="D4" s="273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</row>
    <row r="5" spans="1:69" s="221" customFormat="1" x14ac:dyDescent="0.3">
      <c r="A5" s="276" t="s">
        <v>374</v>
      </c>
      <c r="B5" s="275">
        <v>10</v>
      </c>
      <c r="C5" s="274" t="s">
        <v>373</v>
      </c>
      <c r="D5" s="273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</row>
    <row r="6" spans="1:69" s="221" customFormat="1" x14ac:dyDescent="0.3">
      <c r="A6" s="271"/>
      <c r="B6" s="270"/>
      <c r="C6" s="270"/>
      <c r="D6" s="250"/>
      <c r="E6" s="270"/>
      <c r="F6" s="270"/>
      <c r="G6" s="270"/>
      <c r="H6" s="270"/>
      <c r="I6" s="225"/>
    </row>
    <row r="7" spans="1:69" s="221" customFormat="1" x14ac:dyDescent="0.3">
      <c r="A7" s="269" t="s">
        <v>427</v>
      </c>
      <c r="B7" s="252"/>
      <c r="C7" s="252"/>
      <c r="D7" s="251"/>
      <c r="E7" s="252"/>
      <c r="F7" s="252"/>
      <c r="G7" s="252"/>
      <c r="H7" s="268"/>
      <c r="I7" s="267"/>
    </row>
    <row r="8" spans="1:69" s="221" customFormat="1" ht="15" thickBot="1" x14ac:dyDescent="0.35">
      <c r="B8" s="252" t="s">
        <v>370</v>
      </c>
      <c r="C8" s="252">
        <v>5</v>
      </c>
      <c r="D8" s="251"/>
      <c r="E8" s="250"/>
      <c r="F8" s="250"/>
      <c r="G8" s="250"/>
      <c r="H8" s="266"/>
      <c r="I8" s="225"/>
    </row>
    <row r="9" spans="1:69" ht="43.2" customHeight="1" x14ac:dyDescent="0.3">
      <c r="A9" s="736" t="s">
        <v>369</v>
      </c>
      <c r="B9" s="738" t="s">
        <v>368</v>
      </c>
      <c r="C9" s="740" t="s">
        <v>372</v>
      </c>
      <c r="D9" s="738" t="s">
        <v>367</v>
      </c>
      <c r="E9" s="738" t="s">
        <v>366</v>
      </c>
      <c r="F9" s="734" t="s">
        <v>365</v>
      </c>
      <c r="G9" s="734" t="s">
        <v>364</v>
      </c>
      <c r="H9" s="249" t="s">
        <v>363</v>
      </c>
      <c r="I9" s="254"/>
      <c r="J9" s="360" t="s">
        <v>362</v>
      </c>
      <c r="K9" s="361" t="s">
        <v>361</v>
      </c>
      <c r="L9" s="362" t="s">
        <v>360</v>
      </c>
      <c r="M9" s="362" t="s">
        <v>66</v>
      </c>
      <c r="N9" s="362" t="s">
        <v>359</v>
      </c>
      <c r="O9" s="363" t="s">
        <v>72</v>
      </c>
      <c r="P9" s="265" t="s">
        <v>362</v>
      </c>
      <c r="Q9" s="264" t="s">
        <v>361</v>
      </c>
      <c r="R9" s="263" t="s">
        <v>360</v>
      </c>
      <c r="S9" s="263" t="s">
        <v>66</v>
      </c>
      <c r="T9" s="263" t="s">
        <v>359</v>
      </c>
      <c r="U9" s="261" t="s">
        <v>72</v>
      </c>
      <c r="V9" s="262" t="s">
        <v>73</v>
      </c>
      <c r="W9" s="261" t="s">
        <v>74</v>
      </c>
    </row>
    <row r="10" spans="1:69" ht="15" customHeight="1" thickBot="1" x14ac:dyDescent="0.35">
      <c r="A10" s="737"/>
      <c r="B10" s="739"/>
      <c r="C10" s="741"/>
      <c r="D10" s="739"/>
      <c r="E10" s="739"/>
      <c r="F10" s="735"/>
      <c r="G10" s="735"/>
      <c r="H10" s="248">
        <f>SUM(H11:H12)</f>
        <v>339.04274753379616</v>
      </c>
      <c r="I10" s="235"/>
      <c r="J10" s="367" t="s">
        <v>431</v>
      </c>
      <c r="K10" s="368" t="s">
        <v>431</v>
      </c>
      <c r="L10" s="368" t="s">
        <v>431</v>
      </c>
      <c r="M10" s="368" t="s">
        <v>431</v>
      </c>
      <c r="N10" s="368" t="s">
        <v>431</v>
      </c>
      <c r="O10" s="369" t="s">
        <v>431</v>
      </c>
      <c r="P10" s="367" t="s">
        <v>358</v>
      </c>
      <c r="Q10" s="260" t="s">
        <v>358</v>
      </c>
      <c r="R10" s="260" t="s">
        <v>358</v>
      </c>
      <c r="S10" s="260" t="s">
        <v>358</v>
      </c>
      <c r="T10" s="260" t="s">
        <v>358</v>
      </c>
      <c r="U10" s="258" t="s">
        <v>358</v>
      </c>
      <c r="V10" s="259" t="s">
        <v>358</v>
      </c>
      <c r="W10" s="258" t="s">
        <v>358</v>
      </c>
    </row>
    <row r="11" spans="1:69" s="230" customFormat="1" x14ac:dyDescent="0.3">
      <c r="A11" s="257" t="s">
        <v>371</v>
      </c>
      <c r="B11" s="256">
        <v>1200</v>
      </c>
      <c r="C11" s="255" t="s">
        <v>357</v>
      </c>
      <c r="D11" s="247">
        <v>140</v>
      </c>
      <c r="E11" s="247">
        <f>$B$5</f>
        <v>10</v>
      </c>
      <c r="F11" s="246">
        <v>40</v>
      </c>
      <c r="G11" s="246">
        <v>10</v>
      </c>
      <c r="H11" s="245">
        <f>E11*C8*60/'Helicopter EF'!H31</f>
        <v>302.52100840336135</v>
      </c>
      <c r="I11" s="235"/>
      <c r="J11" s="364">
        <f>($F11+$G11)*'Helicopter EF'!$AA$31</f>
        <v>27.92299049774422</v>
      </c>
      <c r="K11" s="365">
        <f>($F11+$G11)*'Helicopter EF'!$Z$31</f>
        <v>6.8124730266932705</v>
      </c>
      <c r="L11" s="365">
        <f>($F11+$G11)*'Helicopter EF'!$AC$31</f>
        <v>10.457935075729182</v>
      </c>
      <c r="M11" s="365">
        <f>($F11+$G11)*'Helicopter EF'!$Y$31</f>
        <v>27.92299049774422</v>
      </c>
      <c r="N11" s="365">
        <f>($F11+$G11)*'Helicopter EF'!$AB$31</f>
        <v>6.5794985352410764</v>
      </c>
      <c r="O11" s="366">
        <f>($F11+$G11)*'Helicopter EF'!$AD$31</f>
        <v>16073.595012911073</v>
      </c>
      <c r="P11" s="244">
        <f>J11*20/2000</f>
        <v>0.27922990497744216</v>
      </c>
      <c r="Q11" s="243">
        <f t="shared" ref="Q11:U11" si="1">K11*20/2000</f>
        <v>6.8124730266932707E-2</v>
      </c>
      <c r="R11" s="243">
        <f t="shared" si="1"/>
        <v>0.10457935075729181</v>
      </c>
      <c r="S11" s="243">
        <f t="shared" si="1"/>
        <v>0.27922990497744216</v>
      </c>
      <c r="T11" s="243">
        <f t="shared" si="1"/>
        <v>6.5794985352410768E-2</v>
      </c>
      <c r="U11" s="241">
        <f t="shared" si="1"/>
        <v>160.73595012911073</v>
      </c>
      <c r="V11" s="242">
        <f>$H11*'Helicopter EF'!$AE$31/2000</f>
        <v>1.3718934654469554E-3</v>
      </c>
      <c r="W11" s="241">
        <f>$H11*'Helicopter EF'!$AF$31/2000</f>
        <v>1.575136941809467E-3</v>
      </c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</row>
    <row r="12" spans="1:69" s="230" customFormat="1" ht="15" thickBot="1" x14ac:dyDescent="0.35">
      <c r="A12" s="240" t="s">
        <v>356</v>
      </c>
      <c r="B12" s="239">
        <v>9000</v>
      </c>
      <c r="C12" s="237"/>
      <c r="D12" s="238">
        <v>140</v>
      </c>
      <c r="E12" s="238">
        <f>$B$4</f>
        <v>2</v>
      </c>
      <c r="F12" s="237">
        <v>5</v>
      </c>
      <c r="G12" s="237">
        <v>2</v>
      </c>
      <c r="H12" s="236">
        <f>E12*C8*60/'Helicopter EF'!H24</f>
        <v>36.521739130434788</v>
      </c>
      <c r="I12" s="235"/>
      <c r="J12" s="234">
        <f>($F12+$G12)*'Helicopter EF'!$AA$24</f>
        <v>38.964447505572593</v>
      </c>
      <c r="K12" s="233">
        <f>($F12+$G12)*'Helicopter EF'!$Z$24</f>
        <v>6.0183260235489096</v>
      </c>
      <c r="L12" s="233">
        <f>($F12+$G12)*'Helicopter EF'!$AC$24</f>
        <v>11.651309804228493</v>
      </c>
      <c r="M12" s="233">
        <f>($F12+$G12)*'Helicopter EF'!$Y$24</f>
        <v>38.964447505572593</v>
      </c>
      <c r="N12" s="233">
        <f>($F12+$G12)*'Helicopter EF'!$AB$24</f>
        <v>5.735224032099473</v>
      </c>
      <c r="O12" s="231">
        <f>($F12+$G12)*'Helicopter EF'!$AD$24</f>
        <v>14011.047788295327</v>
      </c>
      <c r="P12" s="234">
        <f>J12*20/2000</f>
        <v>0.38964447505572591</v>
      </c>
      <c r="Q12" s="233">
        <f t="shared" ref="Q12" si="2">K12*20/2000</f>
        <v>6.0183260235489096E-2</v>
      </c>
      <c r="R12" s="233">
        <f t="shared" ref="R12" si="3">L12*20/2000</f>
        <v>0.11651309804228492</v>
      </c>
      <c r="S12" s="233">
        <f t="shared" ref="S12" si="4">M12*20/2000</f>
        <v>0.38964447505572591</v>
      </c>
      <c r="T12" s="233">
        <f t="shared" ref="T12" si="5">N12*20/2000</f>
        <v>5.735224032099473E-2</v>
      </c>
      <c r="U12" s="231">
        <f t="shared" ref="U12" si="6">O12*20/2000</f>
        <v>140.11047788295326</v>
      </c>
      <c r="V12" s="232">
        <f>$H12*'Helicopter EF'!$AE$24/2000</f>
        <v>1.0312070063622021E-3</v>
      </c>
      <c r="W12" s="231">
        <f>$H12*'Helicopter EF'!$AF$24/2000</f>
        <v>1.1839784147121577E-3</v>
      </c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</row>
    <row r="13" spans="1:69" s="226" customFormat="1" x14ac:dyDescent="0.3">
      <c r="A13" s="229"/>
      <c r="B13" s="228"/>
      <c r="C13" s="228"/>
      <c r="D13" s="228"/>
      <c r="E13" s="228"/>
      <c r="F13" s="228"/>
      <c r="G13" s="228"/>
      <c r="H13" s="228"/>
      <c r="I13" s="227"/>
      <c r="J13" s="227"/>
      <c r="K13" s="227"/>
      <c r="L13" s="227"/>
      <c r="M13" s="227"/>
      <c r="N13" s="227"/>
      <c r="O13" s="227"/>
      <c r="P13" s="253"/>
      <c r="Q13" s="253"/>
      <c r="R13" s="253"/>
      <c r="S13" s="253"/>
      <c r="T13" s="253"/>
      <c r="U13" s="253"/>
      <c r="V13" s="253"/>
      <c r="W13" s="253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</row>
    <row r="14" spans="1:69" s="221" customFormat="1" x14ac:dyDescent="0.3"/>
    <row r="15" spans="1:69" s="221" customFormat="1" x14ac:dyDescent="0.3"/>
    <row r="16" spans="1:69" s="221" customFormat="1" x14ac:dyDescent="0.3">
      <c r="A16" s="222"/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</row>
    <row r="17" spans="1:17" s="221" customFormat="1" x14ac:dyDescent="0.3">
      <c r="A17" s="224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</row>
    <row r="18" spans="1:17" s="221" customFormat="1" x14ac:dyDescent="0.3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</row>
    <row r="19" spans="1:17" s="221" customFormat="1" x14ac:dyDescent="0.3">
      <c r="A19" s="222"/>
      <c r="D19" s="224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</row>
    <row r="20" spans="1:17" s="221" customFormat="1" x14ac:dyDescent="0.3">
      <c r="A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</row>
    <row r="21" spans="1:17" s="221" customFormat="1" x14ac:dyDescent="0.3">
      <c r="A21" s="222"/>
      <c r="D21" s="222"/>
      <c r="E21" s="224"/>
      <c r="F21" s="224"/>
      <c r="G21" s="224"/>
      <c r="H21" s="222"/>
      <c r="I21" s="222"/>
      <c r="J21" s="222"/>
      <c r="K21" s="222"/>
      <c r="L21" s="222"/>
      <c r="M21" s="222"/>
      <c r="N21" s="222"/>
      <c r="O21" s="222"/>
      <c r="P21" s="222"/>
      <c r="Q21" s="222"/>
    </row>
    <row r="22" spans="1:17" s="221" customFormat="1" x14ac:dyDescent="0.3">
      <c r="A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</row>
    <row r="23" spans="1:17" s="221" customFormat="1" x14ac:dyDescent="0.3">
      <c r="A23" s="222"/>
      <c r="D23" s="222"/>
      <c r="E23" s="223"/>
      <c r="F23" s="223"/>
      <c r="G23" s="223"/>
      <c r="H23" s="222"/>
      <c r="I23" s="222"/>
      <c r="J23" s="222"/>
      <c r="K23" s="222"/>
      <c r="L23" s="222"/>
      <c r="M23" s="222"/>
      <c r="N23" s="222"/>
      <c r="O23" s="222"/>
      <c r="P23" s="222"/>
      <c r="Q23" s="222"/>
    </row>
    <row r="24" spans="1:17" s="221" customFormat="1" x14ac:dyDescent="0.3">
      <c r="A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</row>
    <row r="25" spans="1:17" s="221" customFormat="1" x14ac:dyDescent="0.3">
      <c r="A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</row>
    <row r="26" spans="1:17" s="221" customFormat="1" x14ac:dyDescent="0.3">
      <c r="A26" s="222"/>
      <c r="D26" s="222"/>
      <c r="E26" s="223"/>
      <c r="F26" s="223"/>
      <c r="G26" s="223"/>
      <c r="H26" s="222"/>
      <c r="I26" s="222"/>
      <c r="J26" s="222"/>
      <c r="K26" s="222"/>
      <c r="L26" s="222"/>
      <c r="M26" s="222"/>
      <c r="N26" s="222"/>
      <c r="O26" s="222"/>
      <c r="P26" s="222"/>
      <c r="Q26" s="222"/>
    </row>
    <row r="27" spans="1:17" s="221" customFormat="1" x14ac:dyDescent="0.3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</row>
    <row r="28" spans="1:17" s="221" customFormat="1" x14ac:dyDescent="0.3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</row>
    <row r="29" spans="1:17" s="221" customFormat="1" x14ac:dyDescent="0.3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</row>
    <row r="30" spans="1:17" s="221" customFormat="1" x14ac:dyDescent="0.3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</row>
    <row r="31" spans="1:17" s="221" customFormat="1" x14ac:dyDescent="0.3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</row>
    <row r="32" spans="1:17" s="221" customFormat="1" x14ac:dyDescent="0.3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</row>
    <row r="33" spans="1:17" s="221" customFormat="1" x14ac:dyDescent="0.3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</row>
    <row r="34" spans="1:17" s="221" customFormat="1" x14ac:dyDescent="0.3"/>
    <row r="35" spans="1:17" s="221" customFormat="1" x14ac:dyDescent="0.3"/>
    <row r="36" spans="1:17" s="221" customFormat="1" x14ac:dyDescent="0.3"/>
    <row r="37" spans="1:17" s="221" customFormat="1" x14ac:dyDescent="0.3"/>
    <row r="38" spans="1:17" s="221" customFormat="1" x14ac:dyDescent="0.3"/>
    <row r="39" spans="1:17" s="221" customFormat="1" x14ac:dyDescent="0.3"/>
    <row r="40" spans="1:17" s="221" customFormat="1" x14ac:dyDescent="0.3"/>
    <row r="41" spans="1:17" s="221" customFormat="1" x14ac:dyDescent="0.3"/>
    <row r="42" spans="1:17" s="221" customFormat="1" x14ac:dyDescent="0.3"/>
    <row r="43" spans="1:17" s="221" customFormat="1" x14ac:dyDescent="0.3"/>
    <row r="44" spans="1:17" s="221" customFormat="1" x14ac:dyDescent="0.3"/>
    <row r="45" spans="1:17" s="221" customFormat="1" x14ac:dyDescent="0.3"/>
    <row r="46" spans="1:17" s="221" customFormat="1" x14ac:dyDescent="0.3"/>
    <row r="47" spans="1:17" s="221" customFormat="1" x14ac:dyDescent="0.3"/>
    <row r="48" spans="1:17" s="221" customFormat="1" x14ac:dyDescent="0.3"/>
    <row r="49" s="221" customFormat="1" x14ac:dyDescent="0.3"/>
    <row r="50" s="221" customFormat="1" x14ac:dyDescent="0.3"/>
    <row r="51" s="221" customFormat="1" x14ac:dyDescent="0.3"/>
    <row r="52" s="221" customFormat="1" x14ac:dyDescent="0.3"/>
    <row r="53" s="221" customFormat="1" x14ac:dyDescent="0.3"/>
    <row r="54" s="221" customFormat="1" x14ac:dyDescent="0.3"/>
    <row r="55" s="221" customFormat="1" x14ac:dyDescent="0.3"/>
    <row r="56" s="221" customFormat="1" x14ac:dyDescent="0.3"/>
    <row r="57" s="221" customFormat="1" x14ac:dyDescent="0.3"/>
    <row r="58" s="221" customFormat="1" x14ac:dyDescent="0.3"/>
    <row r="59" s="221" customFormat="1" x14ac:dyDescent="0.3"/>
    <row r="60" s="221" customFormat="1" x14ac:dyDescent="0.3"/>
    <row r="61" s="221" customFormat="1" x14ac:dyDescent="0.3"/>
    <row r="62" s="221" customFormat="1" x14ac:dyDescent="0.3"/>
    <row r="63" s="221" customFormat="1" x14ac:dyDescent="0.3"/>
    <row r="64" s="221" customFormat="1" x14ac:dyDescent="0.3"/>
    <row r="65" s="221" customFormat="1" x14ac:dyDescent="0.3"/>
    <row r="66" s="221" customFormat="1" x14ac:dyDescent="0.3"/>
    <row r="67" s="221" customFormat="1" x14ac:dyDescent="0.3"/>
    <row r="68" s="221" customFormat="1" x14ac:dyDescent="0.3"/>
    <row r="69" s="221" customFormat="1" x14ac:dyDescent="0.3"/>
    <row r="70" s="221" customFormat="1" x14ac:dyDescent="0.3"/>
    <row r="71" s="221" customFormat="1" x14ac:dyDescent="0.3"/>
    <row r="72" s="221" customFormat="1" x14ac:dyDescent="0.3"/>
    <row r="73" s="221" customFormat="1" x14ac:dyDescent="0.3"/>
    <row r="74" s="221" customFormat="1" x14ac:dyDescent="0.3"/>
    <row r="75" s="221" customFormat="1" x14ac:dyDescent="0.3"/>
    <row r="76" s="221" customFormat="1" x14ac:dyDescent="0.3"/>
    <row r="77" s="221" customFormat="1" x14ac:dyDescent="0.3"/>
    <row r="78" s="221" customFormat="1" x14ac:dyDescent="0.3"/>
    <row r="79" s="221" customFormat="1" x14ac:dyDescent="0.3"/>
    <row r="80" s="221" customFormat="1" x14ac:dyDescent="0.3"/>
    <row r="81" s="221" customFormat="1" x14ac:dyDescent="0.3"/>
    <row r="82" s="221" customFormat="1" x14ac:dyDescent="0.3"/>
    <row r="83" s="221" customFormat="1" x14ac:dyDescent="0.3"/>
    <row r="84" s="221" customFormat="1" x14ac:dyDescent="0.3"/>
    <row r="85" s="221" customFormat="1" x14ac:dyDescent="0.3"/>
    <row r="86" s="221" customFormat="1" x14ac:dyDescent="0.3"/>
    <row r="87" s="221" customFormat="1" x14ac:dyDescent="0.3"/>
    <row r="88" s="221" customFormat="1" x14ac:dyDescent="0.3"/>
    <row r="89" s="221" customFormat="1" x14ac:dyDescent="0.3"/>
    <row r="90" s="221" customFormat="1" x14ac:dyDescent="0.3"/>
    <row r="91" s="221" customFormat="1" x14ac:dyDescent="0.3"/>
    <row r="92" s="221" customFormat="1" x14ac:dyDescent="0.3"/>
    <row r="93" s="221" customFormat="1" x14ac:dyDescent="0.3"/>
    <row r="94" s="221" customFormat="1" x14ac:dyDescent="0.3"/>
    <row r="95" s="221" customFormat="1" x14ac:dyDescent="0.3"/>
    <row r="96" s="221" customFormat="1" x14ac:dyDescent="0.3"/>
    <row r="97" s="221" customFormat="1" x14ac:dyDescent="0.3"/>
    <row r="98" s="221" customFormat="1" x14ac:dyDescent="0.3"/>
    <row r="99" s="221" customFormat="1" x14ac:dyDescent="0.3"/>
    <row r="100" s="221" customFormat="1" x14ac:dyDescent="0.3"/>
    <row r="101" s="221" customFormat="1" x14ac:dyDescent="0.3"/>
    <row r="102" s="221" customFormat="1" x14ac:dyDescent="0.3"/>
    <row r="103" s="221" customFormat="1" x14ac:dyDescent="0.3"/>
    <row r="104" s="221" customFormat="1" x14ac:dyDescent="0.3"/>
    <row r="105" s="221" customFormat="1" x14ac:dyDescent="0.3"/>
    <row r="106" s="221" customFormat="1" x14ac:dyDescent="0.3"/>
    <row r="107" s="221" customFormat="1" x14ac:dyDescent="0.3"/>
    <row r="108" s="221" customFormat="1" x14ac:dyDescent="0.3"/>
    <row r="109" s="221" customFormat="1" x14ac:dyDescent="0.3"/>
    <row r="110" s="221" customFormat="1" x14ac:dyDescent="0.3"/>
    <row r="111" s="221" customFormat="1" x14ac:dyDescent="0.3"/>
    <row r="112" s="221" customFormat="1" x14ac:dyDescent="0.3"/>
    <row r="113" s="221" customFormat="1" x14ac:dyDescent="0.3"/>
    <row r="114" s="221" customFormat="1" x14ac:dyDescent="0.3"/>
    <row r="115" s="221" customFormat="1" x14ac:dyDescent="0.3"/>
    <row r="116" s="221" customFormat="1" x14ac:dyDescent="0.3"/>
    <row r="117" s="221" customFormat="1" x14ac:dyDescent="0.3"/>
    <row r="118" s="221" customFormat="1" x14ac:dyDescent="0.3"/>
    <row r="119" s="221" customFormat="1" x14ac:dyDescent="0.3"/>
    <row r="120" s="221" customFormat="1" x14ac:dyDescent="0.3"/>
    <row r="121" s="221" customFormat="1" x14ac:dyDescent="0.3"/>
    <row r="122" s="221" customFormat="1" x14ac:dyDescent="0.3"/>
    <row r="123" s="221" customFormat="1" x14ac:dyDescent="0.3"/>
    <row r="124" s="221" customFormat="1" x14ac:dyDescent="0.3"/>
    <row r="125" s="221" customFormat="1" x14ac:dyDescent="0.3"/>
    <row r="126" s="221" customFormat="1" x14ac:dyDescent="0.3"/>
    <row r="127" s="221" customFormat="1" x14ac:dyDescent="0.3"/>
    <row r="128" s="221" customFormat="1" x14ac:dyDescent="0.3"/>
    <row r="129" s="221" customFormat="1" x14ac:dyDescent="0.3"/>
    <row r="130" s="221" customFormat="1" x14ac:dyDescent="0.3"/>
    <row r="131" s="221" customFormat="1" x14ac:dyDescent="0.3"/>
    <row r="132" s="221" customFormat="1" x14ac:dyDescent="0.3"/>
    <row r="133" s="221" customFormat="1" x14ac:dyDescent="0.3"/>
    <row r="134" s="221" customFormat="1" x14ac:dyDescent="0.3"/>
    <row r="135" s="221" customFormat="1" x14ac:dyDescent="0.3"/>
    <row r="136" s="221" customFormat="1" x14ac:dyDescent="0.3"/>
    <row r="137" s="221" customFormat="1" x14ac:dyDescent="0.3"/>
    <row r="138" s="221" customFormat="1" x14ac:dyDescent="0.3"/>
    <row r="139" s="221" customFormat="1" x14ac:dyDescent="0.3"/>
    <row r="140" s="221" customFormat="1" x14ac:dyDescent="0.3"/>
    <row r="141" s="221" customFormat="1" x14ac:dyDescent="0.3"/>
    <row r="142" s="221" customFormat="1" x14ac:dyDescent="0.3"/>
    <row r="143" s="221" customFormat="1" x14ac:dyDescent="0.3"/>
    <row r="144" s="221" customFormat="1" x14ac:dyDescent="0.3"/>
    <row r="145" s="221" customFormat="1" x14ac:dyDescent="0.3"/>
    <row r="146" s="221" customFormat="1" x14ac:dyDescent="0.3"/>
    <row r="147" s="221" customFormat="1" x14ac:dyDescent="0.3"/>
    <row r="148" s="221" customFormat="1" x14ac:dyDescent="0.3"/>
    <row r="149" s="221" customFormat="1" x14ac:dyDescent="0.3"/>
    <row r="150" s="221" customFormat="1" x14ac:dyDescent="0.3"/>
    <row r="151" s="221" customFormat="1" x14ac:dyDescent="0.3"/>
    <row r="152" s="221" customFormat="1" x14ac:dyDescent="0.3"/>
    <row r="153" s="221" customFormat="1" x14ac:dyDescent="0.3"/>
    <row r="154" s="221" customFormat="1" x14ac:dyDescent="0.3"/>
    <row r="155" s="221" customFormat="1" x14ac:dyDescent="0.3"/>
    <row r="156" s="221" customFormat="1" x14ac:dyDescent="0.3"/>
    <row r="157" s="221" customFormat="1" x14ac:dyDescent="0.3"/>
    <row r="158" s="221" customFormat="1" x14ac:dyDescent="0.3"/>
    <row r="159" s="221" customFormat="1" x14ac:dyDescent="0.3"/>
    <row r="160" s="221" customFormat="1" x14ac:dyDescent="0.3"/>
    <row r="161" s="221" customFormat="1" x14ac:dyDescent="0.3"/>
    <row r="162" s="221" customFormat="1" x14ac:dyDescent="0.3"/>
    <row r="163" s="221" customFormat="1" x14ac:dyDescent="0.3"/>
    <row r="164" s="221" customFormat="1" x14ac:dyDescent="0.3"/>
    <row r="165" s="221" customFormat="1" x14ac:dyDescent="0.3"/>
    <row r="166" s="221" customFormat="1" x14ac:dyDescent="0.3"/>
    <row r="167" s="221" customFormat="1" x14ac:dyDescent="0.3"/>
    <row r="168" s="221" customFormat="1" x14ac:dyDescent="0.3"/>
    <row r="169" s="221" customFormat="1" x14ac:dyDescent="0.3"/>
    <row r="170" s="221" customFormat="1" x14ac:dyDescent="0.3"/>
    <row r="171" s="221" customFormat="1" x14ac:dyDescent="0.3"/>
    <row r="172" s="221" customFormat="1" x14ac:dyDescent="0.3"/>
    <row r="173" s="221" customFormat="1" x14ac:dyDescent="0.3"/>
    <row r="174" s="221" customFormat="1" x14ac:dyDescent="0.3"/>
    <row r="175" s="221" customFormat="1" x14ac:dyDescent="0.3"/>
    <row r="176" s="221" customFormat="1" x14ac:dyDescent="0.3"/>
    <row r="177" s="221" customFormat="1" x14ac:dyDescent="0.3"/>
    <row r="178" s="221" customFormat="1" x14ac:dyDescent="0.3"/>
    <row r="179" s="221" customFormat="1" x14ac:dyDescent="0.3"/>
    <row r="180" s="221" customFormat="1" x14ac:dyDescent="0.3"/>
    <row r="181" s="221" customFormat="1" x14ac:dyDescent="0.3"/>
    <row r="182" s="221" customFormat="1" x14ac:dyDescent="0.3"/>
    <row r="183" s="221" customFormat="1" x14ac:dyDescent="0.3"/>
    <row r="184" s="221" customFormat="1" x14ac:dyDescent="0.3"/>
    <row r="185" s="221" customFormat="1" x14ac:dyDescent="0.3"/>
    <row r="186" s="221" customFormat="1" x14ac:dyDescent="0.3"/>
    <row r="187" s="221" customFormat="1" x14ac:dyDescent="0.3"/>
    <row r="188" s="221" customFormat="1" x14ac:dyDescent="0.3"/>
    <row r="189" s="221" customFormat="1" x14ac:dyDescent="0.3"/>
    <row r="190" s="221" customFormat="1" x14ac:dyDescent="0.3"/>
    <row r="191" s="221" customFormat="1" x14ac:dyDescent="0.3"/>
    <row r="192" s="221" customFormat="1" x14ac:dyDescent="0.3"/>
    <row r="193" s="221" customFormat="1" x14ac:dyDescent="0.3"/>
    <row r="194" s="221" customFormat="1" x14ac:dyDescent="0.3"/>
    <row r="195" s="221" customFormat="1" x14ac:dyDescent="0.3"/>
    <row r="196" s="221" customFormat="1" x14ac:dyDescent="0.3"/>
    <row r="197" s="221" customFormat="1" x14ac:dyDescent="0.3"/>
    <row r="198" s="221" customFormat="1" x14ac:dyDescent="0.3"/>
    <row r="199" s="221" customFormat="1" x14ac:dyDescent="0.3"/>
    <row r="200" s="221" customFormat="1" x14ac:dyDescent="0.3"/>
    <row r="201" s="221" customFormat="1" x14ac:dyDescent="0.3"/>
    <row r="202" s="221" customFormat="1" x14ac:dyDescent="0.3"/>
    <row r="203" s="221" customFormat="1" x14ac:dyDescent="0.3"/>
    <row r="204" s="221" customFormat="1" x14ac:dyDescent="0.3"/>
    <row r="205" s="221" customFormat="1" x14ac:dyDescent="0.3"/>
    <row r="206" s="221" customFormat="1" x14ac:dyDescent="0.3"/>
    <row r="207" s="221" customFormat="1" x14ac:dyDescent="0.3"/>
    <row r="208" s="221" customFormat="1" x14ac:dyDescent="0.3"/>
    <row r="209" s="221" customFormat="1" x14ac:dyDescent="0.3"/>
    <row r="210" s="221" customFormat="1" x14ac:dyDescent="0.3"/>
    <row r="211" s="221" customFormat="1" x14ac:dyDescent="0.3"/>
    <row r="212" s="221" customFormat="1" x14ac:dyDescent="0.3"/>
    <row r="213" s="221" customFormat="1" x14ac:dyDescent="0.3"/>
    <row r="214" s="221" customFormat="1" x14ac:dyDescent="0.3"/>
    <row r="215" s="221" customFormat="1" x14ac:dyDescent="0.3"/>
    <row r="216" s="221" customFormat="1" x14ac:dyDescent="0.3"/>
    <row r="217" s="221" customFormat="1" x14ac:dyDescent="0.3"/>
    <row r="218" s="221" customFormat="1" x14ac:dyDescent="0.3"/>
    <row r="219" s="221" customFormat="1" x14ac:dyDescent="0.3"/>
    <row r="220" s="221" customFormat="1" x14ac:dyDescent="0.3"/>
    <row r="221" s="221" customFormat="1" x14ac:dyDescent="0.3"/>
    <row r="222" s="221" customFormat="1" x14ac:dyDescent="0.3"/>
    <row r="223" s="221" customFormat="1" x14ac:dyDescent="0.3"/>
    <row r="224" s="221" customFormat="1" x14ac:dyDescent="0.3"/>
    <row r="225" s="221" customFormat="1" x14ac:dyDescent="0.3"/>
    <row r="226" s="221" customFormat="1" x14ac:dyDescent="0.3"/>
    <row r="227" s="221" customFormat="1" x14ac:dyDescent="0.3"/>
    <row r="228" s="221" customFormat="1" x14ac:dyDescent="0.3"/>
    <row r="229" s="221" customFormat="1" x14ac:dyDescent="0.3"/>
    <row r="230" s="221" customFormat="1" x14ac:dyDescent="0.3"/>
    <row r="231" s="221" customFormat="1" x14ac:dyDescent="0.3"/>
    <row r="232" s="221" customFormat="1" x14ac:dyDescent="0.3"/>
    <row r="233" s="221" customFormat="1" x14ac:dyDescent="0.3"/>
    <row r="234" s="221" customFormat="1" x14ac:dyDescent="0.3"/>
    <row r="235" s="221" customFormat="1" x14ac:dyDescent="0.3"/>
    <row r="236" s="221" customFormat="1" x14ac:dyDescent="0.3"/>
    <row r="237" s="221" customFormat="1" x14ac:dyDescent="0.3"/>
    <row r="238" s="221" customFormat="1" x14ac:dyDescent="0.3"/>
    <row r="239" s="221" customFormat="1" x14ac:dyDescent="0.3"/>
    <row r="240" s="221" customFormat="1" x14ac:dyDescent="0.3"/>
    <row r="241" s="221" customFormat="1" x14ac:dyDescent="0.3"/>
    <row r="242" s="221" customFormat="1" x14ac:dyDescent="0.3"/>
    <row r="243" s="221" customFormat="1" x14ac:dyDescent="0.3"/>
    <row r="244" s="221" customFormat="1" x14ac:dyDescent="0.3"/>
    <row r="245" s="221" customFormat="1" x14ac:dyDescent="0.3"/>
    <row r="246" s="221" customFormat="1" x14ac:dyDescent="0.3"/>
    <row r="247" s="221" customFormat="1" x14ac:dyDescent="0.3"/>
    <row r="248" s="221" customFormat="1" x14ac:dyDescent="0.3"/>
    <row r="249" s="221" customFormat="1" x14ac:dyDescent="0.3"/>
    <row r="250" s="221" customFormat="1" x14ac:dyDescent="0.3"/>
    <row r="251" s="221" customFormat="1" x14ac:dyDescent="0.3"/>
    <row r="252" s="221" customFormat="1" x14ac:dyDescent="0.3"/>
    <row r="253" s="221" customFormat="1" x14ac:dyDescent="0.3"/>
    <row r="254" s="221" customFormat="1" x14ac:dyDescent="0.3"/>
    <row r="255" s="221" customFormat="1" x14ac:dyDescent="0.3"/>
    <row r="256" s="221" customFormat="1" x14ac:dyDescent="0.3"/>
    <row r="257" s="221" customFormat="1" x14ac:dyDescent="0.3"/>
    <row r="258" s="221" customFormat="1" x14ac:dyDescent="0.3"/>
    <row r="259" s="221" customFormat="1" x14ac:dyDescent="0.3"/>
    <row r="260" s="221" customFormat="1" x14ac:dyDescent="0.3"/>
    <row r="261" s="221" customFormat="1" x14ac:dyDescent="0.3"/>
    <row r="262" s="221" customFormat="1" x14ac:dyDescent="0.3"/>
    <row r="263" s="221" customFormat="1" x14ac:dyDescent="0.3"/>
    <row r="264" s="221" customFormat="1" x14ac:dyDescent="0.3"/>
    <row r="265" s="221" customFormat="1" x14ac:dyDescent="0.3"/>
    <row r="266" s="221" customFormat="1" x14ac:dyDescent="0.3"/>
    <row r="267" s="221" customFormat="1" x14ac:dyDescent="0.3"/>
    <row r="268" s="221" customFormat="1" x14ac:dyDescent="0.3"/>
    <row r="269" s="221" customFormat="1" x14ac:dyDescent="0.3"/>
    <row r="270" s="221" customFormat="1" x14ac:dyDescent="0.3"/>
    <row r="271" s="221" customFormat="1" x14ac:dyDescent="0.3"/>
    <row r="272" s="221" customFormat="1" x14ac:dyDescent="0.3"/>
    <row r="273" s="221" customFormat="1" x14ac:dyDescent="0.3"/>
    <row r="274" s="221" customFormat="1" x14ac:dyDescent="0.3"/>
    <row r="275" s="221" customFormat="1" x14ac:dyDescent="0.3"/>
    <row r="276" s="221" customFormat="1" x14ac:dyDescent="0.3"/>
    <row r="277" s="221" customFormat="1" x14ac:dyDescent="0.3"/>
    <row r="278" s="221" customFormat="1" x14ac:dyDescent="0.3"/>
    <row r="279" s="221" customFormat="1" x14ac:dyDescent="0.3"/>
    <row r="280" s="221" customFormat="1" x14ac:dyDescent="0.3"/>
    <row r="281" s="221" customFormat="1" x14ac:dyDescent="0.3"/>
    <row r="282" s="221" customFormat="1" x14ac:dyDescent="0.3"/>
    <row r="283" s="221" customFormat="1" x14ac:dyDescent="0.3"/>
    <row r="284" s="221" customFormat="1" x14ac:dyDescent="0.3"/>
    <row r="285" s="221" customFormat="1" x14ac:dyDescent="0.3"/>
    <row r="286" s="221" customFormat="1" x14ac:dyDescent="0.3"/>
    <row r="287" s="221" customFormat="1" x14ac:dyDescent="0.3"/>
    <row r="288" s="221" customFormat="1" x14ac:dyDescent="0.3"/>
    <row r="289" s="221" customFormat="1" x14ac:dyDescent="0.3"/>
    <row r="290" s="221" customFormat="1" x14ac:dyDescent="0.3"/>
    <row r="291" s="221" customFormat="1" x14ac:dyDescent="0.3"/>
    <row r="292" s="221" customFormat="1" x14ac:dyDescent="0.3"/>
    <row r="293" s="221" customFormat="1" x14ac:dyDescent="0.3"/>
    <row r="294" s="221" customFormat="1" x14ac:dyDescent="0.3"/>
    <row r="295" s="221" customFormat="1" x14ac:dyDescent="0.3"/>
    <row r="296" s="221" customFormat="1" x14ac:dyDescent="0.3"/>
    <row r="297" s="221" customFormat="1" x14ac:dyDescent="0.3"/>
    <row r="298" s="221" customFormat="1" x14ac:dyDescent="0.3"/>
    <row r="299" s="221" customFormat="1" x14ac:dyDescent="0.3"/>
    <row r="300" s="221" customFormat="1" x14ac:dyDescent="0.3"/>
    <row r="301" s="221" customFormat="1" x14ac:dyDescent="0.3"/>
    <row r="302" s="221" customFormat="1" x14ac:dyDescent="0.3"/>
    <row r="303" s="221" customFormat="1" x14ac:dyDescent="0.3"/>
    <row r="304" s="221" customFormat="1" x14ac:dyDescent="0.3"/>
    <row r="305" s="221" customFormat="1" x14ac:dyDescent="0.3"/>
    <row r="306" s="221" customFormat="1" x14ac:dyDescent="0.3"/>
    <row r="307" s="221" customFormat="1" x14ac:dyDescent="0.3"/>
    <row r="308" s="221" customFormat="1" x14ac:dyDescent="0.3"/>
    <row r="309" s="221" customFormat="1" x14ac:dyDescent="0.3"/>
    <row r="310" s="221" customFormat="1" x14ac:dyDescent="0.3"/>
    <row r="311" s="221" customFormat="1" x14ac:dyDescent="0.3"/>
    <row r="312" s="221" customFormat="1" x14ac:dyDescent="0.3"/>
    <row r="313" s="221" customFormat="1" x14ac:dyDescent="0.3"/>
    <row r="314" s="221" customFormat="1" x14ac:dyDescent="0.3"/>
    <row r="315" s="221" customFormat="1" x14ac:dyDescent="0.3"/>
    <row r="316" s="221" customFormat="1" x14ac:dyDescent="0.3"/>
    <row r="317" s="221" customFormat="1" x14ac:dyDescent="0.3"/>
    <row r="318" s="221" customFormat="1" x14ac:dyDescent="0.3"/>
    <row r="319" s="221" customFormat="1" x14ac:dyDescent="0.3"/>
    <row r="320" s="221" customFormat="1" x14ac:dyDescent="0.3"/>
    <row r="321" s="221" customFormat="1" x14ac:dyDescent="0.3"/>
    <row r="322" s="221" customFormat="1" x14ac:dyDescent="0.3"/>
    <row r="323" s="221" customFormat="1" x14ac:dyDescent="0.3"/>
    <row r="324" s="221" customFormat="1" x14ac:dyDescent="0.3"/>
    <row r="325" s="221" customFormat="1" x14ac:dyDescent="0.3"/>
    <row r="326" s="221" customFormat="1" x14ac:dyDescent="0.3"/>
    <row r="327" s="221" customFormat="1" x14ac:dyDescent="0.3"/>
    <row r="328" s="221" customFormat="1" x14ac:dyDescent="0.3"/>
    <row r="329" s="221" customFormat="1" x14ac:dyDescent="0.3"/>
    <row r="330" s="221" customFormat="1" x14ac:dyDescent="0.3"/>
    <row r="331" s="221" customFormat="1" x14ac:dyDescent="0.3"/>
    <row r="332" s="221" customFormat="1" x14ac:dyDescent="0.3"/>
    <row r="333" s="221" customFormat="1" x14ac:dyDescent="0.3"/>
    <row r="334" s="221" customFormat="1" x14ac:dyDescent="0.3"/>
    <row r="335" s="221" customFormat="1" x14ac:dyDescent="0.3"/>
    <row r="336" s="221" customFormat="1" x14ac:dyDescent="0.3"/>
    <row r="337" s="221" customFormat="1" x14ac:dyDescent="0.3"/>
    <row r="338" s="221" customFormat="1" x14ac:dyDescent="0.3"/>
    <row r="339" s="221" customFormat="1" x14ac:dyDescent="0.3"/>
    <row r="340" s="221" customFormat="1" x14ac:dyDescent="0.3"/>
    <row r="341" s="221" customFormat="1" x14ac:dyDescent="0.3"/>
    <row r="342" s="221" customFormat="1" x14ac:dyDescent="0.3"/>
  </sheetData>
  <mergeCells count="7">
    <mergeCell ref="F9:F10"/>
    <mergeCell ref="G9:G10"/>
    <mergeCell ref="A9:A10"/>
    <mergeCell ref="B9:B10"/>
    <mergeCell ref="C9:C10"/>
    <mergeCell ref="D9:D10"/>
    <mergeCell ref="E9:E10"/>
  </mergeCells>
  <pageMargins left="0.7" right="0.7" top="0.75" bottom="0.75" header="0.3" footer="0.3"/>
  <pageSetup scale="50" orientation="landscape" r:id="rId1"/>
  <headerFooter>
    <oddHeader>&amp;CTable A-13
Helicopter Emissions
South Orange County Reliability Enhancement Project</oddHeader>
    <oddFooter>&amp;CA-13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view="pageBreakPreview" topLeftCell="G7" zoomScale="75" zoomScaleNormal="75" zoomScaleSheetLayoutView="75" workbookViewId="0">
      <selection activeCell="AA31" sqref="AA31"/>
    </sheetView>
  </sheetViews>
  <sheetFormatPr defaultColWidth="9.109375" defaultRowHeight="14.4" x14ac:dyDescent="0.3"/>
  <cols>
    <col min="1" max="1" width="21.5546875" style="220" customWidth="1"/>
    <col min="2" max="2" width="19.109375" style="220" customWidth="1"/>
    <col min="3" max="3" width="9.88671875" style="220" customWidth="1"/>
    <col min="4" max="4" width="14.6640625" style="220" customWidth="1"/>
    <col min="5" max="5" width="10.109375" style="220" customWidth="1"/>
    <col min="6" max="6" width="10.88671875" style="220" customWidth="1"/>
    <col min="7" max="8" width="10.6640625" style="220" customWidth="1"/>
    <col min="9" max="9" width="6.44140625" style="220" bestFit="1" customWidth="1"/>
    <col min="10" max="11" width="7.5546875" style="220" bestFit="1" customWidth="1"/>
    <col min="12" max="12" width="7.33203125" style="220" customWidth="1"/>
    <col min="13" max="13" width="6.109375" style="220" customWidth="1"/>
    <col min="14" max="14" width="8" style="220" bestFit="1" customWidth="1"/>
    <col min="15" max="15" width="8.109375" style="220" hidden="1" customWidth="1"/>
    <col min="16" max="16" width="7.44140625" style="220" hidden="1" customWidth="1"/>
    <col min="17" max="17" width="6.109375" style="220" bestFit="1" customWidth="1"/>
    <col min="18" max="20" width="7.5546875" style="220" bestFit="1" customWidth="1"/>
    <col min="21" max="21" width="6.44140625" style="220" bestFit="1" customWidth="1"/>
    <col min="22" max="22" width="8.6640625" style="220" customWidth="1"/>
    <col min="23" max="23" width="7.5546875" style="220" hidden="1" customWidth="1"/>
    <col min="24" max="24" width="7.44140625" style="220" hidden="1" customWidth="1"/>
    <col min="25" max="29" width="7.44140625" style="220" bestFit="1" customWidth="1"/>
    <col min="30" max="30" width="9.6640625" style="220" bestFit="1" customWidth="1"/>
    <col min="31" max="32" width="7.44140625" style="220" hidden="1" customWidth="1"/>
    <col min="33" max="16384" width="9.109375" style="220"/>
  </cols>
  <sheetData>
    <row r="1" spans="1:30" s="221" customFormat="1" x14ac:dyDescent="0.3">
      <c r="A1" s="294" t="s">
        <v>426</v>
      </c>
    </row>
    <row r="2" spans="1:30" s="221" customFormat="1" x14ac:dyDescent="0.3">
      <c r="A2" s="286" t="s">
        <v>425</v>
      </c>
    </row>
    <row r="3" spans="1:30" s="221" customFormat="1" x14ac:dyDescent="0.3">
      <c r="A3" s="286" t="s">
        <v>424</v>
      </c>
    </row>
    <row r="4" spans="1:30" s="221" customFormat="1" hidden="1" x14ac:dyDescent="0.3">
      <c r="A4" s="359" t="s">
        <v>423</v>
      </c>
    </row>
    <row r="5" spans="1:30" s="221" customFormat="1" x14ac:dyDescent="0.3">
      <c r="A5" s="359" t="s">
        <v>422</v>
      </c>
    </row>
    <row r="6" spans="1:30" s="221" customFormat="1" x14ac:dyDescent="0.3">
      <c r="A6" s="286" t="s">
        <v>421</v>
      </c>
    </row>
    <row r="7" spans="1:30" s="221" customFormat="1" x14ac:dyDescent="0.3">
      <c r="A7" s="286" t="s">
        <v>420</v>
      </c>
    </row>
    <row r="8" spans="1:30" s="221" customFormat="1" x14ac:dyDescent="0.3"/>
    <row r="9" spans="1:30" s="221" customFormat="1" x14ac:dyDescent="0.3">
      <c r="A9" s="357" t="s">
        <v>386</v>
      </c>
      <c r="B9" s="356">
        <v>0.1</v>
      </c>
      <c r="N9" s="358"/>
      <c r="O9" s="358"/>
      <c r="P9" s="358"/>
    </row>
    <row r="10" spans="1:30" s="221" customFormat="1" x14ac:dyDescent="0.3">
      <c r="A10" s="357" t="s">
        <v>381</v>
      </c>
      <c r="B10" s="356">
        <v>0.05</v>
      </c>
    </row>
    <row r="11" spans="1:30" s="221" customFormat="1" x14ac:dyDescent="0.3">
      <c r="A11" s="357" t="s">
        <v>380</v>
      </c>
      <c r="B11" s="356">
        <v>0.1</v>
      </c>
    </row>
    <row r="12" spans="1:30" s="221" customFormat="1" x14ac:dyDescent="0.3">
      <c r="A12" s="357" t="s">
        <v>419</v>
      </c>
      <c r="B12" s="356">
        <v>0.65</v>
      </c>
    </row>
    <row r="13" spans="1:30" s="221" customFormat="1" x14ac:dyDescent="0.3">
      <c r="A13" s="357" t="s">
        <v>378</v>
      </c>
      <c r="B13" s="356">
        <v>0.1</v>
      </c>
    </row>
    <row r="14" spans="1:30" s="221" customFormat="1" x14ac:dyDescent="0.3">
      <c r="A14" s="355" t="s">
        <v>418</v>
      </c>
      <c r="B14" s="354" t="s">
        <v>417</v>
      </c>
    </row>
    <row r="15" spans="1:30" s="221" customFormat="1" x14ac:dyDescent="0.3">
      <c r="A15" s="353" t="s">
        <v>416</v>
      </c>
      <c r="B15" s="351" t="s">
        <v>415</v>
      </c>
      <c r="C15" s="352">
        <f>9.57/(0.8*3.79)*1000</f>
        <v>3156.3324538258576</v>
      </c>
      <c r="D15" s="351" t="s">
        <v>414</v>
      </c>
      <c r="E15" s="350"/>
      <c r="G15" s="230"/>
    </row>
    <row r="16" spans="1:30" s="221" customFormat="1" ht="13.95" customHeight="1" thickBot="1" x14ac:dyDescent="0.35">
      <c r="A16" s="349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</row>
    <row r="17" spans="1:32" s="345" customFormat="1" ht="25.2" customHeight="1" x14ac:dyDescent="0.3">
      <c r="A17" s="743" t="s">
        <v>413</v>
      </c>
      <c r="B17" s="745" t="s">
        <v>412</v>
      </c>
      <c r="C17" s="745" t="s">
        <v>411</v>
      </c>
      <c r="D17" s="745" t="s">
        <v>410</v>
      </c>
      <c r="E17" s="745" t="s">
        <v>409</v>
      </c>
      <c r="F17" s="745" t="s">
        <v>408</v>
      </c>
      <c r="G17" s="745" t="s">
        <v>407</v>
      </c>
      <c r="H17" s="748" t="s">
        <v>406</v>
      </c>
      <c r="I17" s="742" t="s">
        <v>405</v>
      </c>
      <c r="J17" s="628"/>
      <c r="K17" s="628"/>
      <c r="L17" s="628"/>
      <c r="M17" s="628"/>
      <c r="N17" s="629"/>
      <c r="O17" s="348"/>
      <c r="P17" s="348"/>
      <c r="Q17" s="742" t="s">
        <v>404</v>
      </c>
      <c r="R17" s="628"/>
      <c r="S17" s="628"/>
      <c r="T17" s="628"/>
      <c r="U17" s="628"/>
      <c r="V17" s="629"/>
      <c r="W17" s="347"/>
      <c r="X17" s="346"/>
      <c r="Y17" s="742" t="s">
        <v>403</v>
      </c>
      <c r="Z17" s="628"/>
      <c r="AA17" s="628"/>
      <c r="AB17" s="628"/>
      <c r="AC17" s="628"/>
      <c r="AD17" s="629"/>
      <c r="AE17" s="347"/>
      <c r="AF17" s="346"/>
    </row>
    <row r="18" spans="1:32" s="335" customFormat="1" ht="38.25" customHeight="1" thickBot="1" x14ac:dyDescent="0.35">
      <c r="A18" s="744"/>
      <c r="B18" s="746"/>
      <c r="C18" s="747"/>
      <c r="D18" s="746"/>
      <c r="E18" s="747"/>
      <c r="F18" s="746"/>
      <c r="G18" s="746"/>
      <c r="H18" s="749"/>
      <c r="I18" s="344" t="s">
        <v>66</v>
      </c>
      <c r="J18" s="343" t="s">
        <v>402</v>
      </c>
      <c r="K18" s="343" t="s">
        <v>84</v>
      </c>
      <c r="L18" s="343" t="s">
        <v>69</v>
      </c>
      <c r="M18" s="343" t="s">
        <v>360</v>
      </c>
      <c r="N18" s="340" t="s">
        <v>72</v>
      </c>
      <c r="O18" s="341" t="s">
        <v>73</v>
      </c>
      <c r="P18" s="342" t="s">
        <v>74</v>
      </c>
      <c r="Q18" s="339" t="s">
        <v>66</v>
      </c>
      <c r="R18" s="338" t="s">
        <v>402</v>
      </c>
      <c r="S18" s="338" t="s">
        <v>84</v>
      </c>
      <c r="T18" s="338" t="s">
        <v>69</v>
      </c>
      <c r="U18" s="338" t="s">
        <v>360</v>
      </c>
      <c r="V18" s="336" t="s">
        <v>72</v>
      </c>
      <c r="W18" s="341" t="s">
        <v>73</v>
      </c>
      <c r="X18" s="340" t="s">
        <v>74</v>
      </c>
      <c r="Y18" s="339" t="s">
        <v>66</v>
      </c>
      <c r="Z18" s="338" t="s">
        <v>402</v>
      </c>
      <c r="AA18" s="338" t="s">
        <v>84</v>
      </c>
      <c r="AB18" s="338" t="s">
        <v>69</v>
      </c>
      <c r="AC18" s="338" t="s">
        <v>360</v>
      </c>
      <c r="AD18" s="336" t="s">
        <v>72</v>
      </c>
      <c r="AE18" s="337" t="s">
        <v>73</v>
      </c>
      <c r="AF18" s="336" t="s">
        <v>74</v>
      </c>
    </row>
    <row r="19" spans="1:32" s="296" customFormat="1" ht="16.95" customHeight="1" x14ac:dyDescent="0.25">
      <c r="A19" s="322" t="s">
        <v>356</v>
      </c>
      <c r="B19" s="334"/>
      <c r="C19" s="333"/>
      <c r="D19" s="331"/>
      <c r="E19" s="332"/>
      <c r="F19" s="331"/>
      <c r="G19" s="331"/>
      <c r="H19" s="331"/>
      <c r="I19" s="330"/>
      <c r="J19" s="329"/>
      <c r="K19" s="329"/>
      <c r="L19" s="329"/>
      <c r="M19" s="329"/>
      <c r="N19" s="328"/>
      <c r="O19" s="329"/>
      <c r="P19" s="329"/>
      <c r="Q19" s="330"/>
      <c r="R19" s="329"/>
      <c r="S19" s="329"/>
      <c r="T19" s="329"/>
      <c r="U19" s="329"/>
      <c r="V19" s="328"/>
      <c r="W19" s="329"/>
      <c r="X19" s="328"/>
      <c r="Y19" s="330"/>
      <c r="Z19" s="329"/>
      <c r="AA19" s="329"/>
      <c r="AB19" s="329"/>
      <c r="AC19" s="329"/>
      <c r="AD19" s="328"/>
      <c r="AE19" s="319"/>
      <c r="AF19" s="327"/>
    </row>
    <row r="20" spans="1:32" s="296" customFormat="1" ht="16.95" customHeight="1" x14ac:dyDescent="0.25">
      <c r="A20" s="315" t="s">
        <v>401</v>
      </c>
      <c r="B20" s="313" t="s">
        <v>400</v>
      </c>
      <c r="C20" s="313" t="s">
        <v>399</v>
      </c>
      <c r="D20" s="326" t="s">
        <v>398</v>
      </c>
      <c r="E20" s="313">
        <v>3925</v>
      </c>
      <c r="F20" s="325" t="s">
        <v>386</v>
      </c>
      <c r="G20" s="325">
        <v>3.6080000000000001E-2</v>
      </c>
      <c r="H20" s="324">
        <f>B9*$H$24</f>
        <v>1.6428571428571428</v>
      </c>
      <c r="I20" s="323">
        <v>2.6198060000000001</v>
      </c>
      <c r="J20" s="310">
        <v>19.875540000000001</v>
      </c>
      <c r="K20" s="310">
        <v>2.6198060000000001</v>
      </c>
      <c r="L20" s="310">
        <v>1.292</v>
      </c>
      <c r="M20" s="310">
        <v>2.92</v>
      </c>
      <c r="N20" s="311">
        <f>$C$15</f>
        <v>3156.3324538258576</v>
      </c>
      <c r="O20" s="310">
        <f>0.27/0.8/3.79</f>
        <v>8.9050131926121379E-2</v>
      </c>
      <c r="P20" s="310">
        <f>0.31/0.8/3.79</f>
        <v>0.10224274406332452</v>
      </c>
      <c r="Q20" s="309">
        <f t="shared" ref="Q20:X23" si="0">I20*$G20*$H20*60/453.59</f>
        <v>2.0541078422363808E-2</v>
      </c>
      <c r="R20" s="308">
        <f t="shared" si="0"/>
        <v>0.15583788487652472</v>
      </c>
      <c r="S20" s="308">
        <f t="shared" si="0"/>
        <v>2.0541078422363808E-2</v>
      </c>
      <c r="T20" s="308">
        <f t="shared" si="0"/>
        <v>1.0130167394720845E-2</v>
      </c>
      <c r="U20" s="308">
        <f t="shared" si="0"/>
        <v>2.2894805567016153E-2</v>
      </c>
      <c r="V20" s="307">
        <f t="shared" si="0"/>
        <v>24.747814327125344</v>
      </c>
      <c r="W20" s="308">
        <f t="shared" si="0"/>
        <v>6.9821419731701609E-4</v>
      </c>
      <c r="X20" s="307">
        <f t="shared" si="0"/>
        <v>8.016533376602775E-4</v>
      </c>
      <c r="Y20" s="309">
        <f t="shared" ref="Y20:AF23" si="1">Q20*2</f>
        <v>4.1082156844727616E-2</v>
      </c>
      <c r="Z20" s="308">
        <f t="shared" si="1"/>
        <v>0.31167576975304945</v>
      </c>
      <c r="AA20" s="308">
        <f t="shared" si="1"/>
        <v>4.1082156844727616E-2</v>
      </c>
      <c r="AB20" s="308">
        <f t="shared" si="1"/>
        <v>2.026033478944169E-2</v>
      </c>
      <c r="AC20" s="308">
        <f t="shared" si="1"/>
        <v>4.5789611134032307E-2</v>
      </c>
      <c r="AD20" s="307">
        <f t="shared" si="1"/>
        <v>49.495628654250687</v>
      </c>
      <c r="AE20" s="308">
        <f t="shared" si="1"/>
        <v>1.3964283946340322E-3</v>
      </c>
      <c r="AF20" s="307">
        <f t="shared" si="1"/>
        <v>1.603306675320555E-3</v>
      </c>
    </row>
    <row r="21" spans="1:32" s="296" customFormat="1" ht="16.95" customHeight="1" x14ac:dyDescent="0.25">
      <c r="A21" s="315" t="s">
        <v>397</v>
      </c>
      <c r="B21" s="313" t="s">
        <v>396</v>
      </c>
      <c r="C21" s="313" t="s">
        <v>395</v>
      </c>
      <c r="D21" s="314" t="s">
        <v>394</v>
      </c>
      <c r="E21" s="313">
        <v>4050</v>
      </c>
      <c r="F21" s="325" t="s">
        <v>381</v>
      </c>
      <c r="G21" s="325">
        <v>0.20792099999999999</v>
      </c>
      <c r="H21" s="324">
        <f>(B10+B11)*$H$24</f>
        <v>2.4642857142857144</v>
      </c>
      <c r="I21" s="323">
        <v>11.020362</v>
      </c>
      <c r="J21" s="310">
        <v>0.35583700000000001</v>
      </c>
      <c r="K21" s="310">
        <v>11.020362</v>
      </c>
      <c r="L21" s="310">
        <v>1.292</v>
      </c>
      <c r="M21" s="310">
        <v>1.78</v>
      </c>
      <c r="N21" s="311">
        <f>$C$15</f>
        <v>3156.3324538258576</v>
      </c>
      <c r="O21" s="310">
        <f>0.27/0.8/3.79</f>
        <v>8.9050131926121379E-2</v>
      </c>
      <c r="P21" s="310">
        <f>0.31/0.8/3.79</f>
        <v>0.10224274406332452</v>
      </c>
      <c r="Q21" s="309">
        <f t="shared" si="0"/>
        <v>0.74691822113144035</v>
      </c>
      <c r="R21" s="308">
        <f t="shared" si="0"/>
        <v>2.4117278457163962E-2</v>
      </c>
      <c r="S21" s="308">
        <f t="shared" si="0"/>
        <v>0.74691822113144035</v>
      </c>
      <c r="T21" s="308">
        <f t="shared" si="0"/>
        <v>8.7566845962212592E-2</v>
      </c>
      <c r="U21" s="308">
        <f t="shared" si="0"/>
        <v>0.12064162988602042</v>
      </c>
      <c r="V21" s="307">
        <f t="shared" si="0"/>
        <v>213.92420881555827</v>
      </c>
      <c r="W21" s="308">
        <f t="shared" si="0"/>
        <v>6.0354792455800145E-3</v>
      </c>
      <c r="X21" s="307">
        <f t="shared" si="0"/>
        <v>6.9296243189992746E-3</v>
      </c>
      <c r="Y21" s="309">
        <f t="shared" si="1"/>
        <v>1.4938364422628807</v>
      </c>
      <c r="Z21" s="308">
        <f t="shared" si="1"/>
        <v>4.8234556914327924E-2</v>
      </c>
      <c r="AA21" s="308">
        <f t="shared" si="1"/>
        <v>1.4938364422628807</v>
      </c>
      <c r="AB21" s="308">
        <f t="shared" si="1"/>
        <v>0.17513369192442518</v>
      </c>
      <c r="AC21" s="308">
        <f t="shared" si="1"/>
        <v>0.24128325977204085</v>
      </c>
      <c r="AD21" s="307">
        <f t="shared" si="1"/>
        <v>427.84841763111655</v>
      </c>
      <c r="AE21" s="308">
        <f t="shared" si="1"/>
        <v>1.2070958491160029E-2</v>
      </c>
      <c r="AF21" s="307">
        <f t="shared" si="1"/>
        <v>1.3859248637998549E-2</v>
      </c>
    </row>
    <row r="22" spans="1:32" s="296" customFormat="1" ht="16.95" customHeight="1" x14ac:dyDescent="0.25">
      <c r="A22" s="315" t="s">
        <v>393</v>
      </c>
      <c r="B22" s="313" t="s">
        <v>392</v>
      </c>
      <c r="C22" s="313" t="s">
        <v>391</v>
      </c>
      <c r="D22" s="314"/>
      <c r="E22" s="313"/>
      <c r="F22" s="325" t="s">
        <v>428</v>
      </c>
      <c r="G22" s="325">
        <v>0.16538700000000001</v>
      </c>
      <c r="H22" s="324">
        <f>B12*$H$24</f>
        <v>10.678571428571429</v>
      </c>
      <c r="I22" s="323">
        <v>8.5404070000000001</v>
      </c>
      <c r="J22" s="310">
        <v>0.40274399999999999</v>
      </c>
      <c r="K22" s="310">
        <v>8.5404070000000001</v>
      </c>
      <c r="L22" s="310">
        <v>1.292</v>
      </c>
      <c r="M22" s="310">
        <v>2.85</v>
      </c>
      <c r="N22" s="311">
        <f>$C$15</f>
        <v>3156.3324538258576</v>
      </c>
      <c r="O22" s="310">
        <f>0.27/0.8/3.79</f>
        <v>8.9050131926121379E-2</v>
      </c>
      <c r="P22" s="310">
        <f>0.31/0.8/3.79</f>
        <v>0.10224274406332452</v>
      </c>
      <c r="Q22" s="309">
        <f t="shared" si="0"/>
        <v>1.9951744438504457</v>
      </c>
      <c r="R22" s="308">
        <f t="shared" si="0"/>
        <v>9.4087382043280127E-2</v>
      </c>
      <c r="S22" s="308">
        <f t="shared" si="0"/>
        <v>1.9951744438504457</v>
      </c>
      <c r="T22" s="308">
        <f t="shared" si="0"/>
        <v>0.30183167868402239</v>
      </c>
      <c r="U22" s="308">
        <f t="shared" si="0"/>
        <v>0.66580517356769664</v>
      </c>
      <c r="V22" s="307">
        <f t="shared" si="0"/>
        <v>737.36929026557152</v>
      </c>
      <c r="W22" s="308">
        <f t="shared" si="0"/>
        <v>2.0803522295893863E-2</v>
      </c>
      <c r="X22" s="307">
        <f t="shared" si="0"/>
        <v>2.3885525598989248E-2</v>
      </c>
      <c r="Y22" s="309">
        <f t="shared" si="1"/>
        <v>3.9903488877008915</v>
      </c>
      <c r="Z22" s="308">
        <f t="shared" si="1"/>
        <v>0.18817476408656025</v>
      </c>
      <c r="AA22" s="308">
        <f t="shared" si="1"/>
        <v>3.9903488877008915</v>
      </c>
      <c r="AB22" s="308">
        <f t="shared" si="1"/>
        <v>0.60366335736804477</v>
      </c>
      <c r="AC22" s="308">
        <f t="shared" si="1"/>
        <v>1.3316103471353933</v>
      </c>
      <c r="AD22" s="307">
        <f t="shared" si="1"/>
        <v>1474.738580531143</v>
      </c>
      <c r="AE22" s="308">
        <f t="shared" si="1"/>
        <v>4.1607044591787726E-2</v>
      </c>
      <c r="AF22" s="307">
        <f t="shared" si="1"/>
        <v>4.7771051197978497E-2</v>
      </c>
    </row>
    <row r="23" spans="1:32" s="296" customFormat="1" ht="16.95" customHeight="1" x14ac:dyDescent="0.25">
      <c r="A23" s="315"/>
      <c r="B23" s="313"/>
      <c r="C23" s="313"/>
      <c r="D23" s="314"/>
      <c r="E23" s="313"/>
      <c r="F23" s="325" t="s">
        <v>378</v>
      </c>
      <c r="G23" s="325">
        <v>3.6080000000000001E-2</v>
      </c>
      <c r="H23" s="324">
        <f>B13*$H$24</f>
        <v>1.6428571428571428</v>
      </c>
      <c r="I23" s="323">
        <v>2.6198060000000001</v>
      </c>
      <c r="J23" s="310">
        <v>19.875540000000001</v>
      </c>
      <c r="K23" s="310">
        <v>2.6198060000000001</v>
      </c>
      <c r="L23" s="310">
        <v>1.292</v>
      </c>
      <c r="M23" s="310">
        <v>2.92</v>
      </c>
      <c r="N23" s="311">
        <f>$C$15</f>
        <v>3156.3324538258576</v>
      </c>
      <c r="O23" s="310">
        <f>0.27/0.8/3.79</f>
        <v>8.9050131926121379E-2</v>
      </c>
      <c r="P23" s="310">
        <f>0.31/0.8/3.79</f>
        <v>0.10224274406332452</v>
      </c>
      <c r="Q23" s="309">
        <f t="shared" si="0"/>
        <v>2.0541078422363808E-2</v>
      </c>
      <c r="R23" s="308">
        <f t="shared" si="0"/>
        <v>0.15583788487652472</v>
      </c>
      <c r="S23" s="308">
        <f t="shared" si="0"/>
        <v>2.0541078422363808E-2</v>
      </c>
      <c r="T23" s="308">
        <f t="shared" si="0"/>
        <v>1.0130167394720845E-2</v>
      </c>
      <c r="U23" s="308">
        <f t="shared" si="0"/>
        <v>2.2894805567016153E-2</v>
      </c>
      <c r="V23" s="307">
        <f t="shared" si="0"/>
        <v>24.747814327125344</v>
      </c>
      <c r="W23" s="308">
        <f t="shared" si="0"/>
        <v>6.9821419731701609E-4</v>
      </c>
      <c r="X23" s="307">
        <f t="shared" si="0"/>
        <v>8.016533376602775E-4</v>
      </c>
      <c r="Y23" s="309">
        <f t="shared" si="1"/>
        <v>4.1082156844727616E-2</v>
      </c>
      <c r="Z23" s="308">
        <f t="shared" si="1"/>
        <v>0.31167576975304945</v>
      </c>
      <c r="AA23" s="308">
        <f t="shared" si="1"/>
        <v>4.1082156844727616E-2</v>
      </c>
      <c r="AB23" s="308">
        <f t="shared" si="1"/>
        <v>2.026033478944169E-2</v>
      </c>
      <c r="AC23" s="308">
        <f t="shared" si="1"/>
        <v>4.5789611134032307E-2</v>
      </c>
      <c r="AD23" s="307">
        <f t="shared" si="1"/>
        <v>49.495628654250687</v>
      </c>
      <c r="AE23" s="308">
        <f t="shared" si="1"/>
        <v>1.3964283946340322E-3</v>
      </c>
      <c r="AF23" s="307">
        <f t="shared" si="1"/>
        <v>1.603306675320555E-3</v>
      </c>
    </row>
    <row r="24" spans="1:32" s="296" customFormat="1" ht="16.95" customHeight="1" thickBot="1" x14ac:dyDescent="0.3">
      <c r="A24" s="306" t="s">
        <v>117</v>
      </c>
      <c r="B24" s="304"/>
      <c r="C24" s="304"/>
      <c r="D24" s="305"/>
      <c r="E24" s="304"/>
      <c r="F24" s="304"/>
      <c r="G24" s="304"/>
      <c r="H24" s="303">
        <f>(2*60-5)/(5+2)</f>
        <v>16.428571428571427</v>
      </c>
      <c r="I24" s="309"/>
      <c r="J24" s="308"/>
      <c r="K24" s="308"/>
      <c r="L24" s="308"/>
      <c r="M24" s="308"/>
      <c r="N24" s="307"/>
      <c r="O24" s="308"/>
      <c r="P24" s="308"/>
      <c r="Q24" s="299"/>
      <c r="R24" s="298"/>
      <c r="S24" s="298"/>
      <c r="T24" s="298"/>
      <c r="U24" s="298"/>
      <c r="V24" s="297"/>
      <c r="W24" s="298"/>
      <c r="X24" s="297"/>
      <c r="Y24" s="299">
        <f t="shared" ref="Y24:AF24" si="2">SUM(Y20:Y23)</f>
        <v>5.5663496436532274</v>
      </c>
      <c r="Z24" s="298">
        <f t="shared" si="2"/>
        <v>0.85976086050698708</v>
      </c>
      <c r="AA24" s="298">
        <f t="shared" si="2"/>
        <v>5.5663496436532274</v>
      </c>
      <c r="AB24" s="298">
        <f t="shared" si="2"/>
        <v>0.8193177188713533</v>
      </c>
      <c r="AC24" s="298">
        <f t="shared" si="2"/>
        <v>1.6644728291754989</v>
      </c>
      <c r="AD24" s="297">
        <f t="shared" si="2"/>
        <v>2001.578255470761</v>
      </c>
      <c r="AE24" s="298">
        <f t="shared" si="2"/>
        <v>5.6470859872215819E-2</v>
      </c>
      <c r="AF24" s="297">
        <f t="shared" si="2"/>
        <v>6.4836913186618148E-2</v>
      </c>
    </row>
    <row r="25" spans="1:32" s="296" customFormat="1" ht="16.95" customHeight="1" x14ac:dyDescent="0.25">
      <c r="A25" s="321" t="s">
        <v>371</v>
      </c>
      <c r="B25" s="319"/>
      <c r="C25" s="319"/>
      <c r="D25" s="320"/>
      <c r="E25" s="319"/>
      <c r="F25" s="319"/>
      <c r="G25" s="319"/>
      <c r="H25" s="319"/>
      <c r="I25" s="318"/>
      <c r="J25" s="317"/>
      <c r="K25" s="317"/>
      <c r="L25" s="317"/>
      <c r="M25" s="317"/>
      <c r="N25" s="316"/>
      <c r="O25" s="317"/>
      <c r="P25" s="317"/>
      <c r="Q25" s="318"/>
      <c r="R25" s="317"/>
      <c r="S25" s="317"/>
      <c r="T25" s="317"/>
      <c r="U25" s="317"/>
      <c r="V25" s="316"/>
      <c r="W25" s="317"/>
      <c r="X25" s="316"/>
      <c r="Y25" s="318"/>
      <c r="Z25" s="317"/>
      <c r="AA25" s="317"/>
      <c r="AB25" s="317"/>
      <c r="AC25" s="317"/>
      <c r="AD25" s="316"/>
      <c r="AE25" s="317"/>
      <c r="AF25" s="316"/>
    </row>
    <row r="26" spans="1:32" s="296" customFormat="1" ht="16.95" customHeight="1" x14ac:dyDescent="0.25">
      <c r="A26" s="315" t="s">
        <v>390</v>
      </c>
      <c r="B26" s="313" t="s">
        <v>389</v>
      </c>
      <c r="C26" s="313" t="s">
        <v>388</v>
      </c>
      <c r="D26" s="314" t="s">
        <v>387</v>
      </c>
      <c r="E26" s="313">
        <v>850</v>
      </c>
      <c r="F26" s="313" t="s">
        <v>386</v>
      </c>
      <c r="G26" s="313">
        <v>1.2958000000000001E-2</v>
      </c>
      <c r="H26" s="312">
        <f>B9*$H$31</f>
        <v>0.9916666666666667</v>
      </c>
      <c r="I26" s="309">
        <v>2.1602000000000001</v>
      </c>
      <c r="J26" s="308">
        <v>20.030322999999999</v>
      </c>
      <c r="K26" s="308">
        <v>2.1602000000000001</v>
      </c>
      <c r="L26" s="308">
        <v>1.292</v>
      </c>
      <c r="M26" s="308">
        <v>2.9</v>
      </c>
      <c r="N26" s="311">
        <f>$C$15</f>
        <v>3156.3324538258576</v>
      </c>
      <c r="O26" s="310">
        <f>0.27/0.8/3.79</f>
        <v>8.9050131926121379E-2</v>
      </c>
      <c r="P26" s="310">
        <f>0.31/0.8/3.79</f>
        <v>0.10224274406332452</v>
      </c>
      <c r="Q26" s="309">
        <f t="shared" ref="Q26:X30" si="3">I26*$G26*$H26*60/453.59</f>
        <v>3.6718542300315264E-3</v>
      </c>
      <c r="R26" s="308">
        <f t="shared" si="3"/>
        <v>3.4047044827538092E-2</v>
      </c>
      <c r="S26" s="308">
        <f t="shared" si="3"/>
        <v>3.6718542300315264E-3</v>
      </c>
      <c r="T26" s="308">
        <f t="shared" si="3"/>
        <v>2.1961094644943674E-3</v>
      </c>
      <c r="U26" s="308">
        <f t="shared" si="3"/>
        <v>4.9293478692211037E-3</v>
      </c>
      <c r="V26" s="307">
        <f t="shared" si="3"/>
        <v>5.3650553985585887</v>
      </c>
      <c r="W26" s="308">
        <f t="shared" si="3"/>
        <v>1.5136519933237402E-4</v>
      </c>
      <c r="X26" s="307">
        <f t="shared" si="3"/>
        <v>1.7378967330754046E-4</v>
      </c>
      <c r="Y26" s="309">
        <f t="shared" ref="Y26:AD30" si="4">2*Q26</f>
        <v>7.3437084600630528E-3</v>
      </c>
      <c r="Z26" s="308">
        <f t="shared" si="4"/>
        <v>6.8094089655076184E-2</v>
      </c>
      <c r="AA26" s="308">
        <f t="shared" si="4"/>
        <v>7.3437084600630528E-3</v>
      </c>
      <c r="AB26" s="308">
        <f t="shared" si="4"/>
        <v>4.3922189289887347E-3</v>
      </c>
      <c r="AC26" s="308">
        <f t="shared" si="4"/>
        <v>9.8586957384422073E-3</v>
      </c>
      <c r="AD26" s="307">
        <f t="shared" si="4"/>
        <v>10.730110797117177</v>
      </c>
      <c r="AE26" s="308">
        <f t="shared" ref="AE26:AF30" si="5">W26*2</f>
        <v>3.0273039866474805E-4</v>
      </c>
      <c r="AF26" s="307">
        <f t="shared" si="5"/>
        <v>3.4757934661508092E-4</v>
      </c>
    </row>
    <row r="27" spans="1:32" s="296" customFormat="1" ht="16.95" customHeight="1" x14ac:dyDescent="0.25">
      <c r="A27" s="315" t="s">
        <v>385</v>
      </c>
      <c r="B27" s="313" t="s">
        <v>384</v>
      </c>
      <c r="C27" s="313" t="s">
        <v>383</v>
      </c>
      <c r="D27" s="314" t="s">
        <v>382</v>
      </c>
      <c r="E27" s="313">
        <v>575</v>
      </c>
      <c r="F27" s="313" t="s">
        <v>381</v>
      </c>
      <c r="G27" s="313">
        <v>0.1193</v>
      </c>
      <c r="H27" s="312">
        <f>B10*$H$31</f>
        <v>0.49583333333333335</v>
      </c>
      <c r="I27" s="309">
        <v>7.2994599999999998</v>
      </c>
      <c r="J27" s="308">
        <v>1.15E-4</v>
      </c>
      <c r="K27" s="308">
        <v>7.2994599999999998</v>
      </c>
      <c r="L27" s="308">
        <v>1.292</v>
      </c>
      <c r="M27" s="308">
        <v>1.75</v>
      </c>
      <c r="N27" s="311">
        <f>$C$15</f>
        <v>3156.3324538258576</v>
      </c>
      <c r="O27" s="310">
        <f>0.27/0.8/3.79</f>
        <v>8.9050131926121379E-2</v>
      </c>
      <c r="P27" s="310">
        <f>0.31/0.8/3.79</f>
        <v>0.10224274406332452</v>
      </c>
      <c r="Q27" s="309">
        <f t="shared" si="3"/>
        <v>5.7115591052492344E-2</v>
      </c>
      <c r="R27" s="308">
        <f t="shared" si="3"/>
        <v>8.998327233845545E-7</v>
      </c>
      <c r="S27" s="308">
        <f t="shared" si="3"/>
        <v>5.7115591052492344E-2</v>
      </c>
      <c r="T27" s="308">
        <f t="shared" si="3"/>
        <v>1.010942503141604E-2</v>
      </c>
      <c r="U27" s="308">
        <f t="shared" si="3"/>
        <v>1.3693106660199742E-2</v>
      </c>
      <c r="V27" s="307">
        <f t="shared" si="3"/>
        <v>24.697141111592828</v>
      </c>
      <c r="W27" s="308">
        <f t="shared" si="3"/>
        <v>6.9678454546813614E-4</v>
      </c>
      <c r="X27" s="307">
        <f t="shared" si="3"/>
        <v>8.0001188553748958E-4</v>
      </c>
      <c r="Y27" s="309">
        <f t="shared" si="4"/>
        <v>0.11423118210498469</v>
      </c>
      <c r="Z27" s="308">
        <f t="shared" si="4"/>
        <v>1.799665446769109E-6</v>
      </c>
      <c r="AA27" s="308">
        <f t="shared" si="4"/>
        <v>0.11423118210498469</v>
      </c>
      <c r="AB27" s="308">
        <f t="shared" si="4"/>
        <v>2.021885006283208E-2</v>
      </c>
      <c r="AC27" s="308">
        <f t="shared" si="4"/>
        <v>2.7386213320399484E-2</v>
      </c>
      <c r="AD27" s="307">
        <f t="shared" si="4"/>
        <v>49.394282223185655</v>
      </c>
      <c r="AE27" s="308">
        <f t="shared" si="5"/>
        <v>1.3935690909362723E-3</v>
      </c>
      <c r="AF27" s="307">
        <f t="shared" si="5"/>
        <v>1.6000237710749792E-3</v>
      </c>
    </row>
    <row r="28" spans="1:32" s="296" customFormat="1" ht="16.95" customHeight="1" x14ac:dyDescent="0.25">
      <c r="A28" s="315"/>
      <c r="B28" s="313"/>
      <c r="C28" s="313"/>
      <c r="D28" s="314"/>
      <c r="E28" s="313"/>
      <c r="F28" s="313" t="s">
        <v>380</v>
      </c>
      <c r="G28" s="313">
        <v>0.116844</v>
      </c>
      <c r="H28" s="312">
        <f>B11*$H$31</f>
        <v>0.9916666666666667</v>
      </c>
      <c r="I28" s="309">
        <v>7.3302870000000002</v>
      </c>
      <c r="J28" s="308">
        <v>1.18E-4</v>
      </c>
      <c r="K28" s="308">
        <v>7.3302870000000002</v>
      </c>
      <c r="L28" s="308">
        <v>1.292</v>
      </c>
      <c r="M28" s="308">
        <v>1.47</v>
      </c>
      <c r="N28" s="311">
        <f>$C$15</f>
        <v>3156.3324538258576</v>
      </c>
      <c r="O28" s="310">
        <f>0.27/0.8/3.79</f>
        <v>8.9050131926121379E-2</v>
      </c>
      <c r="P28" s="310">
        <f>0.31/0.8/3.79</f>
        <v>0.10224274406332452</v>
      </c>
      <c r="Q28" s="309">
        <f t="shared" si="3"/>
        <v>0.11235202104668535</v>
      </c>
      <c r="R28" s="308">
        <f t="shared" si="3"/>
        <v>1.8085974646707379E-6</v>
      </c>
      <c r="S28" s="308">
        <f t="shared" si="3"/>
        <v>0.11235202104668535</v>
      </c>
      <c r="T28" s="308">
        <f t="shared" si="3"/>
        <v>1.9802609528428758E-2</v>
      </c>
      <c r="U28" s="308">
        <f t="shared" si="3"/>
        <v>2.2530832822593092E-2</v>
      </c>
      <c r="V28" s="307">
        <f t="shared" si="3"/>
        <v>48.377414183452672</v>
      </c>
      <c r="W28" s="308">
        <f t="shared" si="3"/>
        <v>1.3648800239845582E-3</v>
      </c>
      <c r="X28" s="307">
        <f t="shared" si="3"/>
        <v>1.5670844719822702E-3</v>
      </c>
      <c r="Y28" s="309">
        <f t="shared" si="4"/>
        <v>0.22470404209337069</v>
      </c>
      <c r="Z28" s="308">
        <f t="shared" si="4"/>
        <v>3.6171949293414758E-6</v>
      </c>
      <c r="AA28" s="308">
        <f t="shared" si="4"/>
        <v>0.22470404209337069</v>
      </c>
      <c r="AB28" s="308">
        <f t="shared" si="4"/>
        <v>3.9605219056857516E-2</v>
      </c>
      <c r="AC28" s="308">
        <f t="shared" si="4"/>
        <v>4.5061665645186183E-2</v>
      </c>
      <c r="AD28" s="307">
        <f t="shared" si="4"/>
        <v>96.754828366905343</v>
      </c>
      <c r="AE28" s="308">
        <f t="shared" si="5"/>
        <v>2.7297600479691164E-3</v>
      </c>
      <c r="AF28" s="307">
        <f t="shared" si="5"/>
        <v>3.1341689439645403E-3</v>
      </c>
    </row>
    <row r="29" spans="1:32" s="296" customFormat="1" ht="16.95" customHeight="1" x14ac:dyDescent="0.25">
      <c r="A29" s="315"/>
      <c r="B29" s="313"/>
      <c r="C29" s="313"/>
      <c r="D29" s="314"/>
      <c r="E29" s="313"/>
      <c r="F29" s="313" t="s">
        <v>379</v>
      </c>
      <c r="G29" s="313">
        <v>2.8586E-2</v>
      </c>
      <c r="H29" s="312">
        <f>B12*$H$31</f>
        <v>6.4458333333333329</v>
      </c>
      <c r="I29" s="309">
        <v>4.2020239999999998</v>
      </c>
      <c r="J29" s="308">
        <v>1.1460000000000001E-3</v>
      </c>
      <c r="K29" s="308">
        <v>4.2020239999999998</v>
      </c>
      <c r="L29" s="308">
        <v>1.292</v>
      </c>
      <c r="M29" s="308">
        <v>2.4</v>
      </c>
      <c r="N29" s="311">
        <f>$C$15</f>
        <v>3156.3324538258576</v>
      </c>
      <c r="O29" s="310">
        <f>0.27/0.8/3.79</f>
        <v>8.9050131926121379E-2</v>
      </c>
      <c r="P29" s="310">
        <f>0.31/0.8/3.79</f>
        <v>0.10224274406332452</v>
      </c>
      <c r="Q29" s="309">
        <f t="shared" si="3"/>
        <v>0.10241858441820147</v>
      </c>
      <c r="R29" s="308">
        <f t="shared" si="3"/>
        <v>2.7932181668467117E-5</v>
      </c>
      <c r="S29" s="308">
        <f t="shared" si="3"/>
        <v>0.10241858441820147</v>
      </c>
      <c r="T29" s="308">
        <f t="shared" si="3"/>
        <v>3.1490731863577245E-2</v>
      </c>
      <c r="U29" s="308">
        <f t="shared" si="3"/>
        <v>5.8496715536056794E-2</v>
      </c>
      <c r="V29" s="307">
        <f t="shared" si="3"/>
        <v>76.931284036948043</v>
      </c>
      <c r="W29" s="308">
        <f t="shared" si="3"/>
        <v>2.1704750982211043E-3</v>
      </c>
      <c r="X29" s="307">
        <f t="shared" si="3"/>
        <v>2.4920269646242308E-3</v>
      </c>
      <c r="Y29" s="309">
        <f t="shared" si="4"/>
        <v>0.20483716883640293</v>
      </c>
      <c r="Z29" s="308">
        <f t="shared" si="4"/>
        <v>5.5864363336934235E-5</v>
      </c>
      <c r="AA29" s="308">
        <f t="shared" si="4"/>
        <v>0.20483716883640293</v>
      </c>
      <c r="AB29" s="308">
        <f t="shared" si="4"/>
        <v>6.2981463727154491E-2</v>
      </c>
      <c r="AC29" s="308">
        <f t="shared" si="4"/>
        <v>0.11699343107211359</v>
      </c>
      <c r="AD29" s="307">
        <f t="shared" si="4"/>
        <v>153.86256807389609</v>
      </c>
      <c r="AE29" s="308">
        <f t="shared" si="5"/>
        <v>4.3409501964422085E-3</v>
      </c>
      <c r="AF29" s="307">
        <f t="shared" si="5"/>
        <v>4.9840539292484616E-3</v>
      </c>
    </row>
    <row r="30" spans="1:32" s="296" customFormat="1" ht="16.95" customHeight="1" x14ac:dyDescent="0.25">
      <c r="A30" s="315"/>
      <c r="B30" s="313"/>
      <c r="C30" s="313"/>
      <c r="D30" s="314"/>
      <c r="E30" s="313"/>
      <c r="F30" s="313" t="s">
        <v>378</v>
      </c>
      <c r="G30" s="313">
        <v>1.2958000000000001E-2</v>
      </c>
      <c r="H30" s="312">
        <f>B13*$H$31</f>
        <v>0.9916666666666667</v>
      </c>
      <c r="I30" s="309">
        <v>2.1602000000000001</v>
      </c>
      <c r="J30" s="308">
        <v>20.030322999999999</v>
      </c>
      <c r="K30" s="308">
        <v>2.1602000000000001</v>
      </c>
      <c r="L30" s="308">
        <v>1.292</v>
      </c>
      <c r="M30" s="308">
        <v>2.9</v>
      </c>
      <c r="N30" s="311">
        <f>$C$15</f>
        <v>3156.3324538258576</v>
      </c>
      <c r="O30" s="310">
        <f>0.27/0.8/3.79</f>
        <v>8.9050131926121379E-2</v>
      </c>
      <c r="P30" s="310">
        <f>0.31/0.8/3.79</f>
        <v>0.10224274406332452</v>
      </c>
      <c r="Q30" s="309">
        <f t="shared" si="3"/>
        <v>3.6718542300315264E-3</v>
      </c>
      <c r="R30" s="308">
        <f t="shared" si="3"/>
        <v>3.4047044827538092E-2</v>
      </c>
      <c r="S30" s="308">
        <f t="shared" si="3"/>
        <v>3.6718542300315264E-3</v>
      </c>
      <c r="T30" s="308">
        <f t="shared" si="3"/>
        <v>2.1961094644943674E-3</v>
      </c>
      <c r="U30" s="308">
        <f t="shared" si="3"/>
        <v>4.9293478692211037E-3</v>
      </c>
      <c r="V30" s="307">
        <f t="shared" si="3"/>
        <v>5.3650553985585887</v>
      </c>
      <c r="W30" s="308">
        <f t="shared" si="3"/>
        <v>1.5136519933237402E-4</v>
      </c>
      <c r="X30" s="307">
        <f t="shared" si="3"/>
        <v>1.7378967330754046E-4</v>
      </c>
      <c r="Y30" s="309">
        <f t="shared" si="4"/>
        <v>7.3437084600630528E-3</v>
      </c>
      <c r="Z30" s="308">
        <f t="shared" si="4"/>
        <v>6.8094089655076184E-2</v>
      </c>
      <c r="AA30" s="308">
        <f t="shared" si="4"/>
        <v>7.3437084600630528E-3</v>
      </c>
      <c r="AB30" s="308">
        <f t="shared" si="4"/>
        <v>4.3922189289887347E-3</v>
      </c>
      <c r="AC30" s="308">
        <f t="shared" si="4"/>
        <v>9.8586957384422073E-3</v>
      </c>
      <c r="AD30" s="307">
        <f t="shared" si="4"/>
        <v>10.730110797117177</v>
      </c>
      <c r="AE30" s="308">
        <f t="shared" si="5"/>
        <v>3.0273039866474805E-4</v>
      </c>
      <c r="AF30" s="307">
        <f t="shared" si="5"/>
        <v>3.4757934661508092E-4</v>
      </c>
    </row>
    <row r="31" spans="1:32" s="296" customFormat="1" ht="16.95" customHeight="1" thickBot="1" x14ac:dyDescent="0.3">
      <c r="A31" s="306" t="s">
        <v>117</v>
      </c>
      <c r="B31" s="304"/>
      <c r="C31" s="304"/>
      <c r="D31" s="305"/>
      <c r="E31" s="304"/>
      <c r="F31" s="304"/>
      <c r="G31" s="304"/>
      <c r="H31" s="303">
        <f>(10*60-5)/(50+10)</f>
        <v>9.9166666666666661</v>
      </c>
      <c r="I31" s="302"/>
      <c r="J31" s="301"/>
      <c r="K31" s="301"/>
      <c r="L31" s="301"/>
      <c r="M31" s="301"/>
      <c r="N31" s="300"/>
      <c r="O31" s="301"/>
      <c r="P31" s="301"/>
      <c r="Q31" s="302"/>
      <c r="R31" s="301"/>
      <c r="S31" s="301"/>
      <c r="T31" s="301"/>
      <c r="U31" s="301"/>
      <c r="V31" s="300"/>
      <c r="W31" s="301"/>
      <c r="X31" s="300"/>
      <c r="Y31" s="299">
        <f t="shared" ref="Y31:AF31" si="6">SUM(Y26:Y30)</f>
        <v>0.55845980995488442</v>
      </c>
      <c r="Z31" s="298">
        <f t="shared" si="6"/>
        <v>0.13624946053386541</v>
      </c>
      <c r="AA31" s="298">
        <f t="shared" si="6"/>
        <v>0.55845980995488442</v>
      </c>
      <c r="AB31" s="298">
        <f t="shared" si="6"/>
        <v>0.13158997070482154</v>
      </c>
      <c r="AC31" s="298">
        <f t="shared" si="6"/>
        <v>0.20915870151458366</v>
      </c>
      <c r="AD31" s="297">
        <f t="shared" si="6"/>
        <v>321.47190025822147</v>
      </c>
      <c r="AE31" s="298">
        <f t="shared" si="6"/>
        <v>9.0697401326770948E-3</v>
      </c>
      <c r="AF31" s="297">
        <f t="shared" si="6"/>
        <v>1.0413405337518142E-2</v>
      </c>
    </row>
    <row r="32" spans="1:32" s="230" customFormat="1" ht="16.2" customHeight="1" x14ac:dyDescent="0.3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</row>
  </sheetData>
  <mergeCells count="11">
    <mergeCell ref="Y17:AD17"/>
    <mergeCell ref="A17:A18"/>
    <mergeCell ref="B17:B18"/>
    <mergeCell ref="C17:C18"/>
    <mergeCell ref="D17:D18"/>
    <mergeCell ref="E17:E18"/>
    <mergeCell ref="F17:F18"/>
    <mergeCell ref="G17:G18"/>
    <mergeCell ref="H17:H18"/>
    <mergeCell ref="I17:N17"/>
    <mergeCell ref="Q17:V17"/>
  </mergeCells>
  <pageMargins left="0.7" right="0.7" top="0.75" bottom="0.75" header="0.3" footer="0.3"/>
  <pageSetup scale="80" fitToWidth="2" orientation="landscape" r:id="rId1"/>
  <headerFooter>
    <oddHeader>&amp;CTable A-14
Helicopter Emission Factors
South Orange County Reliability Enhancement Project</oddHeader>
    <oddFooter>&amp;CA-14</oddFooter>
  </headerFooter>
  <colBreaks count="2" manualBreakCount="2">
    <brk id="16" max="38" man="1"/>
    <brk id="24" max="3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3"/>
  <sheetViews>
    <sheetView topLeftCell="A70" workbookViewId="0">
      <selection activeCell="D93" sqref="D93"/>
    </sheetView>
  </sheetViews>
  <sheetFormatPr defaultRowHeight="13.2" x14ac:dyDescent="0.25"/>
  <cols>
    <col min="1" max="1" width="45.5546875" customWidth="1"/>
    <col min="2" max="2" width="10" customWidth="1"/>
    <col min="3" max="3" width="12.44140625" bestFit="1" customWidth="1"/>
    <col min="11" max="11" width="11.77734375" customWidth="1"/>
    <col min="12" max="12" width="11.44140625" customWidth="1"/>
    <col min="13" max="13" width="8.88671875" customWidth="1"/>
  </cols>
  <sheetData>
    <row r="1" spans="1:12" s="113" customFormat="1" x14ac:dyDescent="0.25">
      <c r="A1" s="110" t="s">
        <v>112</v>
      </c>
      <c r="B1" s="111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2" x14ac:dyDescent="0.25">
      <c r="A2" s="3" t="s">
        <v>186</v>
      </c>
    </row>
    <row r="3" spans="1:12" x14ac:dyDescent="0.25">
      <c r="A3" s="97" t="s">
        <v>188</v>
      </c>
      <c r="B3">
        <f>5500+4100</f>
        <v>9600</v>
      </c>
      <c r="C3" s="97" t="s">
        <v>134</v>
      </c>
    </row>
    <row r="4" spans="1:12" x14ac:dyDescent="0.25">
      <c r="A4" s="97" t="s">
        <v>136</v>
      </c>
      <c r="B4">
        <f>B3/5</f>
        <v>1920</v>
      </c>
      <c r="C4" s="97" t="s">
        <v>135</v>
      </c>
    </row>
    <row r="5" spans="1:12" x14ac:dyDescent="0.25">
      <c r="A5" s="97"/>
      <c r="B5" s="97" t="s">
        <v>70</v>
      </c>
      <c r="C5" s="97" t="s">
        <v>71</v>
      </c>
    </row>
    <row r="6" spans="1:12" x14ac:dyDescent="0.25">
      <c r="A6" s="97" t="s">
        <v>148</v>
      </c>
      <c r="B6" s="32">
        <f>1.6*A34</f>
        <v>4.5768034234717385E-3</v>
      </c>
      <c r="C6" s="32">
        <f>1.6*B34</f>
        <v>1.4384239330911181E-3</v>
      </c>
      <c r="D6" s="32"/>
    </row>
    <row r="7" spans="1:12" x14ac:dyDescent="0.25">
      <c r="A7" s="99" t="s">
        <v>75</v>
      </c>
      <c r="B7" s="32">
        <f>3*B4*B6</f>
        <v>26.362387719197216</v>
      </c>
      <c r="C7" s="32">
        <f>3*B4*C6</f>
        <v>8.2853218546048399</v>
      </c>
      <c r="D7" s="32"/>
    </row>
    <row r="8" spans="1:12" x14ac:dyDescent="0.25">
      <c r="A8" s="99" t="s">
        <v>149</v>
      </c>
      <c r="B8" s="32">
        <f>1.6*A36</f>
        <v>1.0405362901315847E-3</v>
      </c>
      <c r="C8" s="32">
        <f>1.6*B36</f>
        <v>3.270256911842124E-4</v>
      </c>
      <c r="D8" s="32"/>
    </row>
    <row r="9" spans="1:12" x14ac:dyDescent="0.25">
      <c r="A9" s="99" t="s">
        <v>147</v>
      </c>
      <c r="B9" s="32">
        <f>3*B3*B8/2000</f>
        <v>1.4983722577894818E-2</v>
      </c>
      <c r="C9" s="32">
        <f>3*B3*C8/2000</f>
        <v>4.7091699530526585E-3</v>
      </c>
      <c r="D9" s="32"/>
    </row>
    <row r="11" spans="1:12" x14ac:dyDescent="0.25">
      <c r="A11" s="3" t="s">
        <v>187</v>
      </c>
    </row>
    <row r="12" spans="1:12" x14ac:dyDescent="0.25">
      <c r="A12" s="97" t="s">
        <v>189</v>
      </c>
      <c r="B12" s="97">
        <f>7800+4100</f>
        <v>11900</v>
      </c>
      <c r="C12" s="97" t="s">
        <v>134</v>
      </c>
    </row>
    <row r="13" spans="1:12" x14ac:dyDescent="0.25">
      <c r="A13" s="97" t="s">
        <v>136</v>
      </c>
      <c r="B13">
        <f>B12/5</f>
        <v>2380</v>
      </c>
      <c r="C13" s="97" t="s">
        <v>135</v>
      </c>
    </row>
    <row r="14" spans="1:12" x14ac:dyDescent="0.25">
      <c r="A14" s="97"/>
      <c r="B14" s="97" t="s">
        <v>70</v>
      </c>
      <c r="C14" s="97" t="s">
        <v>71</v>
      </c>
    </row>
    <row r="15" spans="1:12" x14ac:dyDescent="0.25">
      <c r="A15" s="97" t="s">
        <v>148</v>
      </c>
      <c r="B15" s="32">
        <f>1.6*A34</f>
        <v>4.5768034234717385E-3</v>
      </c>
      <c r="C15" s="32">
        <f>1.6*B34</f>
        <v>1.4384239330911181E-3</v>
      </c>
    </row>
    <row r="16" spans="1:12" x14ac:dyDescent="0.25">
      <c r="A16" s="99" t="s">
        <v>75</v>
      </c>
      <c r="B16" s="32">
        <f>3*B13*B15</f>
        <v>32.678376443588213</v>
      </c>
      <c r="C16" s="32">
        <f>3*B13*C15</f>
        <v>10.270346882270584</v>
      </c>
    </row>
    <row r="17" spans="1:3" x14ac:dyDescent="0.25">
      <c r="A17" s="99" t="s">
        <v>149</v>
      </c>
      <c r="B17" s="32">
        <f>1.6*A36</f>
        <v>1.0405362901315847E-3</v>
      </c>
      <c r="C17" s="32">
        <f>1.6*B36</f>
        <v>3.270256911842124E-4</v>
      </c>
    </row>
    <row r="18" spans="1:3" x14ac:dyDescent="0.25">
      <c r="A18" s="99" t="s">
        <v>147</v>
      </c>
      <c r="B18" s="32">
        <f>3*B12*B17/2000</f>
        <v>1.8573572778848784E-2</v>
      </c>
      <c r="C18" s="32">
        <f>3*B12*C17/2000</f>
        <v>5.8374085876381912E-3</v>
      </c>
    </row>
    <row r="21" spans="1:3" x14ac:dyDescent="0.25">
      <c r="A21" s="119" t="s">
        <v>145</v>
      </c>
      <c r="B21" s="119"/>
      <c r="C21" s="119"/>
    </row>
    <row r="22" spans="1:3" x14ac:dyDescent="0.25">
      <c r="A22" s="119"/>
      <c r="B22" s="119"/>
      <c r="C22" s="119"/>
    </row>
    <row r="23" spans="1:3" ht="15.6" x14ac:dyDescent="0.25">
      <c r="A23" s="120" t="s">
        <v>138</v>
      </c>
      <c r="B23" s="120"/>
      <c r="C23" s="120"/>
    </row>
    <row r="24" spans="1:3" x14ac:dyDescent="0.25">
      <c r="A24" s="120" t="s">
        <v>139</v>
      </c>
      <c r="B24" s="120"/>
      <c r="C24" s="120"/>
    </row>
    <row r="25" spans="1:3" x14ac:dyDescent="0.25">
      <c r="A25" s="119" t="s">
        <v>140</v>
      </c>
      <c r="B25" s="120"/>
      <c r="C25" s="120"/>
    </row>
    <row r="26" spans="1:3" x14ac:dyDescent="0.25">
      <c r="A26" s="120" t="s">
        <v>141</v>
      </c>
      <c r="B26" s="120"/>
      <c r="C26" s="120"/>
    </row>
    <row r="27" spans="1:3" x14ac:dyDescent="0.25">
      <c r="A27" s="120" t="s">
        <v>142</v>
      </c>
      <c r="B27" s="120"/>
      <c r="C27" s="120"/>
    </row>
    <row r="28" spans="1:3" x14ac:dyDescent="0.25">
      <c r="A28" s="120" t="s">
        <v>143</v>
      </c>
      <c r="B28" s="120"/>
      <c r="C28" s="120"/>
    </row>
    <row r="29" spans="1:3" x14ac:dyDescent="0.25">
      <c r="A29" s="120" t="s">
        <v>146</v>
      </c>
      <c r="B29" s="120"/>
      <c r="C29" s="120"/>
    </row>
    <row r="30" spans="1:3" x14ac:dyDescent="0.25">
      <c r="A30" s="120"/>
      <c r="B30" s="120"/>
      <c r="C30" s="119"/>
    </row>
    <row r="31" spans="1:3" x14ac:dyDescent="0.25">
      <c r="A31" s="119" t="s">
        <v>144</v>
      </c>
      <c r="B31" s="119"/>
      <c r="C31" s="119"/>
    </row>
    <row r="32" spans="1:3" x14ac:dyDescent="0.25">
      <c r="A32" s="119" t="s">
        <v>0</v>
      </c>
      <c r="B32" s="119"/>
      <c r="C32" s="119"/>
    </row>
    <row r="33" spans="1:3" ht="26.4" x14ac:dyDescent="0.25">
      <c r="A33" s="123" t="s">
        <v>150</v>
      </c>
      <c r="B33" s="9" t="s">
        <v>151</v>
      </c>
      <c r="C33" s="119"/>
    </row>
    <row r="34" spans="1:3" x14ac:dyDescent="0.25">
      <c r="A34" s="121">
        <f>3*0.35*0.0032*(25/5)^1.3/(10/2)^1.4</f>
        <v>2.8605021396698365E-3</v>
      </c>
      <c r="B34" s="122">
        <f>3*0.11*0.0032*(25/5)^1.3/(10/2)^1.4</f>
        <v>8.9901495818194878E-4</v>
      </c>
      <c r="C34" s="119"/>
    </row>
    <row r="35" spans="1:3" ht="39.6" x14ac:dyDescent="0.25">
      <c r="A35" s="123" t="s">
        <v>152</v>
      </c>
      <c r="B35" s="9" t="s">
        <v>153</v>
      </c>
      <c r="C35" s="121"/>
    </row>
    <row r="36" spans="1:3" x14ac:dyDescent="0.25">
      <c r="A36" s="121">
        <f>3*0.35*0.0032*(8/5)^1.3/(10/2)^1.4</f>
        <v>6.5033518133224039E-4</v>
      </c>
      <c r="B36" s="122">
        <f>3*0.11*0.0032*(8/5)^1.3/(10/2)^1.4</f>
        <v>2.0439105699013272E-4</v>
      </c>
    </row>
    <row r="40" spans="1:3" x14ac:dyDescent="0.25">
      <c r="A40" s="3" t="s">
        <v>181</v>
      </c>
    </row>
    <row r="41" spans="1:3" x14ac:dyDescent="0.25">
      <c r="A41" s="97" t="s">
        <v>137</v>
      </c>
      <c r="B41">
        <v>5</v>
      </c>
      <c r="C41" s="97" t="s">
        <v>182</v>
      </c>
    </row>
    <row r="42" spans="1:3" x14ac:dyDescent="0.25">
      <c r="A42" s="97" t="s">
        <v>136</v>
      </c>
      <c r="B42">
        <v>5</v>
      </c>
      <c r="C42" s="97" t="s">
        <v>183</v>
      </c>
    </row>
    <row r="43" spans="1:3" x14ac:dyDescent="0.25">
      <c r="A43" s="97" t="s">
        <v>190</v>
      </c>
      <c r="B43">
        <v>0.61</v>
      </c>
      <c r="C43" s="97"/>
    </row>
    <row r="44" spans="1:3" x14ac:dyDescent="0.25">
      <c r="A44" s="97"/>
      <c r="B44" s="97" t="s">
        <v>70</v>
      </c>
      <c r="C44" s="97" t="s">
        <v>71</v>
      </c>
    </row>
    <row r="45" spans="1:3" x14ac:dyDescent="0.25">
      <c r="A45" s="97" t="s">
        <v>184</v>
      </c>
      <c r="B45" s="32">
        <v>20</v>
      </c>
      <c r="C45" s="32">
        <f>0.21*B45</f>
        <v>4.2</v>
      </c>
    </row>
    <row r="46" spans="1:3" x14ac:dyDescent="0.25">
      <c r="A46" s="99" t="s">
        <v>75</v>
      </c>
      <c r="B46" s="32">
        <f>B45*B42*(1-$B$43)</f>
        <v>39</v>
      </c>
      <c r="C46" s="32">
        <f>C45*B42*(1-$B$43)</f>
        <v>8.19</v>
      </c>
    </row>
    <row r="47" spans="1:3" x14ac:dyDescent="0.25">
      <c r="A47" s="99" t="s">
        <v>185</v>
      </c>
      <c r="B47" s="32">
        <v>20</v>
      </c>
      <c r="C47" s="32">
        <v>4.2</v>
      </c>
    </row>
    <row r="48" spans="1:3" x14ac:dyDescent="0.25">
      <c r="A48" s="99" t="s">
        <v>147</v>
      </c>
      <c r="B48" s="32">
        <f>B47*B41*(1-$B$43)/2000</f>
        <v>1.95E-2</v>
      </c>
      <c r="C48" s="32">
        <f>C47*B41*(1-$B$43)/2000</f>
        <v>4.0949999999999997E-3</v>
      </c>
    </row>
    <row r="50" spans="1:3" x14ac:dyDescent="0.25">
      <c r="A50" s="119" t="s">
        <v>292</v>
      </c>
      <c r="B50" s="119"/>
      <c r="C50" s="119"/>
    </row>
    <row r="51" spans="1:3" x14ac:dyDescent="0.25">
      <c r="A51" s="119"/>
      <c r="B51" s="119"/>
      <c r="C51" s="119"/>
    </row>
    <row r="52" spans="1:3" ht="15.6" x14ac:dyDescent="0.25">
      <c r="A52" s="119" t="s">
        <v>293</v>
      </c>
      <c r="B52" s="119"/>
      <c r="C52" s="119"/>
    </row>
    <row r="53" spans="1:3" x14ac:dyDescent="0.25">
      <c r="A53" s="119" t="s">
        <v>294</v>
      </c>
      <c r="B53" s="119"/>
      <c r="C53" s="119"/>
    </row>
    <row r="54" spans="1:3" x14ac:dyDescent="0.25">
      <c r="A54" s="119" t="s">
        <v>295</v>
      </c>
      <c r="B54" s="119"/>
      <c r="C54" s="119"/>
    </row>
    <row r="55" spans="1:3" x14ac:dyDescent="0.25">
      <c r="A55" s="119" t="s">
        <v>296</v>
      </c>
      <c r="B55" s="119"/>
      <c r="C55" s="119"/>
    </row>
    <row r="56" spans="1:3" x14ac:dyDescent="0.25">
      <c r="A56" s="119" t="s">
        <v>297</v>
      </c>
      <c r="B56" s="119"/>
      <c r="C56" s="119"/>
    </row>
    <row r="57" spans="1:3" x14ac:dyDescent="0.25">
      <c r="A57" s="119"/>
      <c r="B57" s="119"/>
      <c r="C57" s="119"/>
    </row>
    <row r="58" spans="1:3" x14ac:dyDescent="0.25">
      <c r="A58" s="119" t="s">
        <v>298</v>
      </c>
      <c r="B58" s="119"/>
      <c r="C58" s="119"/>
    </row>
    <row r="59" spans="1:3" x14ac:dyDescent="0.25">
      <c r="A59" s="119">
        <f>0.75*(16)^1.5/(10)^1.4</f>
        <v>1.9109144186567864</v>
      </c>
      <c r="B59" s="119" t="s">
        <v>299</v>
      </c>
      <c r="C59" s="119"/>
    </row>
    <row r="60" spans="1:3" x14ac:dyDescent="0.25">
      <c r="A60" s="119"/>
      <c r="B60" s="119"/>
      <c r="C60" s="119"/>
    </row>
    <row r="61" spans="1:3" x14ac:dyDescent="0.25">
      <c r="A61" s="119" t="s">
        <v>300</v>
      </c>
      <c r="B61" s="119"/>
      <c r="C61" s="119"/>
    </row>
    <row r="62" spans="1:3" x14ac:dyDescent="0.25">
      <c r="A62" s="119">
        <f>0.105*5.7*(16)^1.2/(10)^1.3</f>
        <v>0.83561866844096688</v>
      </c>
      <c r="B62" s="119" t="s">
        <v>299</v>
      </c>
      <c r="C62" s="119"/>
    </row>
    <row r="63" spans="1:3" x14ac:dyDescent="0.25">
      <c r="A63" s="119"/>
      <c r="B63" s="119"/>
      <c r="C63" s="119"/>
    </row>
    <row r="64" spans="1:3" x14ac:dyDescent="0.25">
      <c r="A64" s="119" t="s">
        <v>301</v>
      </c>
      <c r="B64" s="119"/>
      <c r="C64" s="119"/>
    </row>
    <row r="65" spans="1:6" x14ac:dyDescent="0.25">
      <c r="A65" s="191"/>
      <c r="B65" s="191" t="s">
        <v>302</v>
      </c>
      <c r="C65" s="119"/>
    </row>
    <row r="66" spans="1:6" x14ac:dyDescent="0.25">
      <c r="A66" s="192"/>
      <c r="B66" s="191">
        <v>12</v>
      </c>
      <c r="C66" s="119"/>
    </row>
    <row r="67" spans="1:6" x14ac:dyDescent="0.25">
      <c r="A67" s="119"/>
      <c r="B67" s="119"/>
      <c r="C67" s="119"/>
    </row>
    <row r="68" spans="1:6" x14ac:dyDescent="0.25">
      <c r="A68" s="119" t="s">
        <v>303</v>
      </c>
      <c r="B68" s="119"/>
      <c r="C68" s="119"/>
    </row>
    <row r="69" spans="1:6" x14ac:dyDescent="0.25">
      <c r="A69" s="193"/>
      <c r="B69" s="119"/>
      <c r="C69" s="119"/>
    </row>
    <row r="70" spans="1:6" x14ac:dyDescent="0.25">
      <c r="A70" s="191" t="s">
        <v>304</v>
      </c>
      <c r="B70" s="191" t="s">
        <v>70</v>
      </c>
      <c r="C70" s="191" t="s">
        <v>71</v>
      </c>
    </row>
    <row r="71" spans="1:6" x14ac:dyDescent="0.25">
      <c r="A71" s="192"/>
      <c r="B71" s="194">
        <f>+$A$59*B66</f>
        <v>22.930973023881435</v>
      </c>
      <c r="C71" s="194">
        <f>+$A$62*B66</f>
        <v>10.027424021291603</v>
      </c>
    </row>
    <row r="72" spans="1:6" x14ac:dyDescent="0.25">
      <c r="A72" s="119"/>
      <c r="B72" s="119"/>
      <c r="C72" s="119"/>
    </row>
    <row r="73" spans="1:6" x14ac:dyDescent="0.25">
      <c r="A73" s="119" t="s">
        <v>290</v>
      </c>
      <c r="B73" s="119"/>
      <c r="C73" s="119"/>
      <c r="E73" t="s">
        <v>661</v>
      </c>
    </row>
    <row r="74" spans="1:6" x14ac:dyDescent="0.25">
      <c r="A74" s="97" t="s">
        <v>137</v>
      </c>
      <c r="B74">
        <v>5</v>
      </c>
      <c r="C74" s="97" t="s">
        <v>182</v>
      </c>
      <c r="E74">
        <v>6.4</v>
      </c>
      <c r="F74" t="s">
        <v>183</v>
      </c>
    </row>
    <row r="75" spans="1:6" x14ac:dyDescent="0.25">
      <c r="A75" s="97" t="s">
        <v>136</v>
      </c>
      <c r="B75">
        <v>5</v>
      </c>
      <c r="C75" s="97" t="s">
        <v>183</v>
      </c>
      <c r="E75">
        <v>6.4</v>
      </c>
      <c r="F75" t="s">
        <v>183</v>
      </c>
    </row>
    <row r="76" spans="1:6" x14ac:dyDescent="0.25">
      <c r="A76" s="97" t="s">
        <v>190</v>
      </c>
      <c r="B76">
        <v>0.61</v>
      </c>
      <c r="C76" s="97"/>
    </row>
    <row r="77" spans="1:6" x14ac:dyDescent="0.25">
      <c r="A77" s="97"/>
      <c r="B77" s="97" t="s">
        <v>70</v>
      </c>
      <c r="C77" s="97" t="s">
        <v>71</v>
      </c>
    </row>
    <row r="78" spans="1:6" x14ac:dyDescent="0.25">
      <c r="A78" s="97" t="s">
        <v>184</v>
      </c>
      <c r="B78" s="32">
        <v>20</v>
      </c>
      <c r="C78" s="32">
        <f>0.21*B78</f>
        <v>4.2</v>
      </c>
    </row>
    <row r="79" spans="1:6" x14ac:dyDescent="0.25">
      <c r="A79" s="99" t="s">
        <v>75</v>
      </c>
      <c r="B79" s="32">
        <f>$B$78*$B$75*(1-$B$43)</f>
        <v>39</v>
      </c>
      <c r="C79" s="32">
        <f>$C$78*$B$75*(1-$B$43)</f>
        <v>8.19</v>
      </c>
    </row>
    <row r="80" spans="1:6" x14ac:dyDescent="0.25">
      <c r="A80" s="99" t="s">
        <v>185</v>
      </c>
      <c r="B80" s="32">
        <v>20</v>
      </c>
      <c r="C80" s="32">
        <v>4.2</v>
      </c>
    </row>
    <row r="81" spans="1:12" x14ac:dyDescent="0.25">
      <c r="A81" s="99" t="s">
        <v>147</v>
      </c>
      <c r="B81" s="32">
        <f>B80*B74*(1-$B$43)/2000</f>
        <v>1.95E-2</v>
      </c>
      <c r="C81" s="32">
        <f>C80*B74*(1-$B$43)/2000</f>
        <v>4.0949999999999997E-3</v>
      </c>
    </row>
    <row r="83" spans="1:12" x14ac:dyDescent="0.25">
      <c r="A83" s="8" t="s">
        <v>331</v>
      </c>
      <c r="B83" s="119"/>
      <c r="C83" s="119" t="s">
        <v>321</v>
      </c>
      <c r="D83" s="119"/>
    </row>
    <row r="84" spans="1:12" x14ac:dyDescent="0.25">
      <c r="A84" s="119"/>
      <c r="B84" s="119"/>
      <c r="C84" s="137" t="s">
        <v>322</v>
      </c>
      <c r="D84" s="137" t="s">
        <v>323</v>
      </c>
      <c r="K84" s="119" t="s">
        <v>321</v>
      </c>
      <c r="L84" s="119"/>
    </row>
    <row r="85" spans="1:12" x14ac:dyDescent="0.25">
      <c r="A85" s="200" t="s">
        <v>324</v>
      </c>
      <c r="B85" s="201"/>
      <c r="C85" s="29">
        <f>B71</f>
        <v>22.930973023881435</v>
      </c>
      <c r="D85" s="29">
        <f>C71</f>
        <v>10.027424021291603</v>
      </c>
      <c r="K85" s="137" t="s">
        <v>322</v>
      </c>
      <c r="L85" s="137" t="s">
        <v>323</v>
      </c>
    </row>
    <row r="86" spans="1:12" x14ac:dyDescent="0.25">
      <c r="A86" s="200" t="s">
        <v>325</v>
      </c>
      <c r="B86" s="201"/>
      <c r="C86" s="29">
        <f>B79</f>
        <v>39</v>
      </c>
      <c r="D86" s="29">
        <f>C79</f>
        <v>8.19</v>
      </c>
      <c r="J86" s="753" t="s">
        <v>660</v>
      </c>
      <c r="K86" s="32">
        <f>$B$78*E75*(1-$B$43)</f>
        <v>49.92</v>
      </c>
      <c r="L86" s="32">
        <f>$C$78*E75*(1-$B$43)</f>
        <v>10.483200000000002</v>
      </c>
    </row>
    <row r="87" spans="1:12" x14ac:dyDescent="0.25">
      <c r="A87" s="119"/>
      <c r="B87" s="119"/>
      <c r="C87" s="204"/>
      <c r="D87" s="204"/>
    </row>
    <row r="88" spans="1:12" x14ac:dyDescent="0.25">
      <c r="A88" s="99" t="s">
        <v>336</v>
      </c>
      <c r="B88" s="137" t="s">
        <v>328</v>
      </c>
      <c r="C88" s="29">
        <f>+SUM(C85:C86)</f>
        <v>61.930973023881435</v>
      </c>
      <c r="D88" s="29">
        <f>+SUM(D85:D86)</f>
        <v>18.217424021291603</v>
      </c>
    </row>
    <row r="89" spans="1:12" x14ac:dyDescent="0.25">
      <c r="A89" t="s">
        <v>333</v>
      </c>
      <c r="B89" t="s">
        <v>332</v>
      </c>
      <c r="C89" s="98">
        <f>6*22*C88/2000</f>
        <v>4.0874442195761747</v>
      </c>
      <c r="D89" s="98">
        <f>6*22*D88/2000</f>
        <v>1.2023499854052457</v>
      </c>
    </row>
    <row r="90" spans="1:12" x14ac:dyDescent="0.25">
      <c r="A90" t="s">
        <v>334</v>
      </c>
      <c r="B90" t="s">
        <v>332</v>
      </c>
      <c r="C90" s="98">
        <f>12*22*C88/2000</f>
        <v>8.1748884391523493</v>
      </c>
      <c r="D90" s="98">
        <f>12*22*D88/2000</f>
        <v>2.4046999708104915</v>
      </c>
    </row>
    <row r="91" spans="1:12" x14ac:dyDescent="0.25">
      <c r="A91" t="s">
        <v>335</v>
      </c>
      <c r="B91" t="s">
        <v>332</v>
      </c>
      <c r="C91" s="98">
        <f>10*22*C88/2000</f>
        <v>6.8124070326269575</v>
      </c>
      <c r="D91" s="98">
        <f>10*22*D88/2000</f>
        <v>2.0039166423420762</v>
      </c>
    </row>
    <row r="93" spans="1:12" x14ac:dyDescent="0.25">
      <c r="A93" t="s">
        <v>659</v>
      </c>
      <c r="B93" t="s">
        <v>328</v>
      </c>
      <c r="C93" s="98">
        <f>C85+K86</f>
        <v>72.850973023881437</v>
      </c>
      <c r="D93" s="98">
        <f>D85+L86</f>
        <v>20.510624021291605</v>
      </c>
    </row>
  </sheetData>
  <pageMargins left="0.7" right="0.7" top="0.75" bottom="0.75" header="0.3" footer="0.3"/>
  <pageSetup scale="43" orientation="landscape" r:id="rId1"/>
  <headerFooter>
    <oddHeader>&amp;CTable A-15
Fugitive Dust Emission Calculations
South Orange County Reliability Project
Substation Construction</oddHeader>
    <oddFooter>&amp;CA-15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8"/>
  <sheetViews>
    <sheetView topLeftCell="A127" workbookViewId="0">
      <selection activeCell="D150" sqref="D150"/>
    </sheetView>
  </sheetViews>
  <sheetFormatPr defaultRowHeight="13.2" x14ac:dyDescent="0.25"/>
  <cols>
    <col min="1" max="1" width="45.5546875" customWidth="1"/>
    <col min="2" max="2" width="10" customWidth="1"/>
    <col min="3" max="3" width="12.44140625" bestFit="1" customWidth="1"/>
  </cols>
  <sheetData>
    <row r="1" spans="1:12" s="113" customFormat="1" ht="17.399999999999999" x14ac:dyDescent="0.3">
      <c r="A1" s="188" t="s">
        <v>329</v>
      </c>
      <c r="B1" s="119"/>
      <c r="C1" s="119"/>
      <c r="D1" s="119"/>
      <c r="E1" s="119"/>
      <c r="F1" s="119"/>
      <c r="G1" s="119"/>
      <c r="H1" s="112"/>
      <c r="I1" s="112"/>
      <c r="J1" s="112"/>
      <c r="K1" s="112"/>
      <c r="L1" s="112"/>
    </row>
    <row r="2" spans="1:12" x14ac:dyDescent="0.25">
      <c r="A2" s="119"/>
      <c r="B2" s="119"/>
      <c r="C2" s="119"/>
      <c r="D2" s="119"/>
      <c r="E2" s="119"/>
      <c r="F2" s="119"/>
      <c r="G2" s="119"/>
    </row>
    <row r="3" spans="1:12" ht="13.8" x14ac:dyDescent="0.25">
      <c r="A3" s="189" t="s">
        <v>285</v>
      </c>
      <c r="B3" s="190"/>
      <c r="C3" s="190"/>
      <c r="D3" s="190"/>
      <c r="E3" s="190"/>
      <c r="F3" s="190"/>
      <c r="G3" s="190"/>
    </row>
    <row r="4" spans="1:12" ht="13.8" x14ac:dyDescent="0.25">
      <c r="A4" s="190" t="s">
        <v>286</v>
      </c>
      <c r="B4" s="190"/>
      <c r="C4" s="190"/>
      <c r="D4" s="190"/>
      <c r="E4" s="190"/>
      <c r="F4" s="190"/>
      <c r="G4" s="190"/>
    </row>
    <row r="5" spans="1:12" ht="13.8" x14ac:dyDescent="0.25">
      <c r="A5" s="190" t="s">
        <v>287</v>
      </c>
      <c r="B5" s="190"/>
      <c r="C5" s="190"/>
      <c r="D5" s="190"/>
      <c r="E5" s="190"/>
      <c r="F5" s="190"/>
      <c r="G5" s="190"/>
    </row>
    <row r="6" spans="1:12" x14ac:dyDescent="0.25">
      <c r="A6" s="119"/>
      <c r="B6" s="119"/>
      <c r="C6" s="119"/>
      <c r="D6" s="119"/>
      <c r="E6" s="119"/>
      <c r="F6" s="119"/>
      <c r="G6" s="119"/>
    </row>
    <row r="7" spans="1:12" ht="13.8" x14ac:dyDescent="0.25">
      <c r="A7" s="189" t="s">
        <v>286</v>
      </c>
      <c r="B7" s="119"/>
      <c r="C7" s="119"/>
      <c r="D7" s="119"/>
      <c r="E7" s="119"/>
      <c r="F7" s="119"/>
      <c r="G7" s="119"/>
    </row>
    <row r="8" spans="1:12" x14ac:dyDescent="0.25">
      <c r="A8" s="119"/>
      <c r="B8" s="119"/>
      <c r="C8" s="119"/>
      <c r="D8" s="119"/>
      <c r="E8" s="119"/>
      <c r="F8" s="119"/>
      <c r="G8" s="119"/>
    </row>
    <row r="9" spans="1:12" x14ac:dyDescent="0.25">
      <c r="A9" s="119" t="s">
        <v>288</v>
      </c>
      <c r="B9" s="119"/>
      <c r="C9" s="119"/>
      <c r="D9" s="119"/>
      <c r="E9" s="119"/>
      <c r="F9" s="119"/>
      <c r="G9" s="119"/>
    </row>
    <row r="10" spans="1:12" x14ac:dyDescent="0.25">
      <c r="A10" s="119" t="s">
        <v>289</v>
      </c>
      <c r="B10" s="119"/>
      <c r="C10" s="119"/>
      <c r="D10" s="119"/>
      <c r="E10" s="119"/>
      <c r="F10" s="119"/>
      <c r="G10" s="119"/>
    </row>
    <row r="11" spans="1:12" x14ac:dyDescent="0.25">
      <c r="A11" s="119" t="s">
        <v>290</v>
      </c>
      <c r="B11" s="119"/>
      <c r="C11" s="119"/>
      <c r="D11" s="119"/>
      <c r="E11" s="119"/>
      <c r="F11" s="119"/>
      <c r="G11" s="119"/>
    </row>
    <row r="12" spans="1:12" x14ac:dyDescent="0.25">
      <c r="A12" s="119" t="s">
        <v>291</v>
      </c>
      <c r="B12" s="119"/>
      <c r="C12" s="119"/>
      <c r="D12" s="119"/>
      <c r="E12" s="119"/>
      <c r="F12" s="119"/>
      <c r="G12" s="119"/>
    </row>
    <row r="13" spans="1:12" x14ac:dyDescent="0.25">
      <c r="A13" s="119"/>
      <c r="B13" s="119"/>
      <c r="C13" s="119"/>
      <c r="D13" s="119"/>
      <c r="E13" s="119"/>
      <c r="F13" s="119"/>
      <c r="G13" s="119"/>
    </row>
    <row r="14" spans="1:12" x14ac:dyDescent="0.25">
      <c r="A14" s="119" t="s">
        <v>292</v>
      </c>
      <c r="B14" s="119"/>
      <c r="C14" s="119"/>
      <c r="D14" s="119"/>
      <c r="E14" s="119"/>
      <c r="F14" s="119"/>
      <c r="G14" s="119"/>
    </row>
    <row r="15" spans="1:12" x14ac:dyDescent="0.25">
      <c r="A15" s="119"/>
      <c r="B15" s="119"/>
      <c r="C15" s="119"/>
      <c r="D15" s="119"/>
      <c r="E15" s="119"/>
      <c r="F15" s="119"/>
      <c r="G15" s="119"/>
    </row>
    <row r="16" spans="1:12" ht="15.6" x14ac:dyDescent="0.25">
      <c r="A16" s="119" t="s">
        <v>293</v>
      </c>
      <c r="B16" s="119"/>
      <c r="C16" s="119"/>
      <c r="D16" s="119"/>
      <c r="E16" s="119"/>
      <c r="F16" s="119"/>
      <c r="G16" s="119"/>
    </row>
    <row r="17" spans="1:7" x14ac:dyDescent="0.25">
      <c r="A17" s="119" t="s">
        <v>294</v>
      </c>
      <c r="B17" s="119"/>
      <c r="C17" s="119"/>
      <c r="D17" s="119"/>
      <c r="E17" s="119"/>
      <c r="F17" s="119"/>
      <c r="G17" s="119"/>
    </row>
    <row r="18" spans="1:7" x14ac:dyDescent="0.25">
      <c r="A18" s="119" t="s">
        <v>295</v>
      </c>
      <c r="B18" s="119"/>
      <c r="C18" s="119"/>
      <c r="D18" s="119"/>
      <c r="E18" s="119"/>
      <c r="F18" s="119"/>
      <c r="G18" s="119"/>
    </row>
    <row r="19" spans="1:7" x14ac:dyDescent="0.25">
      <c r="A19" s="119" t="s">
        <v>296</v>
      </c>
      <c r="B19" s="119"/>
      <c r="C19" s="119"/>
      <c r="D19" s="119"/>
      <c r="E19" s="119"/>
      <c r="F19" s="119"/>
      <c r="G19" s="119"/>
    </row>
    <row r="20" spans="1:7" x14ac:dyDescent="0.25">
      <c r="A20" s="119" t="s">
        <v>297</v>
      </c>
      <c r="B20" s="119"/>
      <c r="C20" s="119"/>
      <c r="D20" s="119"/>
      <c r="E20" s="119"/>
      <c r="F20" s="119"/>
      <c r="G20" s="119"/>
    </row>
    <row r="21" spans="1:7" x14ac:dyDescent="0.25">
      <c r="A21" s="119"/>
      <c r="B21" s="119"/>
      <c r="C21" s="119"/>
      <c r="D21" s="119"/>
      <c r="E21" s="119"/>
      <c r="F21" s="119"/>
      <c r="G21" s="119"/>
    </row>
    <row r="22" spans="1:7" x14ac:dyDescent="0.25">
      <c r="A22" s="119" t="s">
        <v>298</v>
      </c>
      <c r="B22" s="119"/>
      <c r="C22" s="119"/>
      <c r="D22" s="119"/>
      <c r="E22" s="119"/>
      <c r="F22" s="119"/>
      <c r="G22" s="119"/>
    </row>
    <row r="23" spans="1:7" x14ac:dyDescent="0.25">
      <c r="A23" s="119">
        <f>0.75*(16)^1.5/(10)^1.4</f>
        <v>1.9109144186567864</v>
      </c>
      <c r="B23" s="119" t="s">
        <v>299</v>
      </c>
      <c r="C23" s="119"/>
      <c r="D23" s="119"/>
      <c r="E23" s="119"/>
      <c r="F23" s="119"/>
      <c r="G23" s="119"/>
    </row>
    <row r="24" spans="1:7" x14ac:dyDescent="0.25">
      <c r="A24" s="119"/>
      <c r="B24" s="119"/>
      <c r="C24" s="119"/>
      <c r="D24" s="119"/>
      <c r="E24" s="119"/>
      <c r="F24" s="119"/>
      <c r="G24" s="119"/>
    </row>
    <row r="25" spans="1:7" x14ac:dyDescent="0.25">
      <c r="A25" s="119" t="s">
        <v>300</v>
      </c>
      <c r="B25" s="119"/>
      <c r="C25" s="119"/>
      <c r="D25" s="119"/>
      <c r="E25" s="119"/>
      <c r="F25" s="119"/>
      <c r="G25" s="119"/>
    </row>
    <row r="26" spans="1:7" x14ac:dyDescent="0.25">
      <c r="A26" s="119">
        <f>0.105*5.7*(16)^1.2/(10)^1.3</f>
        <v>0.83561866844096688</v>
      </c>
      <c r="B26" s="119" t="s">
        <v>299</v>
      </c>
      <c r="C26" s="119"/>
      <c r="D26" s="119"/>
      <c r="E26" s="119"/>
      <c r="F26" s="119"/>
      <c r="G26" s="119"/>
    </row>
    <row r="27" spans="1:7" x14ac:dyDescent="0.25">
      <c r="A27" s="119"/>
      <c r="B27" s="119"/>
      <c r="C27" s="119"/>
      <c r="D27" s="119"/>
      <c r="E27" s="119"/>
      <c r="F27" s="119"/>
      <c r="G27" s="119"/>
    </row>
    <row r="28" spans="1:7" x14ac:dyDescent="0.25">
      <c r="A28" s="119" t="s">
        <v>301</v>
      </c>
      <c r="B28" s="119"/>
      <c r="C28" s="119"/>
      <c r="D28" s="119"/>
      <c r="E28" s="119"/>
      <c r="F28" s="119"/>
      <c r="G28" s="119"/>
    </row>
    <row r="29" spans="1:7" x14ac:dyDescent="0.25">
      <c r="A29" s="191"/>
      <c r="B29" s="191" t="s">
        <v>302</v>
      </c>
      <c r="C29" s="119"/>
      <c r="D29" s="119"/>
      <c r="E29" s="119"/>
      <c r="F29" s="119"/>
      <c r="G29" s="119"/>
    </row>
    <row r="30" spans="1:7" x14ac:dyDescent="0.25">
      <c r="A30" s="192"/>
      <c r="B30" s="191">
        <v>12</v>
      </c>
      <c r="C30" s="119"/>
      <c r="D30" s="119"/>
      <c r="E30" s="119"/>
      <c r="F30" s="119"/>
      <c r="G30" s="119"/>
    </row>
    <row r="31" spans="1:7" x14ac:dyDescent="0.25">
      <c r="A31" s="119"/>
      <c r="B31" s="119"/>
      <c r="C31" s="119"/>
      <c r="D31" s="119"/>
      <c r="E31" s="119"/>
      <c r="F31" s="119"/>
      <c r="G31" s="119"/>
    </row>
    <row r="32" spans="1:7" x14ac:dyDescent="0.25">
      <c r="A32" s="119" t="s">
        <v>303</v>
      </c>
      <c r="B32" s="119"/>
      <c r="C32" s="119"/>
      <c r="D32" s="119"/>
      <c r="E32" s="119"/>
      <c r="F32" s="119"/>
      <c r="G32" s="119"/>
    </row>
    <row r="33" spans="1:7" x14ac:dyDescent="0.25">
      <c r="A33" s="193"/>
      <c r="B33" s="119"/>
      <c r="C33" s="119"/>
      <c r="D33" s="119"/>
      <c r="E33" s="119"/>
      <c r="F33" s="119"/>
      <c r="G33" s="119"/>
    </row>
    <row r="34" spans="1:7" x14ac:dyDescent="0.25">
      <c r="A34" s="191" t="s">
        <v>304</v>
      </c>
      <c r="B34" s="191" t="s">
        <v>70</v>
      </c>
      <c r="C34" s="191" t="s">
        <v>71</v>
      </c>
      <c r="D34" s="119"/>
      <c r="E34" s="119"/>
      <c r="F34" s="119"/>
      <c r="G34" s="119"/>
    </row>
    <row r="35" spans="1:7" x14ac:dyDescent="0.25">
      <c r="A35" s="192"/>
      <c r="B35" s="194">
        <f>+$A$23*B30</f>
        <v>22.930973023881435</v>
      </c>
      <c r="C35" s="194">
        <f>+$A$26*B30</f>
        <v>10.027424021291603</v>
      </c>
      <c r="D35" s="119"/>
      <c r="E35" s="119"/>
      <c r="F35" s="119"/>
      <c r="G35" s="119"/>
    </row>
    <row r="36" spans="1:7" x14ac:dyDescent="0.25">
      <c r="A36" s="119"/>
      <c r="B36" s="119"/>
      <c r="C36" s="119"/>
      <c r="D36" s="119"/>
      <c r="E36" s="119"/>
      <c r="F36" s="119"/>
      <c r="G36" s="119"/>
    </row>
    <row r="37" spans="1:7" x14ac:dyDescent="0.25">
      <c r="A37" s="119" t="s">
        <v>290</v>
      </c>
      <c r="B37" s="119"/>
      <c r="C37" s="119"/>
      <c r="D37" s="119"/>
      <c r="E37" s="119"/>
      <c r="F37" s="119"/>
      <c r="G37" s="119"/>
    </row>
    <row r="38" spans="1:7" x14ac:dyDescent="0.25">
      <c r="A38" s="119"/>
      <c r="B38" s="119"/>
      <c r="C38" s="119"/>
      <c r="D38" s="119"/>
      <c r="E38" s="119"/>
      <c r="F38" s="119"/>
      <c r="G38" s="119"/>
    </row>
    <row r="39" spans="1:7" x14ac:dyDescent="0.25">
      <c r="A39" s="3" t="s">
        <v>432</v>
      </c>
      <c r="D39" s="119"/>
      <c r="E39" s="119"/>
      <c r="F39" s="119"/>
      <c r="G39" s="119"/>
    </row>
    <row r="40" spans="1:7" x14ac:dyDescent="0.25">
      <c r="A40" s="97" t="s">
        <v>137</v>
      </c>
      <c r="B40">
        <v>3.43</v>
      </c>
      <c r="C40" s="97" t="s">
        <v>182</v>
      </c>
      <c r="D40" s="119"/>
      <c r="E40" s="119"/>
      <c r="F40" s="119"/>
      <c r="G40" s="119"/>
    </row>
    <row r="41" spans="1:7" x14ac:dyDescent="0.25">
      <c r="A41" s="97" t="s">
        <v>136</v>
      </c>
      <c r="B41">
        <f>0.343</f>
        <v>0.34300000000000003</v>
      </c>
      <c r="C41" s="97" t="s">
        <v>183</v>
      </c>
      <c r="D41" s="119"/>
      <c r="E41" s="119"/>
      <c r="F41" s="119"/>
      <c r="G41" s="119"/>
    </row>
    <row r="42" spans="1:7" x14ac:dyDescent="0.25">
      <c r="A42" s="97" t="s">
        <v>190</v>
      </c>
      <c r="B42">
        <v>0.61</v>
      </c>
      <c r="C42" s="97"/>
      <c r="D42" s="119"/>
      <c r="E42" s="119"/>
      <c r="F42" s="119"/>
      <c r="G42" s="119"/>
    </row>
    <row r="43" spans="1:7" x14ac:dyDescent="0.25">
      <c r="A43" s="97"/>
      <c r="B43" s="97" t="s">
        <v>70</v>
      </c>
      <c r="C43" s="97" t="s">
        <v>71</v>
      </c>
      <c r="D43" s="119"/>
      <c r="E43" s="119"/>
      <c r="F43" s="119"/>
      <c r="G43" s="119"/>
    </row>
    <row r="44" spans="1:7" x14ac:dyDescent="0.25">
      <c r="A44" s="97" t="s">
        <v>184</v>
      </c>
      <c r="B44" s="32">
        <v>20</v>
      </c>
      <c r="C44" s="32">
        <f>0.21*B44</f>
        <v>4.2</v>
      </c>
      <c r="D44" s="119"/>
      <c r="E44" s="119"/>
      <c r="F44" s="119"/>
      <c r="G44" s="119"/>
    </row>
    <row r="45" spans="1:7" x14ac:dyDescent="0.25">
      <c r="A45" s="99" t="s">
        <v>75</v>
      </c>
      <c r="B45" s="32">
        <f>B44*B41*(1-0.61)</f>
        <v>2.6754000000000002</v>
      </c>
      <c r="C45" s="32">
        <f>C44*B41*(1-0.61)</f>
        <v>0.56183400000000006</v>
      </c>
      <c r="D45" s="119"/>
      <c r="E45" s="119"/>
      <c r="F45" s="119"/>
      <c r="G45" s="119"/>
    </row>
    <row r="46" spans="1:7" x14ac:dyDescent="0.25">
      <c r="A46" s="99" t="s">
        <v>185</v>
      </c>
      <c r="B46" s="32">
        <v>20</v>
      </c>
      <c r="C46" s="32">
        <v>4.2</v>
      </c>
      <c r="D46" s="119"/>
      <c r="E46" s="119"/>
      <c r="F46" s="119"/>
      <c r="G46" s="119"/>
    </row>
    <row r="47" spans="1:7" x14ac:dyDescent="0.25">
      <c r="A47" s="99" t="s">
        <v>147</v>
      </c>
      <c r="B47" s="32">
        <f>B46*B40*(1-0.61)/2000</f>
        <v>1.3377000000000002E-2</v>
      </c>
      <c r="C47" s="32">
        <f>C46*B40*(1-0.61)/2000</f>
        <v>2.8091700000000006E-3</v>
      </c>
      <c r="D47" s="119"/>
      <c r="E47" s="119"/>
      <c r="F47" s="119"/>
      <c r="G47" s="119"/>
    </row>
    <row r="48" spans="1:7" x14ac:dyDescent="0.25">
      <c r="D48" s="119"/>
      <c r="E48" s="119"/>
      <c r="F48" s="119"/>
      <c r="G48" s="119"/>
    </row>
    <row r="49" spans="1:7" x14ac:dyDescent="0.25">
      <c r="A49" s="119" t="s">
        <v>292</v>
      </c>
      <c r="B49" s="119"/>
      <c r="C49" s="119"/>
      <c r="D49" s="119"/>
      <c r="E49" s="119"/>
      <c r="F49" s="119"/>
      <c r="G49" s="119"/>
    </row>
    <row r="50" spans="1:7" x14ac:dyDescent="0.25">
      <c r="A50" s="119"/>
      <c r="B50" s="119"/>
      <c r="C50" s="119"/>
      <c r="D50" s="119"/>
      <c r="E50" s="119"/>
      <c r="F50" s="119"/>
      <c r="G50" s="119"/>
    </row>
    <row r="51" spans="1:7" ht="15.6" x14ac:dyDescent="0.25">
      <c r="A51" s="119" t="s">
        <v>293</v>
      </c>
      <c r="B51" s="119"/>
      <c r="C51" s="119"/>
      <c r="D51" s="119"/>
      <c r="E51" s="119"/>
      <c r="F51" s="119"/>
      <c r="G51" s="119"/>
    </row>
    <row r="52" spans="1:7" x14ac:dyDescent="0.25">
      <c r="A52" s="119" t="s">
        <v>294</v>
      </c>
      <c r="B52" s="119"/>
      <c r="C52" s="119"/>
      <c r="D52" s="119"/>
      <c r="E52" s="119"/>
      <c r="F52" s="119"/>
      <c r="G52" s="119"/>
    </row>
    <row r="53" spans="1:7" x14ac:dyDescent="0.25">
      <c r="A53" s="119" t="s">
        <v>295</v>
      </c>
      <c r="B53" s="119"/>
      <c r="C53" s="119"/>
      <c r="D53" s="119"/>
      <c r="E53" s="119"/>
      <c r="F53" s="119"/>
      <c r="G53" s="119"/>
    </row>
    <row r="54" spans="1:7" x14ac:dyDescent="0.25">
      <c r="A54" s="119" t="s">
        <v>296</v>
      </c>
      <c r="B54" s="119"/>
      <c r="C54" s="119"/>
      <c r="D54" s="119"/>
      <c r="E54" s="119"/>
      <c r="F54" s="119"/>
      <c r="G54" s="119"/>
    </row>
    <row r="55" spans="1:7" x14ac:dyDescent="0.25">
      <c r="A55" s="119" t="s">
        <v>297</v>
      </c>
      <c r="B55" s="119"/>
      <c r="C55" s="119"/>
      <c r="D55" s="119"/>
      <c r="E55" s="119"/>
      <c r="F55" s="119"/>
      <c r="G55" s="119"/>
    </row>
    <row r="56" spans="1:7" ht="15.6" x14ac:dyDescent="0.25">
      <c r="A56" s="119" t="s">
        <v>305</v>
      </c>
      <c r="B56" s="119"/>
      <c r="C56" s="119"/>
      <c r="D56" s="119"/>
      <c r="E56" s="119"/>
      <c r="F56" s="119"/>
      <c r="G56" s="119"/>
    </row>
    <row r="57" spans="1:7" x14ac:dyDescent="0.25">
      <c r="A57" s="119" t="s">
        <v>306</v>
      </c>
      <c r="B57" s="119"/>
      <c r="C57" s="119"/>
      <c r="D57" s="119"/>
      <c r="E57" s="119"/>
      <c r="F57" s="119"/>
      <c r="G57" s="119"/>
    </row>
    <row r="58" spans="1:7" x14ac:dyDescent="0.25">
      <c r="A58" s="119" t="s">
        <v>307</v>
      </c>
      <c r="B58" s="119"/>
      <c r="C58" s="119"/>
      <c r="D58" s="119"/>
      <c r="E58" s="119"/>
      <c r="F58" s="119"/>
      <c r="G58" s="119"/>
    </row>
    <row r="59" spans="1:7" x14ac:dyDescent="0.25">
      <c r="A59" s="119" t="s">
        <v>308</v>
      </c>
      <c r="B59" s="119"/>
      <c r="C59" s="119"/>
      <c r="D59" s="119"/>
      <c r="E59" s="119"/>
      <c r="F59" s="119"/>
      <c r="G59" s="119"/>
    </row>
    <row r="60" spans="1:7" x14ac:dyDescent="0.25">
      <c r="A60" s="119" t="s">
        <v>309</v>
      </c>
      <c r="B60" s="119"/>
      <c r="C60" s="119"/>
      <c r="D60" s="119"/>
      <c r="E60" s="119"/>
      <c r="F60" s="119"/>
      <c r="G60" s="119"/>
    </row>
    <row r="61" spans="1:7" x14ac:dyDescent="0.25">
      <c r="A61" s="119"/>
      <c r="B61" s="119"/>
      <c r="C61" s="119"/>
      <c r="D61" s="119"/>
      <c r="E61" s="119"/>
      <c r="F61" s="119"/>
      <c r="G61" s="119"/>
    </row>
    <row r="62" spans="1:7" x14ac:dyDescent="0.25">
      <c r="A62" s="119" t="s">
        <v>298</v>
      </c>
      <c r="B62" s="119"/>
      <c r="C62" s="119"/>
      <c r="D62" s="120"/>
      <c r="E62" s="195"/>
      <c r="F62" s="120"/>
      <c r="G62" s="119"/>
    </row>
    <row r="63" spans="1:7" x14ac:dyDescent="0.25">
      <c r="A63" s="119">
        <f>0.6*0.051*(3)^2</f>
        <v>0.27539999999999998</v>
      </c>
      <c r="B63" s="119" t="s">
        <v>310</v>
      </c>
      <c r="C63" s="119"/>
      <c r="D63" s="120"/>
      <c r="E63" s="195"/>
      <c r="F63" s="120"/>
      <c r="G63" s="119"/>
    </row>
    <row r="64" spans="1:7" x14ac:dyDescent="0.25">
      <c r="A64" s="119"/>
      <c r="B64" s="119"/>
      <c r="C64" s="119"/>
      <c r="D64" s="120"/>
      <c r="E64" s="196"/>
      <c r="F64" s="120"/>
      <c r="G64" s="119"/>
    </row>
    <row r="65" spans="1:7" x14ac:dyDescent="0.25">
      <c r="A65" s="119" t="s">
        <v>300</v>
      </c>
      <c r="B65" s="119"/>
      <c r="C65" s="119"/>
      <c r="D65" s="120"/>
      <c r="E65" s="196"/>
      <c r="F65" s="120"/>
      <c r="G65" s="119"/>
    </row>
    <row r="66" spans="1:7" x14ac:dyDescent="0.25">
      <c r="A66" s="119">
        <f>0.031*0.04*(3)^2.5</f>
        <v>1.9329687012468677E-2</v>
      </c>
      <c r="B66" s="119" t="s">
        <v>310</v>
      </c>
      <c r="C66" s="119"/>
      <c r="D66" s="120"/>
      <c r="E66" s="197"/>
      <c r="F66" s="120"/>
      <c r="G66" s="119"/>
    </row>
    <row r="67" spans="1:7" x14ac:dyDescent="0.25">
      <c r="A67" s="119"/>
      <c r="B67" s="119"/>
      <c r="C67" s="119"/>
      <c r="D67" s="120"/>
      <c r="E67" s="197"/>
      <c r="F67" s="120"/>
      <c r="G67" s="119"/>
    </row>
    <row r="68" spans="1:7" x14ac:dyDescent="0.25">
      <c r="A68" s="119" t="s">
        <v>311</v>
      </c>
      <c r="B68" s="119"/>
      <c r="C68" s="119"/>
      <c r="D68" s="120"/>
      <c r="E68" s="198"/>
      <c r="F68" s="120"/>
      <c r="G68" s="119"/>
    </row>
    <row r="69" spans="1:7" x14ac:dyDescent="0.25">
      <c r="A69" s="191"/>
      <c r="B69" s="191" t="s">
        <v>302</v>
      </c>
      <c r="C69" s="191" t="s">
        <v>312</v>
      </c>
      <c r="D69" s="119"/>
      <c r="E69" s="198"/>
      <c r="F69" s="120"/>
      <c r="G69" s="119"/>
    </row>
    <row r="70" spans="1:7" x14ac:dyDescent="0.25">
      <c r="A70" s="192"/>
      <c r="B70" s="191">
        <v>4</v>
      </c>
      <c r="C70" s="191">
        <f>B70*3</f>
        <v>12</v>
      </c>
      <c r="D70" s="119"/>
      <c r="E70" s="198"/>
      <c r="F70" s="120"/>
      <c r="G70" s="119"/>
    </row>
    <row r="71" spans="1:7" x14ac:dyDescent="0.25">
      <c r="A71" s="119"/>
      <c r="B71" s="119"/>
      <c r="C71" s="119"/>
      <c r="D71" s="119"/>
      <c r="E71" s="119"/>
      <c r="F71" s="119"/>
      <c r="G71" s="119"/>
    </row>
    <row r="72" spans="1:7" x14ac:dyDescent="0.25">
      <c r="A72" s="119" t="s">
        <v>313</v>
      </c>
      <c r="B72" s="119"/>
      <c r="C72" s="119"/>
      <c r="D72" s="99"/>
      <c r="E72" s="119"/>
      <c r="F72" s="119"/>
      <c r="G72" s="119"/>
    </row>
    <row r="73" spans="1:7" x14ac:dyDescent="0.25">
      <c r="A73" s="119"/>
      <c r="B73" s="119"/>
      <c r="C73" s="119"/>
      <c r="D73" s="373"/>
      <c r="E73" s="119"/>
      <c r="F73" s="119"/>
      <c r="G73" s="119"/>
    </row>
    <row r="74" spans="1:7" x14ac:dyDescent="0.25">
      <c r="A74" s="191" t="s">
        <v>304</v>
      </c>
      <c r="B74" s="191" t="s">
        <v>70</v>
      </c>
      <c r="C74" s="191" t="s">
        <v>71</v>
      </c>
      <c r="D74" s="374"/>
      <c r="E74" s="119"/>
      <c r="F74" s="119"/>
      <c r="G74" s="119"/>
    </row>
    <row r="75" spans="1:7" x14ac:dyDescent="0.25">
      <c r="A75" s="192"/>
      <c r="B75" s="194">
        <f>+$A$63*C70</f>
        <v>3.3047999999999997</v>
      </c>
      <c r="C75" s="194">
        <f>+$A$66*C70</f>
        <v>0.23195624414962412</v>
      </c>
      <c r="D75" s="99"/>
      <c r="E75" s="119"/>
      <c r="F75" s="119"/>
      <c r="G75" s="119"/>
    </row>
    <row r="76" spans="1:7" x14ac:dyDescent="0.25">
      <c r="A76" s="119"/>
      <c r="B76" s="119"/>
      <c r="C76" s="119"/>
      <c r="D76" s="119"/>
      <c r="E76" s="119"/>
      <c r="F76" s="119"/>
      <c r="G76" s="119"/>
    </row>
    <row r="77" spans="1:7" x14ac:dyDescent="0.25">
      <c r="A77" s="119" t="s">
        <v>314</v>
      </c>
      <c r="B77" s="119"/>
      <c r="C77" s="119"/>
      <c r="D77" s="119"/>
      <c r="E77" s="119"/>
      <c r="F77" s="119"/>
      <c r="G77" s="119"/>
    </row>
    <row r="78" spans="1:7" x14ac:dyDescent="0.25">
      <c r="A78" s="119"/>
      <c r="B78" s="119"/>
      <c r="C78" s="119"/>
      <c r="D78" s="119"/>
      <c r="E78" s="119"/>
      <c r="F78" s="119"/>
      <c r="G78" s="119"/>
    </row>
    <row r="79" spans="1:7" ht="15.6" x14ac:dyDescent="0.25">
      <c r="A79" s="120" t="s">
        <v>138</v>
      </c>
      <c r="B79" s="120"/>
      <c r="C79" s="120"/>
      <c r="D79" s="119"/>
      <c r="E79" s="119"/>
      <c r="F79" s="119"/>
      <c r="G79" s="119"/>
    </row>
    <row r="80" spans="1:7" x14ac:dyDescent="0.25">
      <c r="A80" s="120" t="s">
        <v>139</v>
      </c>
      <c r="B80" s="120"/>
      <c r="C80" s="120"/>
      <c r="D80" s="119"/>
      <c r="E80" s="119"/>
      <c r="F80" s="119"/>
      <c r="G80" s="119"/>
    </row>
    <row r="81" spans="1:7" x14ac:dyDescent="0.25">
      <c r="A81" s="119" t="s">
        <v>140</v>
      </c>
      <c r="B81" s="120"/>
      <c r="C81" s="120"/>
      <c r="D81" s="119"/>
      <c r="E81" s="119"/>
      <c r="F81" s="119"/>
      <c r="G81" s="119"/>
    </row>
    <row r="82" spans="1:7" x14ac:dyDescent="0.25">
      <c r="A82" s="120" t="s">
        <v>315</v>
      </c>
      <c r="B82" s="120"/>
      <c r="C82" s="120"/>
      <c r="D82" s="119"/>
      <c r="E82" s="119"/>
      <c r="F82" s="119"/>
      <c r="G82" s="119"/>
    </row>
    <row r="83" spans="1:7" x14ac:dyDescent="0.25">
      <c r="A83" s="120" t="s">
        <v>142</v>
      </c>
      <c r="B83" s="120"/>
      <c r="C83" s="120"/>
      <c r="D83" s="119"/>
      <c r="E83" s="119"/>
      <c r="F83" s="119"/>
      <c r="G83" s="119"/>
    </row>
    <row r="84" spans="1:7" x14ac:dyDescent="0.25">
      <c r="A84" s="120" t="s">
        <v>143</v>
      </c>
      <c r="B84" s="120"/>
      <c r="C84" s="120"/>
      <c r="D84" s="119"/>
      <c r="E84" s="119"/>
      <c r="F84" s="119"/>
      <c r="G84" s="119"/>
    </row>
    <row r="85" spans="1:7" x14ac:dyDescent="0.25">
      <c r="A85" s="120"/>
      <c r="B85" s="120"/>
      <c r="C85" s="120"/>
      <c r="D85" s="119"/>
      <c r="E85" s="119"/>
      <c r="F85" s="119"/>
      <c r="G85" s="119"/>
    </row>
    <row r="86" spans="1:7" x14ac:dyDescent="0.25">
      <c r="A86" s="199" t="s">
        <v>316</v>
      </c>
      <c r="B86" s="119">
        <v>54</v>
      </c>
      <c r="C86" s="119" t="s">
        <v>317</v>
      </c>
      <c r="D86" s="119"/>
      <c r="E86" s="119"/>
      <c r="F86" s="119"/>
      <c r="G86" s="119"/>
    </row>
    <row r="87" spans="1:7" x14ac:dyDescent="0.25">
      <c r="A87" s="199"/>
      <c r="B87" s="119"/>
      <c r="C87" s="119"/>
      <c r="D87" s="119"/>
      <c r="E87" s="119"/>
      <c r="F87" s="119"/>
      <c r="G87" s="119"/>
    </row>
    <row r="88" spans="1:7" x14ac:dyDescent="0.25">
      <c r="A88" s="119" t="s">
        <v>144</v>
      </c>
      <c r="B88" s="119"/>
      <c r="C88" s="119"/>
      <c r="D88" s="119"/>
      <c r="E88" s="119"/>
      <c r="F88" s="119"/>
      <c r="G88" s="119"/>
    </row>
    <row r="89" spans="1:7" x14ac:dyDescent="0.25">
      <c r="A89" s="200" t="s">
        <v>0</v>
      </c>
      <c r="B89" s="201"/>
      <c r="C89" s="200" t="s">
        <v>318</v>
      </c>
      <c r="D89" s="201"/>
      <c r="E89" s="119"/>
      <c r="F89" s="119"/>
      <c r="G89" s="119"/>
    </row>
    <row r="90" spans="1:7" x14ac:dyDescent="0.25">
      <c r="A90" s="191" t="s">
        <v>150</v>
      </c>
      <c r="B90" s="191" t="s">
        <v>151</v>
      </c>
      <c r="C90" s="191" t="s">
        <v>70</v>
      </c>
      <c r="D90" s="191" t="s">
        <v>71</v>
      </c>
      <c r="E90" s="119"/>
      <c r="F90" s="119"/>
      <c r="G90" s="119"/>
    </row>
    <row r="91" spans="1:7" x14ac:dyDescent="0.25">
      <c r="A91" s="202">
        <f>0.35*0.0032*(26.5/5)^1.3/(10/2)^1.4</f>
        <v>1.0285339868440688E-3</v>
      </c>
      <c r="B91" s="202">
        <f>0.11*0.0032*(26.5/5)^1.3/(10/2)^1.4</f>
        <v>3.2325353872242167E-4</v>
      </c>
      <c r="C91" s="194">
        <f>+A91*B86</f>
        <v>5.5540835289579718E-2</v>
      </c>
      <c r="D91" s="194">
        <f>+B91*B86</f>
        <v>1.7455691091010771E-2</v>
      </c>
      <c r="E91" s="119"/>
      <c r="F91" s="119"/>
      <c r="G91" s="119"/>
    </row>
    <row r="92" spans="1:7" x14ac:dyDescent="0.25">
      <c r="A92" s="119"/>
      <c r="B92" s="119"/>
      <c r="C92" s="99"/>
      <c r="D92" s="376"/>
      <c r="E92" s="119"/>
      <c r="F92" s="119"/>
      <c r="G92" s="119"/>
    </row>
    <row r="93" spans="1:7" ht="13.8" x14ac:dyDescent="0.25">
      <c r="A93" s="189"/>
      <c r="B93" s="119"/>
      <c r="C93" s="99"/>
      <c r="D93" s="376"/>
      <c r="E93" s="119"/>
      <c r="F93" s="119"/>
      <c r="G93" s="119"/>
    </row>
    <row r="94" spans="1:7" x14ac:dyDescent="0.25">
      <c r="A94" s="119"/>
      <c r="B94" s="119"/>
      <c r="C94" s="99"/>
      <c r="D94" s="376"/>
      <c r="E94" s="119"/>
      <c r="F94" s="119"/>
      <c r="G94" s="119"/>
    </row>
    <row r="95" spans="1:7" x14ac:dyDescent="0.25">
      <c r="A95" s="119"/>
      <c r="B95" s="119"/>
      <c r="C95" s="99"/>
      <c r="D95" s="376"/>
      <c r="E95" s="119"/>
      <c r="F95" s="119"/>
      <c r="G95" s="119"/>
    </row>
    <row r="96" spans="1:7" x14ac:dyDescent="0.25">
      <c r="A96" s="19" t="s">
        <v>433</v>
      </c>
      <c r="B96" s="119"/>
      <c r="C96" s="119"/>
    </row>
    <row r="97" spans="1:4" x14ac:dyDescent="0.25">
      <c r="A97" s="27" t="s">
        <v>434</v>
      </c>
      <c r="B97" s="213">
        <f>[3]Sheet1!$C$34+[3]Sheet1!$D$34</f>
        <v>11655</v>
      </c>
      <c r="C97" s="27" t="s">
        <v>134</v>
      </c>
      <c r="D97" s="98"/>
    </row>
    <row r="98" spans="1:4" x14ac:dyDescent="0.25">
      <c r="A98" s="27" t="s">
        <v>136</v>
      </c>
      <c r="B98" s="213">
        <f>[3]Sheet1!$C$36+[3]Sheet1!$D$36</f>
        <v>2330</v>
      </c>
      <c r="C98" s="27" t="s">
        <v>135</v>
      </c>
      <c r="D98" s="98"/>
    </row>
    <row r="99" spans="1:4" x14ac:dyDescent="0.25">
      <c r="A99" s="27"/>
      <c r="B99" s="27" t="s">
        <v>70</v>
      </c>
      <c r="C99" s="27" t="s">
        <v>71</v>
      </c>
      <c r="D99" s="98"/>
    </row>
    <row r="100" spans="1:4" x14ac:dyDescent="0.25">
      <c r="A100" s="27" t="s">
        <v>148</v>
      </c>
      <c r="B100" s="375">
        <f>1.6*A130</f>
        <v>4.5768034234717385E-3</v>
      </c>
      <c r="C100" s="375">
        <f>1.6*B130</f>
        <v>1.4384239330911181E-3</v>
      </c>
      <c r="D100" s="98"/>
    </row>
    <row r="101" spans="1:4" x14ac:dyDescent="0.25">
      <c r="A101" s="137" t="s">
        <v>75</v>
      </c>
      <c r="B101" s="375">
        <f>3*B98*B100</f>
        <v>31.991855930067452</v>
      </c>
      <c r="C101" s="375">
        <f>3*B98*C100</f>
        <v>10.054583292306916</v>
      </c>
      <c r="D101" s="98"/>
    </row>
    <row r="102" spans="1:4" x14ac:dyDescent="0.25">
      <c r="A102" s="137" t="s">
        <v>149</v>
      </c>
      <c r="B102" s="375">
        <f>1.6*A132</f>
        <v>1.0405362901315847E-3</v>
      </c>
      <c r="C102" s="375">
        <f>1.6*B132</f>
        <v>3.270256911842124E-4</v>
      </c>
      <c r="D102" s="98"/>
    </row>
    <row r="103" spans="1:4" x14ac:dyDescent="0.25">
      <c r="A103" s="137" t="s">
        <v>147</v>
      </c>
      <c r="B103" s="375">
        <f>3*B97*B102/2000</f>
        <v>1.8191175692225427E-2</v>
      </c>
      <c r="C103" s="375">
        <f>3*B97*C102/2000</f>
        <v>5.7172266461279929E-3</v>
      </c>
      <c r="D103" s="98"/>
    </row>
    <row r="104" spans="1:4" x14ac:dyDescent="0.25">
      <c r="A104" s="213"/>
      <c r="B104" s="213"/>
      <c r="C104" s="213"/>
    </row>
    <row r="107" spans="1:4" x14ac:dyDescent="0.25">
      <c r="A107" s="119" t="s">
        <v>145</v>
      </c>
      <c r="B107" s="119"/>
      <c r="C107" s="119"/>
    </row>
    <row r="108" spans="1:4" x14ac:dyDescent="0.25">
      <c r="A108" s="119"/>
      <c r="B108" s="119"/>
      <c r="C108" s="119"/>
    </row>
    <row r="109" spans="1:4" ht="15.6" x14ac:dyDescent="0.25">
      <c r="A109" s="120" t="s">
        <v>138</v>
      </c>
      <c r="B109" s="120"/>
      <c r="C109" s="120"/>
    </row>
    <row r="110" spans="1:4" x14ac:dyDescent="0.25">
      <c r="A110" s="120" t="s">
        <v>139</v>
      </c>
      <c r="B110" s="120"/>
      <c r="C110" s="120"/>
    </row>
    <row r="111" spans="1:4" x14ac:dyDescent="0.25">
      <c r="A111" s="119" t="s">
        <v>140</v>
      </c>
      <c r="B111" s="120"/>
      <c r="C111" s="120"/>
    </row>
    <row r="112" spans="1:4" x14ac:dyDescent="0.25">
      <c r="A112" s="120" t="s">
        <v>141</v>
      </c>
      <c r="B112" s="120"/>
      <c r="C112" s="120"/>
    </row>
    <row r="113" spans="1:3" x14ac:dyDescent="0.25">
      <c r="A113" s="120" t="s">
        <v>142</v>
      </c>
      <c r="B113" s="120"/>
      <c r="C113" s="120"/>
    </row>
    <row r="114" spans="1:3" x14ac:dyDescent="0.25">
      <c r="A114" s="120" t="s">
        <v>143</v>
      </c>
      <c r="B114" s="120"/>
      <c r="C114" s="120"/>
    </row>
    <row r="115" spans="1:3" x14ac:dyDescent="0.25">
      <c r="A115" s="120" t="s">
        <v>146</v>
      </c>
      <c r="B115" s="120"/>
      <c r="C115" s="120"/>
    </row>
    <row r="116" spans="1:3" x14ac:dyDescent="0.25">
      <c r="A116" s="119"/>
      <c r="B116" s="119"/>
      <c r="C116" s="119"/>
    </row>
    <row r="117" spans="1:3" x14ac:dyDescent="0.25">
      <c r="A117" s="119" t="s">
        <v>145</v>
      </c>
      <c r="B117" s="119"/>
      <c r="C117" s="119"/>
    </row>
    <row r="118" spans="1:3" x14ac:dyDescent="0.25">
      <c r="A118" s="119"/>
      <c r="B118" s="119"/>
      <c r="C118" s="119"/>
    </row>
    <row r="119" spans="1:3" ht="15.6" x14ac:dyDescent="0.25">
      <c r="A119" s="120" t="s">
        <v>138</v>
      </c>
      <c r="B119" s="120"/>
      <c r="C119" s="119"/>
    </row>
    <row r="120" spans="1:3" x14ac:dyDescent="0.25">
      <c r="A120" s="120" t="s">
        <v>139</v>
      </c>
      <c r="B120" s="120"/>
      <c r="C120" s="119"/>
    </row>
    <row r="121" spans="1:3" x14ac:dyDescent="0.25">
      <c r="A121" s="119" t="s">
        <v>140</v>
      </c>
      <c r="B121" s="120"/>
      <c r="C121" s="119"/>
    </row>
    <row r="122" spans="1:3" x14ac:dyDescent="0.25">
      <c r="A122" s="120" t="s">
        <v>141</v>
      </c>
      <c r="B122" s="120"/>
      <c r="C122" s="119"/>
    </row>
    <row r="123" spans="1:3" x14ac:dyDescent="0.25">
      <c r="A123" s="120" t="s">
        <v>142</v>
      </c>
      <c r="B123" s="120"/>
      <c r="C123" s="119"/>
    </row>
    <row r="124" spans="1:3" x14ac:dyDescent="0.25">
      <c r="A124" s="120" t="s">
        <v>143</v>
      </c>
      <c r="B124" s="120"/>
      <c r="C124" s="119"/>
    </row>
    <row r="125" spans="1:3" x14ac:dyDescent="0.25">
      <c r="A125" s="120" t="s">
        <v>146</v>
      </c>
      <c r="B125" s="120"/>
      <c r="C125" s="119"/>
    </row>
    <row r="126" spans="1:3" x14ac:dyDescent="0.25">
      <c r="A126" s="120"/>
      <c r="B126" s="120"/>
      <c r="C126" s="119"/>
    </row>
    <row r="127" spans="1:3" x14ac:dyDescent="0.25">
      <c r="A127" s="119" t="s">
        <v>144</v>
      </c>
      <c r="B127" s="119"/>
      <c r="C127" s="119"/>
    </row>
    <row r="128" spans="1:3" x14ac:dyDescent="0.25">
      <c r="A128" s="119" t="s">
        <v>0</v>
      </c>
      <c r="B128" s="119"/>
      <c r="C128" s="119"/>
    </row>
    <row r="129" spans="1:4" ht="26.4" x14ac:dyDescent="0.25">
      <c r="A129" s="123" t="s">
        <v>150</v>
      </c>
      <c r="B129" s="9" t="s">
        <v>151</v>
      </c>
      <c r="C129" s="119"/>
    </row>
    <row r="130" spans="1:4" x14ac:dyDescent="0.25">
      <c r="A130" s="121">
        <f>3*0.35*0.0032*(25/5)^1.3/(10/2)^1.4</f>
        <v>2.8605021396698365E-3</v>
      </c>
      <c r="B130" s="122">
        <f>3*0.11*0.0032*(25/5)^1.3/(10/2)^1.4</f>
        <v>8.9901495818194878E-4</v>
      </c>
      <c r="C130" s="119"/>
    </row>
    <row r="131" spans="1:4" ht="39.6" x14ac:dyDescent="0.25">
      <c r="A131" s="123" t="s">
        <v>152</v>
      </c>
      <c r="B131" s="9" t="s">
        <v>153</v>
      </c>
      <c r="C131" s="119"/>
    </row>
    <row r="132" spans="1:4" x14ac:dyDescent="0.25">
      <c r="A132" s="121">
        <f>3*0.35*0.0032*(8/5)^1.3/(10/2)^1.4</f>
        <v>6.5033518133224039E-4</v>
      </c>
      <c r="B132" s="122">
        <f>3*0.11*0.0032*(8/5)^1.3/(10/2)^1.4</f>
        <v>2.0439105699013272E-4</v>
      </c>
      <c r="C132" s="119"/>
    </row>
    <row r="133" spans="1:4" x14ac:dyDescent="0.25">
      <c r="A133" s="205"/>
      <c r="B133" s="205"/>
      <c r="C133" s="119"/>
    </row>
    <row r="134" spans="1:4" x14ac:dyDescent="0.25">
      <c r="A134" s="205"/>
      <c r="B134" s="205"/>
      <c r="C134" s="119"/>
    </row>
    <row r="135" spans="1:4" x14ac:dyDescent="0.25">
      <c r="A135" s="205"/>
      <c r="B135" s="205"/>
      <c r="C135" s="119"/>
    </row>
    <row r="136" spans="1:4" x14ac:dyDescent="0.25">
      <c r="A136" s="205"/>
      <c r="B136" s="205"/>
      <c r="C136" s="119"/>
    </row>
    <row r="137" spans="1:4" ht="13.8" x14ac:dyDescent="0.25">
      <c r="A137" s="206" t="s">
        <v>330</v>
      </c>
      <c r="B137" s="205"/>
      <c r="C137" s="119"/>
    </row>
    <row r="138" spans="1:4" x14ac:dyDescent="0.25">
      <c r="A138" s="207" t="s">
        <v>319</v>
      </c>
      <c r="B138" s="205"/>
      <c r="C138" s="119"/>
    </row>
    <row r="139" spans="1:4" x14ac:dyDescent="0.25">
      <c r="A139" s="207"/>
      <c r="B139" s="205"/>
      <c r="C139" s="119"/>
    </row>
    <row r="140" spans="1:4" x14ac:dyDescent="0.25">
      <c r="A140" s="194" t="s">
        <v>70</v>
      </c>
      <c r="B140" s="194" t="s">
        <v>71</v>
      </c>
      <c r="C140" s="119"/>
    </row>
    <row r="141" spans="1:4" x14ac:dyDescent="0.25">
      <c r="A141" s="203">
        <f>+('[4]Fugitive Dust Annual - Alt 2'!E278+'[4]Fugitive Dust Annual - Alt 2'!BG278)*2000/365</f>
        <v>28.868173150684939</v>
      </c>
      <c r="B141" s="203">
        <f>+('[4]Fugitive Dust Annual - Alt 2'!F278+'[4]Fugitive Dust Annual - Alt 2'!BH278)*2000/365</f>
        <v>5.9127583561643844</v>
      </c>
      <c r="C141" s="119"/>
    </row>
    <row r="142" spans="1:4" x14ac:dyDescent="0.25">
      <c r="A142" s="119"/>
      <c r="B142" s="119"/>
      <c r="C142" s="119"/>
    </row>
    <row r="143" spans="1:4" x14ac:dyDescent="0.25">
      <c r="A143" s="8" t="s">
        <v>320</v>
      </c>
      <c r="B143" s="119"/>
      <c r="C143" s="119" t="s">
        <v>321</v>
      </c>
      <c r="D143" s="119"/>
    </row>
    <row r="144" spans="1:4" x14ac:dyDescent="0.25">
      <c r="A144" s="119"/>
      <c r="B144" s="119"/>
      <c r="C144" s="137" t="s">
        <v>322</v>
      </c>
      <c r="D144" s="137" t="s">
        <v>323</v>
      </c>
    </row>
    <row r="145" spans="1:4" x14ac:dyDescent="0.25">
      <c r="A145" s="200" t="s">
        <v>324</v>
      </c>
      <c r="B145" s="201"/>
      <c r="C145" s="29">
        <f>B35</f>
        <v>22.930973023881435</v>
      </c>
      <c r="D145" s="29">
        <f>C35</f>
        <v>10.027424021291603</v>
      </c>
    </row>
    <row r="146" spans="1:4" x14ac:dyDescent="0.25">
      <c r="A146" s="200" t="s">
        <v>325</v>
      </c>
      <c r="B146" s="201"/>
      <c r="C146" s="29">
        <f>B75+B45</f>
        <v>5.9802</v>
      </c>
      <c r="D146" s="29">
        <f>C75+C45</f>
        <v>0.79379024414962418</v>
      </c>
    </row>
    <row r="147" spans="1:4" x14ac:dyDescent="0.25">
      <c r="A147" s="200" t="s">
        <v>326</v>
      </c>
      <c r="B147" s="201"/>
      <c r="C147" s="29">
        <f>B101</f>
        <v>31.991855930067452</v>
      </c>
      <c r="D147" s="29">
        <f>C101</f>
        <v>10.054583292306916</v>
      </c>
    </row>
    <row r="148" spans="1:4" x14ac:dyDescent="0.25">
      <c r="A148" s="200" t="s">
        <v>327</v>
      </c>
      <c r="B148" s="201"/>
      <c r="C148" s="29">
        <f>+A141</f>
        <v>28.868173150684939</v>
      </c>
      <c r="D148" s="29">
        <f>+B141</f>
        <v>5.9127583561643844</v>
      </c>
    </row>
    <row r="149" spans="1:4" x14ac:dyDescent="0.25">
      <c r="A149" s="119"/>
      <c r="B149" s="119"/>
      <c r="C149" s="204"/>
      <c r="D149" s="204"/>
    </row>
    <row r="150" spans="1:4" x14ac:dyDescent="0.25">
      <c r="A150" s="137"/>
      <c r="B150" s="137" t="s">
        <v>328</v>
      </c>
      <c r="C150" s="29">
        <f>+SUM(C145:C148)</f>
        <v>89.771202104633829</v>
      </c>
      <c r="D150" s="29">
        <f>+SUM(D145:D148)</f>
        <v>26.788555913912528</v>
      </c>
    </row>
    <row r="151" spans="1:4" x14ac:dyDescent="0.25">
      <c r="A151" s="137" t="s">
        <v>337</v>
      </c>
      <c r="B151" s="213"/>
      <c r="C151" s="213"/>
      <c r="D151" s="213"/>
    </row>
    <row r="152" spans="1:4" x14ac:dyDescent="0.25">
      <c r="A152" s="377" t="s">
        <v>277</v>
      </c>
      <c r="B152" s="213"/>
      <c r="C152" s="215">
        <f>7*22*C150/2000</f>
        <v>6.9123825620568047</v>
      </c>
      <c r="D152" s="215">
        <f>7*22*D150/2000</f>
        <v>2.0627188053712646</v>
      </c>
    </row>
    <row r="153" spans="1:4" x14ac:dyDescent="0.25">
      <c r="A153" s="377" t="s">
        <v>278</v>
      </c>
      <c r="B153" s="213"/>
      <c r="C153" s="215">
        <f>6*22*C150/2000</f>
        <v>5.9248993389058322</v>
      </c>
      <c r="D153" s="215">
        <f>6*22*D150/2000</f>
        <v>1.768044690318227</v>
      </c>
    </row>
    <row r="154" spans="1:4" ht="26.4" x14ac:dyDescent="0.25">
      <c r="A154" s="377" t="s">
        <v>279</v>
      </c>
      <c r="B154" s="213"/>
      <c r="C154" s="215">
        <f>2*22*C150/2000</f>
        <v>1.9749664463019443</v>
      </c>
      <c r="D154" s="215">
        <f>2*22*D150/2000</f>
        <v>0.58934823010607562</v>
      </c>
    </row>
    <row r="155" spans="1:4" x14ac:dyDescent="0.25">
      <c r="A155" s="377" t="s">
        <v>283</v>
      </c>
      <c r="B155" s="213"/>
      <c r="C155" s="215">
        <f>4*22*C150/2000</f>
        <v>3.9499328926038886</v>
      </c>
      <c r="D155" s="215">
        <f>4*22*D150/2000</f>
        <v>1.1786964602121512</v>
      </c>
    </row>
    <row r="156" spans="1:4" x14ac:dyDescent="0.25">
      <c r="A156" s="377" t="s">
        <v>280</v>
      </c>
      <c r="B156" s="213"/>
      <c r="C156" s="215">
        <f>3*22*C150/2000</f>
        <v>2.9624496694529161</v>
      </c>
      <c r="D156" s="215">
        <f>3*22*D150/2000</f>
        <v>0.88402234515911349</v>
      </c>
    </row>
    <row r="157" spans="1:4" x14ac:dyDescent="0.25">
      <c r="A157" s="377" t="s">
        <v>281</v>
      </c>
      <c r="B157" s="213"/>
      <c r="C157" s="215">
        <f>4*22*C150/2000</f>
        <v>3.9499328926038886</v>
      </c>
      <c r="D157" s="215">
        <f>4*22*D150/2000</f>
        <v>1.1786964602121512</v>
      </c>
    </row>
    <row r="158" spans="1:4" x14ac:dyDescent="0.25">
      <c r="A158" s="377" t="s">
        <v>282</v>
      </c>
      <c r="B158" s="213"/>
      <c r="C158" s="215">
        <f>4*22*C150/2000</f>
        <v>3.9499328926038886</v>
      </c>
      <c r="D158" s="215">
        <f>4*22*D150/2000</f>
        <v>1.1786964602121512</v>
      </c>
    </row>
  </sheetData>
  <pageMargins left="0.7" right="0.7" top="0.75" bottom="0.75" header="0.3" footer="0.3"/>
  <pageSetup scale="33" orientation="portrait" r:id="rId1"/>
  <headerFooter>
    <oddHeader>&amp;CTable A-16
Fugitive Dust Emission Calculations
South Orange County Reliability Project
Transmission Line Construction</oddHeader>
    <oddFooter>&amp;CA-16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70"/>
  <sheetViews>
    <sheetView topLeftCell="A17" workbookViewId="0">
      <selection activeCell="G32" sqref="G32"/>
    </sheetView>
  </sheetViews>
  <sheetFormatPr defaultRowHeight="13.2" x14ac:dyDescent="0.25"/>
  <cols>
    <col min="1" max="1" width="49.6640625" style="32" customWidth="1"/>
    <col min="17" max="17" width="9.109375" style="7"/>
  </cols>
  <sheetData>
    <row r="1" spans="1:19" s="572" customFormat="1" x14ac:dyDescent="0.25">
      <c r="A1" s="119" t="s">
        <v>648</v>
      </c>
      <c r="Q1" s="7"/>
    </row>
    <row r="2" spans="1:19" x14ac:dyDescent="0.25">
      <c r="A2" s="8" t="s">
        <v>118</v>
      </c>
      <c r="B2" s="622" t="s">
        <v>1</v>
      </c>
      <c r="C2" s="621"/>
      <c r="D2" s="621"/>
      <c r="E2" s="621"/>
      <c r="F2" s="621"/>
      <c r="G2" s="621"/>
      <c r="H2" s="621"/>
      <c r="I2" s="621"/>
      <c r="J2" s="11"/>
      <c r="K2" s="623" t="s">
        <v>2</v>
      </c>
      <c r="L2" s="750"/>
      <c r="M2" s="750"/>
      <c r="N2" s="750"/>
      <c r="O2" s="750"/>
      <c r="P2" s="750"/>
      <c r="Q2" s="750"/>
      <c r="R2" s="750"/>
      <c r="S2" s="751"/>
    </row>
    <row r="3" spans="1:19" ht="39.6" hidden="1" x14ac:dyDescent="0.25">
      <c r="A3" s="12" t="str">
        <f>'Equipment Talega Substation'!A7</f>
        <v>Talega Substation Site Development</v>
      </c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7" t="s">
        <v>24</v>
      </c>
      <c r="I3" s="16" t="s">
        <v>25</v>
      </c>
      <c r="J3" s="16" t="s">
        <v>26</v>
      </c>
      <c r="K3" s="18" t="s">
        <v>27</v>
      </c>
      <c r="L3" s="18" t="s">
        <v>28</v>
      </c>
      <c r="M3" s="18" t="s">
        <v>29</v>
      </c>
      <c r="N3" s="18" t="s">
        <v>30</v>
      </c>
      <c r="O3" s="18" t="s">
        <v>31</v>
      </c>
      <c r="P3" s="18" t="s">
        <v>32</v>
      </c>
      <c r="Q3" s="17" t="s">
        <v>33</v>
      </c>
      <c r="R3" s="18" t="s">
        <v>34</v>
      </c>
      <c r="S3" s="18" t="s">
        <v>35</v>
      </c>
    </row>
    <row r="4" spans="1:19" hidden="1" x14ac:dyDescent="0.25">
      <c r="A4" s="137" t="s">
        <v>75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4"/>
      <c r="R4" s="213"/>
      <c r="S4" s="213"/>
    </row>
    <row r="5" spans="1:19" hidden="1" x14ac:dyDescent="0.25">
      <c r="A5" s="137" t="s">
        <v>119</v>
      </c>
      <c r="B5" s="215">
        <f>'Equipment Talega Substation'!Q17</f>
        <v>0</v>
      </c>
      <c r="C5" s="215">
        <f>'Equipment Talega Substation'!R17</f>
        <v>0</v>
      </c>
      <c r="D5" s="215">
        <f>'Equipment Talega Substation'!S17</f>
        <v>0</v>
      </c>
      <c r="E5" s="215">
        <f>'Equipment Talega Substation'!T17</f>
        <v>0</v>
      </c>
      <c r="F5" s="215">
        <f>'Equipment Talega Substation'!U17</f>
        <v>0</v>
      </c>
      <c r="G5" s="215">
        <f>'Equipment Talega Substation'!V17</f>
        <v>0</v>
      </c>
      <c r="H5" s="215">
        <f>'Equipment Talega Substation'!W17</f>
        <v>0</v>
      </c>
      <c r="I5" s="215">
        <f>'Equipment Talega Substation'!X17</f>
        <v>0</v>
      </c>
      <c r="J5" s="215">
        <f>'Equipment Talega Substation'!Y17</f>
        <v>0</v>
      </c>
      <c r="K5" s="213">
        <f>'Equipment Talega Substation'!E54</f>
        <v>0</v>
      </c>
      <c r="L5" s="213">
        <f>'Equipment Talega Substation'!F54</f>
        <v>0</v>
      </c>
      <c r="M5" s="213">
        <f>'Equipment Talega Substation'!G54</f>
        <v>0</v>
      </c>
      <c r="N5" s="213">
        <f>'Equipment Talega Substation'!H54</f>
        <v>0</v>
      </c>
      <c r="O5" s="213">
        <f>'Equipment Talega Substation'!I54</f>
        <v>0</v>
      </c>
      <c r="P5" s="213">
        <f>'Equipment Talega Substation'!J54</f>
        <v>0</v>
      </c>
      <c r="Q5" s="213">
        <f>'Equipment Talega Substation'!K54</f>
        <v>0</v>
      </c>
      <c r="R5" s="213">
        <f>'Equipment Talega Substation'!L54</f>
        <v>0</v>
      </c>
      <c r="S5" s="213">
        <f>'Equipment Talega Substation'!M54</f>
        <v>0</v>
      </c>
    </row>
    <row r="6" spans="1:19" hidden="1" x14ac:dyDescent="0.25">
      <c r="A6" s="137" t="s">
        <v>120</v>
      </c>
      <c r="B6" s="215">
        <f>WorkerTrips!I131</f>
        <v>0.44227708816422323</v>
      </c>
      <c r="C6" s="215">
        <f>WorkerTrips!G131</f>
        <v>4.4528537292995702</v>
      </c>
      <c r="D6" s="215">
        <f>WorkerTrips!H131</f>
        <v>0.40213863762342417</v>
      </c>
      <c r="E6" s="215">
        <f>WorkerTrips!J131</f>
        <v>5.8013799246015123E-3</v>
      </c>
      <c r="F6" s="215">
        <f>WorkerTrips!K131+WorkerTrips!M131</f>
        <v>0.13652609336323754</v>
      </c>
      <c r="G6" s="215">
        <f>WorkerTrips!L131+WorkerTrips!N131</f>
        <v>4.4632297224538653E-2</v>
      </c>
      <c r="H6" s="215">
        <f>WorkerTrips!O131</f>
        <v>452.63951672693457</v>
      </c>
      <c r="I6" s="215">
        <f>WorkerTrips!P131</f>
        <v>2.5365049583897924E-2</v>
      </c>
      <c r="J6" s="215">
        <f>WorkerTrips!Q131</f>
        <v>4.6169507762324036E-2</v>
      </c>
      <c r="K6" s="215">
        <f>WorkerTrips!S131</f>
        <v>0.14694417306688581</v>
      </c>
      <c r="L6" s="215">
        <f>WorkerTrips!T131</f>
        <v>1.3270575041572997E-2</v>
      </c>
      <c r="M6" s="215">
        <f>WorkerTrips!U131</f>
        <v>1.4595143909419366E-2</v>
      </c>
      <c r="N6" s="215">
        <f>WorkerTrips!V131</f>
        <v>1.9144553751184988E-4</v>
      </c>
      <c r="O6" s="215">
        <f>WorkerTrips!W131+WorkerTrips!Y131</f>
        <v>4.5053610809868382E-3</v>
      </c>
      <c r="P6" s="215">
        <f>WorkerTrips!X131+WorkerTrips!Z131</f>
        <v>1.4728658084097756E-3</v>
      </c>
      <c r="Q6" s="214">
        <f>WorkerTrips!AA131</f>
        <v>14.937104051988841</v>
      </c>
      <c r="R6" s="215">
        <f>WorkerTrips!AB131</f>
        <v>8.3704663626863157E-4</v>
      </c>
      <c r="S6" s="215">
        <f>WorkerTrips!AC131</f>
        <v>1.5235937561566932E-3</v>
      </c>
    </row>
    <row r="7" spans="1:19" hidden="1" x14ac:dyDescent="0.25">
      <c r="A7" s="137" t="s">
        <v>121</v>
      </c>
      <c r="B7" s="215">
        <f>'Construction Trucks'!V122</f>
        <v>5.2334196256531233E-2</v>
      </c>
      <c r="C7" s="215">
        <f>'Construction Trucks'!T122</f>
        <v>0.19745835543111623</v>
      </c>
      <c r="D7" s="215">
        <f>'Construction Trucks'!U122</f>
        <v>1.3806349139972223</v>
      </c>
      <c r="E7" s="215">
        <f>'Construction Trucks'!W122</f>
        <v>1.8892511739676801E-3</v>
      </c>
      <c r="F7" s="215">
        <f>'Construction Trucks'!X122+'Construction Trucks'!Z122</f>
        <v>7.2583533153402366E-2</v>
      </c>
      <c r="G7" s="215">
        <f>'Construction Trucks'!Y122+'Construction Trucks'!AA122</f>
        <v>4.8488467553228567E-2</v>
      </c>
      <c r="H7" s="215">
        <f>'Construction Trucks'!AB122</f>
        <v>196.04475901144207</v>
      </c>
      <c r="I7" s="215">
        <f>'Construction Trucks'!AC122</f>
        <v>1.1202585664190835E-2</v>
      </c>
      <c r="J7" s="215">
        <f>'Construction Trucks'!AD122</f>
        <v>5.0218825468371E-3</v>
      </c>
      <c r="K7" s="215">
        <f>'Construction Trucks'!AH122</f>
        <v>1.7270284764655307E-3</v>
      </c>
      <c r="L7" s="215">
        <f>'Construction Trucks'!AF122</f>
        <v>6.5161257292268362E-3</v>
      </c>
      <c r="M7" s="215">
        <f>'Construction Trucks'!AG122</f>
        <v>4.5560952161908336E-2</v>
      </c>
      <c r="N7" s="215">
        <f>'Construction Trucks'!AI122</f>
        <v>6.2345288740933439E-5</v>
      </c>
      <c r="O7" s="215">
        <f>'Construction Trucks'!AJ122+'Construction Trucks'!AL122</f>
        <v>2.3952565940622778E-3</v>
      </c>
      <c r="P7" s="215">
        <f>'Construction Trucks'!AK122+'Construction Trucks'!AM122</f>
        <v>1.6001194292565427E-3</v>
      </c>
      <c r="Q7" s="214">
        <f>'Construction Trucks'!AN122</f>
        <v>6.4694770473775876</v>
      </c>
      <c r="R7" s="215">
        <f>'Construction Trucks'!AO122</f>
        <v>3.6968532691829758E-4</v>
      </c>
      <c r="S7" s="215">
        <f>'Construction Trucks'!AP122</f>
        <v>1.6572212404562431E-4</v>
      </c>
    </row>
    <row r="8" spans="1:19" hidden="1" x14ac:dyDescent="0.25">
      <c r="A8" s="137" t="s">
        <v>122</v>
      </c>
      <c r="B8" s="215"/>
      <c r="C8" s="215"/>
      <c r="D8" s="215"/>
      <c r="E8" s="215"/>
      <c r="F8" s="215">
        <f>'Fugitive Dust Substation'!$C$88</f>
        <v>61.930973023881435</v>
      </c>
      <c r="G8" s="215">
        <f>'Fugitive Dust Substation'!$D$88</f>
        <v>18.217424021291603</v>
      </c>
      <c r="H8" s="215"/>
      <c r="I8" s="215"/>
      <c r="J8" s="215"/>
      <c r="K8" s="215"/>
      <c r="L8" s="215"/>
      <c r="M8" s="215"/>
      <c r="N8" s="215"/>
      <c r="O8" s="215">
        <f>'Fugitive Dust Substation'!C89</f>
        <v>4.0874442195761747</v>
      </c>
      <c r="P8" s="215">
        <f>'Fugitive Dust Substation'!D89</f>
        <v>1.2023499854052457</v>
      </c>
      <c r="Q8" s="214"/>
      <c r="R8" s="215"/>
      <c r="S8" s="215"/>
    </row>
    <row r="9" spans="1:19" hidden="1" x14ac:dyDescent="0.25">
      <c r="A9" s="12" t="s">
        <v>123</v>
      </c>
      <c r="B9" s="22">
        <f>SUM(B5:B8)</f>
        <v>0.49461128442075447</v>
      </c>
      <c r="C9" s="22">
        <f t="shared" ref="C9" si="0">SUM(C5:C8)</f>
        <v>4.650312084730686</v>
      </c>
      <c r="D9" s="22">
        <f t="shared" ref="D9" si="1">SUM(D5:D8)</f>
        <v>1.7827735516206464</v>
      </c>
      <c r="E9" s="22">
        <f t="shared" ref="E9" si="2">SUM(E5:E8)</f>
        <v>7.6906310985691926E-3</v>
      </c>
      <c r="F9" s="22">
        <f t="shared" ref="F9" si="3">SUM(F5:F8)</f>
        <v>62.140082650398078</v>
      </c>
      <c r="G9" s="22">
        <f t="shared" ref="G9" si="4">SUM(G5:G8)</f>
        <v>18.310544786069372</v>
      </c>
      <c r="H9" s="22">
        <f t="shared" ref="H9" si="5">SUM(H5:H8)</f>
        <v>648.68427573837664</v>
      </c>
      <c r="I9" s="22">
        <f t="shared" ref="I9" si="6">SUM(I5:I8)</f>
        <v>3.6567635248088759E-2</v>
      </c>
      <c r="J9" s="22">
        <f t="shared" ref="J9" si="7">SUM(J5:J8)</f>
        <v>5.1191390309161137E-2</v>
      </c>
      <c r="K9" s="22">
        <f t="shared" ref="K9" si="8">SUM(K5:K8)</f>
        <v>0.14867120154335134</v>
      </c>
      <c r="L9" s="22">
        <f t="shared" ref="L9" si="9">SUM(L5:L8)</f>
        <v>1.9786700770799831E-2</v>
      </c>
      <c r="M9" s="22">
        <f t="shared" ref="M9" si="10">SUM(M5:M8)</f>
        <v>6.01560960713277E-2</v>
      </c>
      <c r="N9" s="22">
        <f t="shared" ref="N9" si="11">SUM(N5:N8)</f>
        <v>2.5379082625278331E-4</v>
      </c>
      <c r="O9" s="22">
        <f t="shared" ref="O9" si="12">SUM(O5:O8)</f>
        <v>4.0943448372512234</v>
      </c>
      <c r="P9" s="22">
        <f t="shared" ref="P9" si="13">SUM(P5:P8)</f>
        <v>1.205422970642912</v>
      </c>
      <c r="Q9" s="22">
        <f t="shared" ref="Q9" si="14">SUM(Q5:Q8)</f>
        <v>21.406581099366427</v>
      </c>
      <c r="R9" s="22">
        <f t="shared" ref="R9" si="15">SUM(R5:R8)</f>
        <v>1.206731963186929E-3</v>
      </c>
      <c r="S9" s="22">
        <f t="shared" ref="S9" si="16">SUM(S5:S8)</f>
        <v>1.6893158802023175E-3</v>
      </c>
    </row>
    <row r="10" spans="1:19" hidden="1" x14ac:dyDescent="0.25">
      <c r="A10" s="614" t="s">
        <v>124</v>
      </c>
      <c r="B10" s="216">
        <v>75</v>
      </c>
      <c r="C10" s="216">
        <v>550</v>
      </c>
      <c r="D10" s="216">
        <v>100</v>
      </c>
      <c r="E10" s="216">
        <v>150</v>
      </c>
      <c r="F10" s="216">
        <v>150</v>
      </c>
      <c r="G10" s="216">
        <v>55</v>
      </c>
      <c r="H10" s="216" t="s">
        <v>126</v>
      </c>
      <c r="I10" s="216" t="s">
        <v>126</v>
      </c>
      <c r="J10" s="216" t="s">
        <v>126</v>
      </c>
      <c r="K10" s="216"/>
      <c r="L10" s="216"/>
      <c r="M10" s="216"/>
      <c r="N10" s="216"/>
      <c r="O10" s="216"/>
      <c r="P10" s="216"/>
      <c r="Q10" s="217"/>
      <c r="R10" s="216"/>
      <c r="S10" s="216"/>
    </row>
    <row r="11" spans="1:19" hidden="1" x14ac:dyDescent="0.25">
      <c r="A11" s="137" t="s">
        <v>125</v>
      </c>
      <c r="B11" s="27" t="s">
        <v>127</v>
      </c>
      <c r="C11" s="27" t="s">
        <v>127</v>
      </c>
      <c r="D11" s="27" t="s">
        <v>127</v>
      </c>
      <c r="E11" s="27" t="s">
        <v>127</v>
      </c>
      <c r="F11" s="27" t="s">
        <v>127</v>
      </c>
      <c r="G11" s="27" t="s">
        <v>127</v>
      </c>
      <c r="H11" s="27" t="s">
        <v>126</v>
      </c>
      <c r="I11" s="27" t="s">
        <v>126</v>
      </c>
      <c r="J11" s="27" t="s">
        <v>126</v>
      </c>
      <c r="K11" s="27"/>
      <c r="L11" s="27"/>
      <c r="M11" s="27"/>
      <c r="N11" s="27"/>
      <c r="O11" s="27"/>
      <c r="P11" s="27"/>
      <c r="Q11" s="218"/>
      <c r="R11" s="27"/>
      <c r="S11" s="27"/>
    </row>
    <row r="12" spans="1:19" hidden="1" x14ac:dyDescent="0.25">
      <c r="A12" s="119"/>
      <c r="J12" s="105"/>
    </row>
    <row r="13" spans="1:19" hidden="1" x14ac:dyDescent="0.25">
      <c r="J13" s="105"/>
      <c r="O13" s="97"/>
      <c r="R13" s="98"/>
      <c r="S13" s="98"/>
    </row>
    <row r="14" spans="1:19" s="572" customFormat="1" x14ac:dyDescent="0.25">
      <c r="A14" s="613">
        <v>2015</v>
      </c>
      <c r="J14" s="105"/>
      <c r="O14" s="97"/>
      <c r="Q14" s="7"/>
      <c r="R14" s="98"/>
      <c r="S14" s="98"/>
    </row>
    <row r="15" spans="1:19" ht="39.6" x14ac:dyDescent="0.25">
      <c r="A15" s="31" t="str">
        <f>'Equipment Capistrano Sub 138kV'!A7</f>
        <v>Capistrano Substation Building Removal - Lower Yard</v>
      </c>
      <c r="B15" s="16" t="s">
        <v>18</v>
      </c>
      <c r="C15" s="16" t="s">
        <v>19</v>
      </c>
      <c r="D15" s="16" t="s">
        <v>20</v>
      </c>
      <c r="E15" s="16" t="s">
        <v>21</v>
      </c>
      <c r="F15" s="16" t="s">
        <v>22</v>
      </c>
      <c r="G15" s="16" t="s">
        <v>23</v>
      </c>
      <c r="H15" s="17" t="s">
        <v>24</v>
      </c>
      <c r="I15" s="16" t="s">
        <v>25</v>
      </c>
      <c r="J15" s="16" t="s">
        <v>26</v>
      </c>
      <c r="K15" s="18" t="s">
        <v>27</v>
      </c>
      <c r="L15" s="18" t="s">
        <v>28</v>
      </c>
      <c r="M15" s="18" t="s">
        <v>29</v>
      </c>
      <c r="N15" s="18" t="s">
        <v>30</v>
      </c>
      <c r="O15" s="18" t="s">
        <v>31</v>
      </c>
      <c r="P15" s="18" t="s">
        <v>32</v>
      </c>
      <c r="Q15" s="17" t="s">
        <v>33</v>
      </c>
      <c r="R15" s="18" t="s">
        <v>34</v>
      </c>
      <c r="S15" s="18" t="s">
        <v>35</v>
      </c>
    </row>
    <row r="16" spans="1:19" x14ac:dyDescent="0.25">
      <c r="A16" s="137" t="s">
        <v>75</v>
      </c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4"/>
      <c r="R16" s="213"/>
      <c r="S16" s="213"/>
    </row>
    <row r="17" spans="1:19" x14ac:dyDescent="0.25">
      <c r="A17" s="137" t="s">
        <v>119</v>
      </c>
      <c r="B17" s="215">
        <f>'Equipment Capistrano Sub 138kV'!Q14</f>
        <v>3.2522638266886554</v>
      </c>
      <c r="C17" s="215">
        <f>'Equipment Capistrano Sub 138kV'!R14</f>
        <v>11.446024278483677</v>
      </c>
      <c r="D17" s="215">
        <f>'Equipment Capistrano Sub 138kV'!S14</f>
        <v>25.3487682700653</v>
      </c>
      <c r="E17" s="215">
        <f>'Equipment Capistrano Sub 138kV'!T14</f>
        <v>4.5928987597044217E-2</v>
      </c>
      <c r="F17" s="215">
        <f>'Equipment Capistrano Sub 138kV'!U14</f>
        <v>0.95393774033106582</v>
      </c>
      <c r="G17" s="215">
        <f>'Equipment Capistrano Sub 138kV'!V14</f>
        <v>0.84900458889464858</v>
      </c>
      <c r="H17" s="215">
        <f>'Equipment Capistrano Sub 138kV'!W14</f>
        <v>4368.9666946870057</v>
      </c>
      <c r="I17" s="215">
        <f>'Equipment Capistrano Sub 138kV'!X14</f>
        <v>0.30457968341991826</v>
      </c>
      <c r="J17" s="215">
        <f>'Equipment Capistrano Sub 138kV'!Y14</f>
        <v>2.4081329856562035</v>
      </c>
      <c r="K17" s="213">
        <f>'Equipment Capistrano Sub 138kV'!E76</f>
        <v>6.2699410325408073E-2</v>
      </c>
      <c r="L17" s="213">
        <f>'Equipment Capistrano Sub 138kV'!F76</f>
        <v>0.2203873237435614</v>
      </c>
      <c r="M17" s="213">
        <f>'Equipment Capistrano Sub 138kV'!G76</f>
        <v>0.48234805467632302</v>
      </c>
      <c r="N17" s="213">
        <f>'Equipment Capistrano Sub 138kV'!H76</f>
        <v>8.9376600251634536E-4</v>
      </c>
      <c r="O17" s="213">
        <f>'Equipment Capistrano Sub 138kV'!I76</f>
        <v>1.8300849856670923E-2</v>
      </c>
      <c r="P17" s="213">
        <f>'Equipment Capistrano Sub 138kV'!J76</f>
        <v>1.628775637243712E-2</v>
      </c>
      <c r="Q17" s="213">
        <f>'Equipment Capistrano Sub 138kV'!K76</f>
        <v>84.230582471856522</v>
      </c>
      <c r="R17" s="213">
        <f>'Equipment Capistrano Sub 138kV'!L76</f>
        <v>5.871360262308261E-3</v>
      </c>
      <c r="S17" s="213">
        <f>'Equipment Capistrano Sub 138kV'!M76</f>
        <v>4.5823065194250688E-2</v>
      </c>
    </row>
    <row r="18" spans="1:19" x14ac:dyDescent="0.25">
      <c r="A18" s="137" t="s">
        <v>120</v>
      </c>
      <c r="B18" s="215">
        <f>WorkerTrips!I135</f>
        <v>0.60813099622580691</v>
      </c>
      <c r="C18" s="215">
        <f>WorkerTrips!J135</f>
        <v>7.9768973963270789E-3</v>
      </c>
      <c r="D18" s="215">
        <f>WorkerTrips!K135</f>
        <v>9.4898969927660712E-2</v>
      </c>
      <c r="E18" s="215">
        <f>WorkerTrips!L135</f>
        <v>4.1876282909914561E-2</v>
      </c>
      <c r="F18" s="215">
        <f>WorkerTrips!K135+WorkerTrips!M135</f>
        <v>0.1877233783744516</v>
      </c>
      <c r="G18" s="215">
        <f>WorkerTrips!L135+WorkerTrips!N135</f>
        <v>6.1369408683740648E-2</v>
      </c>
      <c r="H18" s="215">
        <f>WorkerTrips!O135</f>
        <v>622.37933549953505</v>
      </c>
      <c r="I18" s="215">
        <f>WorkerTrips!P135</f>
        <v>3.4876943177859644E-2</v>
      </c>
      <c r="J18" s="215">
        <f>WorkerTrips!Q135</f>
        <v>6.3483073173195556E-2</v>
      </c>
      <c r="K18" s="215">
        <f>WorkerTrips!S135</f>
        <v>0.20204823796696797</v>
      </c>
      <c r="L18" s="215">
        <f>WorkerTrips!T135</f>
        <v>1.824704068216287E-2</v>
      </c>
      <c r="M18" s="215">
        <f>WorkerTrips!U135</f>
        <v>2.0068322875451627E-2</v>
      </c>
      <c r="N18" s="215">
        <f>WorkerTrips!V135</f>
        <v>2.6323761407879361E-4</v>
      </c>
      <c r="O18" s="215">
        <f>WorkerTrips!W135+WorkerTrips!Y135</f>
        <v>6.194871486356902E-3</v>
      </c>
      <c r="P18" s="215">
        <f>WorkerTrips!X135+WorkerTrips!Z135</f>
        <v>2.0251904865634415E-3</v>
      </c>
      <c r="Q18" s="214">
        <f>WorkerTrips!AA135</f>
        <v>20.538518071484656</v>
      </c>
      <c r="R18" s="215">
        <f>WorkerTrips!AB135</f>
        <v>1.1509391248693682E-3</v>
      </c>
      <c r="S18" s="215">
        <f>WorkerTrips!AC135</f>
        <v>2.0949414147154533E-3</v>
      </c>
    </row>
    <row r="19" spans="1:19" x14ac:dyDescent="0.25">
      <c r="A19" s="137" t="s">
        <v>121</v>
      </c>
      <c r="B19" s="215">
        <f>'Construction Trucks'!V136</f>
        <v>0.53405328388005069</v>
      </c>
      <c r="C19" s="215">
        <f>'Construction Trucks'!T136</f>
        <v>2.2262415685696686</v>
      </c>
      <c r="D19" s="215">
        <f>'Construction Trucks'!U136</f>
        <v>11.950473832974637</v>
      </c>
      <c r="E19" s="215">
        <f>'Construction Trucks'!W136</f>
        <v>2.0781762913644478E-2</v>
      </c>
      <c r="F19" s="215">
        <f>'Construction Trucks'!X136+'Construction Trucks'!Z136</f>
        <v>0.43035097431755304</v>
      </c>
      <c r="G19" s="215">
        <f>'Construction Trucks'!Y136+'Construction Trucks'!AA136</f>
        <v>0.22895796346753378</v>
      </c>
      <c r="H19" s="215">
        <f>'Construction Trucks'!AB136</f>
        <v>3367.2036722684775</v>
      </c>
      <c r="I19" s="215">
        <f>'Construction Trucks'!AC136</f>
        <v>0.19241211944443756</v>
      </c>
      <c r="J19" s="215">
        <f>'Construction Trucks'!AD136</f>
        <v>8.6254289268829304E-2</v>
      </c>
      <c r="K19" s="215">
        <f>'Construction Trucks'!AH136</f>
        <v>1.1749172245361117E-2</v>
      </c>
      <c r="L19" s="215">
        <f>'Construction Trucks'!AF136</f>
        <v>4.897731450853271E-2</v>
      </c>
      <c r="M19" s="215">
        <f>'Construction Trucks'!AG136</f>
        <v>0.26291042432544198</v>
      </c>
      <c r="N19" s="215">
        <f>'Construction Trucks'!AI136</f>
        <v>4.5719878410017858E-4</v>
      </c>
      <c r="O19" s="215">
        <f>'Construction Trucks'!AJ136+'Construction Trucks'!AL136</f>
        <v>9.467721434986167E-3</v>
      </c>
      <c r="P19" s="215">
        <f>'Construction Trucks'!AK136+'Construction Trucks'!AM136</f>
        <v>5.0370751962857422E-3</v>
      </c>
      <c r="Q19" s="214">
        <f>'Construction Trucks'!AN136</f>
        <v>74.078480789906493</v>
      </c>
      <c r="R19" s="215">
        <f>'Construction Trucks'!AO136</f>
        <v>4.2330666277776265E-3</v>
      </c>
      <c r="S19" s="215">
        <f>'Construction Trucks'!AP136</f>
        <v>1.8975943639142445E-3</v>
      </c>
    </row>
    <row r="20" spans="1:19" x14ac:dyDescent="0.25">
      <c r="A20" s="137" t="s">
        <v>122</v>
      </c>
      <c r="B20" s="215"/>
      <c r="C20" s="215"/>
      <c r="D20" s="215"/>
      <c r="E20" s="215"/>
      <c r="F20" s="215">
        <f>'Fugitive Dust Substation'!B46</f>
        <v>39</v>
      </c>
      <c r="G20" s="215">
        <f>'Fugitive Dust Substation'!C46</f>
        <v>8.19</v>
      </c>
      <c r="H20" s="215"/>
      <c r="I20" s="215"/>
      <c r="J20" s="215"/>
      <c r="K20" s="215"/>
      <c r="L20" s="215"/>
      <c r="M20" s="215"/>
      <c r="N20" s="215"/>
      <c r="O20" s="215">
        <f>'Fugitive Dust Substation'!B48</f>
        <v>1.95E-2</v>
      </c>
      <c r="P20" s="215">
        <f>'Fugitive Dust Substation'!C48</f>
        <v>4.0949999999999997E-3</v>
      </c>
      <c r="Q20" s="214"/>
      <c r="R20" s="215"/>
      <c r="S20" s="215"/>
    </row>
    <row r="21" spans="1:19" x14ac:dyDescent="0.25">
      <c r="A21" s="12" t="s">
        <v>123</v>
      </c>
      <c r="B21" s="22">
        <f>SUM(B17:B20)</f>
        <v>4.3944481067945134</v>
      </c>
      <c r="C21" s="22">
        <f t="shared" ref="C21" si="17">SUM(C17:C20)</f>
        <v>13.680242744449671</v>
      </c>
      <c r="D21" s="22">
        <f t="shared" ref="D21" si="18">SUM(D17:D20)</f>
        <v>37.394141072967599</v>
      </c>
      <c r="E21" s="22">
        <f t="shared" ref="E21" si="19">SUM(E17:E20)</f>
        <v>0.10858703342060325</v>
      </c>
      <c r="F21" s="22">
        <f t="shared" ref="F21" si="20">SUM(F17:F20)</f>
        <v>40.572012093023069</v>
      </c>
      <c r="G21" s="22">
        <f t="shared" ref="G21" si="21">SUM(G17:G20)</f>
        <v>9.3293319610459218</v>
      </c>
      <c r="H21" s="22">
        <f t="shared" ref="H21" si="22">SUM(H17:H20)</f>
        <v>8358.5497024550186</v>
      </c>
      <c r="I21" s="22">
        <f t="shared" ref="I21" si="23">SUM(I17:I20)</f>
        <v>0.53186874604221546</v>
      </c>
      <c r="J21" s="22">
        <f t="shared" ref="J21" si="24">SUM(J17:J20)</f>
        <v>2.5578703480982283</v>
      </c>
      <c r="K21" s="22">
        <f t="shared" ref="K21" si="25">SUM(K17:K20)</f>
        <v>0.27649682053773716</v>
      </c>
      <c r="L21" s="22">
        <f t="shared" ref="L21" si="26">SUM(L17:L20)</f>
        <v>0.28761167893425699</v>
      </c>
      <c r="M21" s="22">
        <f t="shared" ref="M21" si="27">SUM(M17:M20)</f>
        <v>0.76532680187721669</v>
      </c>
      <c r="N21" s="22">
        <f t="shared" ref="N21" si="28">SUM(N17:N20)</f>
        <v>1.6142024006953175E-3</v>
      </c>
      <c r="O21" s="22">
        <f t="shared" ref="O21" si="29">SUM(O17:O20)</f>
        <v>5.3463442778014E-2</v>
      </c>
      <c r="P21" s="22">
        <f t="shared" ref="P21" si="30">SUM(P17:P20)</f>
        <v>2.7445022055286303E-2</v>
      </c>
      <c r="Q21" s="22">
        <f t="shared" ref="Q21" si="31">SUM(Q17:Q20)</f>
        <v>178.84758133324766</v>
      </c>
      <c r="R21" s="22">
        <f t="shared" ref="R21" si="32">SUM(R17:R20)</f>
        <v>1.1255366014955255E-2</v>
      </c>
      <c r="S21" s="22">
        <f t="shared" ref="S21" si="33">SUM(S17:S20)</f>
        <v>4.9815600972880382E-2</v>
      </c>
    </row>
    <row r="22" spans="1:19" x14ac:dyDescent="0.25">
      <c r="A22" s="137" t="s">
        <v>124</v>
      </c>
      <c r="B22" s="216">
        <v>75</v>
      </c>
      <c r="C22" s="216">
        <v>550</v>
      </c>
      <c r="D22" s="216">
        <v>100</v>
      </c>
      <c r="E22" s="216">
        <v>150</v>
      </c>
      <c r="F22" s="216">
        <v>150</v>
      </c>
      <c r="G22" s="216">
        <v>55</v>
      </c>
      <c r="H22" s="216" t="s">
        <v>126</v>
      </c>
      <c r="I22" s="216" t="s">
        <v>126</v>
      </c>
      <c r="J22" s="216" t="s">
        <v>126</v>
      </c>
      <c r="K22" s="213"/>
      <c r="L22" s="213"/>
      <c r="M22" s="213"/>
      <c r="N22" s="213"/>
      <c r="O22" s="213"/>
      <c r="P22" s="213"/>
      <c r="Q22" s="214"/>
      <c r="R22" s="213"/>
      <c r="S22" s="213"/>
    </row>
    <row r="23" spans="1:19" x14ac:dyDescent="0.25">
      <c r="A23" s="137" t="s">
        <v>125</v>
      </c>
      <c r="B23" s="27" t="str">
        <f>IF(B21&gt;B22,"Yes","No")</f>
        <v>No</v>
      </c>
      <c r="C23" s="27" t="str">
        <f t="shared" ref="C23" si="34">IF(C21&gt;C22,"Yes","No")</f>
        <v>No</v>
      </c>
      <c r="D23" s="27" t="str">
        <f t="shared" ref="D23" si="35">IF(D21&gt;D22,"Yes","No")</f>
        <v>No</v>
      </c>
      <c r="E23" s="27" t="str">
        <f t="shared" ref="E23" si="36">IF(E21&gt;E22,"Yes","No")</f>
        <v>No</v>
      </c>
      <c r="F23" s="27" t="str">
        <f t="shared" ref="F23" si="37">IF(F21&gt;F22,"Yes","No")</f>
        <v>No</v>
      </c>
      <c r="G23" s="27" t="str">
        <f t="shared" ref="G23" si="38">IF(G21&gt;G22,"Yes","No")</f>
        <v>No</v>
      </c>
      <c r="H23" s="27" t="s">
        <v>126</v>
      </c>
      <c r="I23" s="27" t="s">
        <v>126</v>
      </c>
      <c r="J23" s="27" t="s">
        <v>126</v>
      </c>
      <c r="K23" s="213"/>
      <c r="L23" s="213"/>
      <c r="M23" s="213"/>
      <c r="N23" s="213"/>
      <c r="O23" s="213"/>
      <c r="P23" s="213"/>
      <c r="Q23" s="214"/>
      <c r="R23" s="213"/>
      <c r="S23" s="213"/>
    </row>
    <row r="25" spans="1:19" x14ac:dyDescent="0.25">
      <c r="J25" s="105"/>
    </row>
    <row r="26" spans="1:19" ht="39.6" x14ac:dyDescent="0.25">
      <c r="A26" s="12" t="str">
        <f>'Equipment Capistrano Sub 138kV'!A16</f>
        <v>Capistrano Substation Site Development - Lower Yard</v>
      </c>
      <c r="B26" s="16" t="s">
        <v>18</v>
      </c>
      <c r="C26" s="16" t="s">
        <v>19</v>
      </c>
      <c r="D26" s="16" t="s">
        <v>20</v>
      </c>
      <c r="E26" s="16" t="s">
        <v>21</v>
      </c>
      <c r="F26" s="16" t="s">
        <v>22</v>
      </c>
      <c r="G26" s="16" t="s">
        <v>23</v>
      </c>
      <c r="H26" s="17" t="s">
        <v>24</v>
      </c>
      <c r="I26" s="16" t="s">
        <v>25</v>
      </c>
      <c r="J26" s="16" t="s">
        <v>26</v>
      </c>
      <c r="K26" s="18" t="s">
        <v>27</v>
      </c>
      <c r="L26" s="18" t="s">
        <v>28</v>
      </c>
      <c r="M26" s="18" t="s">
        <v>29</v>
      </c>
      <c r="N26" s="18" t="s">
        <v>30</v>
      </c>
      <c r="O26" s="18" t="s">
        <v>31</v>
      </c>
      <c r="P26" s="18" t="s">
        <v>32</v>
      </c>
      <c r="Q26" s="17" t="s">
        <v>33</v>
      </c>
      <c r="R26" s="18" t="s">
        <v>34</v>
      </c>
      <c r="S26" s="18" t="s">
        <v>35</v>
      </c>
    </row>
    <row r="27" spans="1:19" x14ac:dyDescent="0.25">
      <c r="A27" s="137" t="s">
        <v>75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4"/>
      <c r="R27" s="213"/>
      <c r="S27" s="213"/>
    </row>
    <row r="28" spans="1:19" x14ac:dyDescent="0.25">
      <c r="A28" s="137" t="s">
        <v>119</v>
      </c>
      <c r="B28" s="215">
        <f>'Equipment Capistrano Sub 138kV'!Q26</f>
        <v>35.218648862800876</v>
      </c>
      <c r="C28" s="215">
        <f>'Equipment Capistrano Sub 138kV'!R26</f>
        <v>121.38165018571409</v>
      </c>
      <c r="D28" s="215">
        <f>'Equipment Capistrano Sub 138kV'!S26</f>
        <v>283.93582306139115</v>
      </c>
      <c r="E28" s="215">
        <f>'Equipment Capistrano Sub 138kV'!T26</f>
        <v>0.49619112473670252</v>
      </c>
      <c r="F28" s="215">
        <f>'Equipment Capistrano Sub 138kV'!U26</f>
        <v>10.014185880111226</v>
      </c>
      <c r="G28" s="215">
        <f>'Equipment Capistrano Sub 138kV'!V26</f>
        <v>8.912625433298988</v>
      </c>
      <c r="H28" s="215">
        <f>'Equipment Capistrano Sub 138kV'!W26</f>
        <v>45785.24924502131</v>
      </c>
      <c r="I28" s="215">
        <f>'Equipment Capistrano Sub 138kV'!X26</f>
        <v>3.3086321239501006</v>
      </c>
      <c r="J28" s="215">
        <f>'Equipment Capistrano Sub 138kV'!Y26</f>
        <v>26.973903190832161</v>
      </c>
      <c r="K28" s="213">
        <f>'Equipment Capistrano Sub 138kV'!E88</f>
        <v>2.065161615647384</v>
      </c>
      <c r="L28" s="213">
        <f>'Equipment Capistrano Sub 138kV'!F88</f>
        <v>6.9775870722264504</v>
      </c>
      <c r="M28" s="213">
        <f>'Equipment Capistrano Sub 138kV'!G88</f>
        <v>16.596991795885277</v>
      </c>
      <c r="N28" s="213">
        <f>'Equipment Capistrano Sub 138kV'!H88</f>
        <v>2.9829135927033009E-2</v>
      </c>
      <c r="O28" s="213">
        <f>'Equipment Capistrano Sub 138kV'!I88</f>
        <v>0.57833453076437513</v>
      </c>
      <c r="P28" s="213">
        <f>'Equipment Capistrano Sub 138kV'!J88</f>
        <v>0.51471773238029384</v>
      </c>
      <c r="Q28" s="213">
        <f>'Equipment Capistrano Sub 138kV'!K88</f>
        <v>2724.3856601830958</v>
      </c>
      <c r="R28" s="213">
        <f>'Equipment Capistrano Sub 138kV'!L88</f>
        <v>0.19398533031386819</v>
      </c>
      <c r="S28" s="213">
        <f>'Equipment Capistrano Sub 138kV'!M88</f>
        <v>1.5767142206091014</v>
      </c>
    </row>
    <row r="29" spans="1:19" x14ac:dyDescent="0.25">
      <c r="A29" s="137" t="s">
        <v>120</v>
      </c>
      <c r="B29" s="215">
        <f>WorkerTrips!I133</f>
        <v>0.65511805175905713</v>
      </c>
      <c r="C29" s="215">
        <f>WorkerTrips!G133</f>
        <v>6.7054812850475116</v>
      </c>
      <c r="D29" s="215">
        <f>WorkerTrips!H133</f>
        <v>0.60504306214685344</v>
      </c>
      <c r="E29" s="215">
        <f>WorkerTrips!J133</f>
        <v>7.9777146299521585E-3</v>
      </c>
      <c r="F29" s="215">
        <f>WorkerTrips!K133+WorkerTrips!M133</f>
        <v>0.18827082191907141</v>
      </c>
      <c r="G29" s="215">
        <f>WorkerTrips!L133+WorkerTrips!N133</f>
        <v>6.1849162068781334E-2</v>
      </c>
      <c r="H29" s="215">
        <f>WorkerTrips!O133</f>
        <v>642.86953798786374</v>
      </c>
      <c r="I29" s="215">
        <f>WorkerTrips!P133</f>
        <v>3.48936441957894E-2</v>
      </c>
      <c r="J29" s="215">
        <f>WorkerTrips!Q133</f>
        <v>6.3490421675329631E-2</v>
      </c>
      <c r="K29" s="215">
        <f>WorkerTrips!S133</f>
        <v>0.22128088240656787</v>
      </c>
      <c r="L29" s="215">
        <f>WorkerTrips!T133</f>
        <v>1.9966421050846166E-2</v>
      </c>
      <c r="M29" s="215">
        <f>WorkerTrips!U133</f>
        <v>2.1618895708048886E-2</v>
      </c>
      <c r="N29" s="215">
        <f>WorkerTrips!V133</f>
        <v>2.6326458278842123E-4</v>
      </c>
      <c r="O29" s="215">
        <f>WorkerTrips!W133+WorkerTrips!Y133</f>
        <v>6.2129371233293554E-3</v>
      </c>
      <c r="P29" s="215">
        <f>WorkerTrips!X133+WorkerTrips!Z133</f>
        <v>2.0410223482697841E-3</v>
      </c>
      <c r="Q29" s="214">
        <f>WorkerTrips!AA133</f>
        <v>21.214694753599503</v>
      </c>
      <c r="R29" s="215">
        <f>WorkerTrips!AB133</f>
        <v>1.1514902584610503E-3</v>
      </c>
      <c r="S29" s="215">
        <f>WorkerTrips!AC133</f>
        <v>2.0951839152858779E-3</v>
      </c>
    </row>
    <row r="30" spans="1:19" x14ac:dyDescent="0.25">
      <c r="A30" s="137" t="s">
        <v>121</v>
      </c>
      <c r="B30" s="215">
        <f>'Construction Trucks'!V140</f>
        <v>0.48550298534550068</v>
      </c>
      <c r="C30" s="215">
        <f>'Construction Trucks'!T140</f>
        <v>2.0238559714269715</v>
      </c>
      <c r="D30" s="215">
        <f>'Construction Trucks'!U140</f>
        <v>10.864067120886034</v>
      </c>
      <c r="E30" s="215">
        <f>'Construction Trucks'!W140</f>
        <v>1.88925117396768E-2</v>
      </c>
      <c r="F30" s="215">
        <f>'Construction Trucks'!X140+'Construction Trucks'!Z140</f>
        <v>0.39122815847050274</v>
      </c>
      <c r="G30" s="215">
        <f>'Construction Trucks'!Y140+'Construction Trucks'!AA140</f>
        <v>0.20814360315230343</v>
      </c>
      <c r="H30" s="215">
        <f>'Construction Trucks'!AB140</f>
        <v>3061.0942475167976</v>
      </c>
      <c r="I30" s="215">
        <f>'Construction Trucks'!AC140</f>
        <v>0.17492010858585233</v>
      </c>
      <c r="J30" s="215">
        <f>'Construction Trucks'!AD140</f>
        <v>7.8412990244390274E-2</v>
      </c>
      <c r="K30" s="215">
        <f>'Construction Trucks'!AH140</f>
        <v>3.204319703280304E-2</v>
      </c>
      <c r="L30" s="215">
        <f>'Construction Trucks'!AF140</f>
        <v>0.13357449411418013</v>
      </c>
      <c r="M30" s="215">
        <f>'Construction Trucks'!AG140</f>
        <v>0.71702842997847827</v>
      </c>
      <c r="N30" s="215">
        <f>'Construction Trucks'!AI140</f>
        <v>1.2469057748186686E-3</v>
      </c>
      <c r="O30" s="215">
        <f>'Construction Trucks'!AJ140+'Construction Trucks'!AL140</f>
        <v>2.5821058459053182E-2</v>
      </c>
      <c r="P30" s="215">
        <f>'Construction Trucks'!AK140+'Construction Trucks'!AM140</f>
        <v>1.3737477808052028E-2</v>
      </c>
      <c r="Q30" s="214">
        <f>'Construction Trucks'!AN140</f>
        <v>202.03222033610865</v>
      </c>
      <c r="R30" s="215">
        <f>'Construction Trucks'!AO140</f>
        <v>1.1544727166666255E-2</v>
      </c>
      <c r="S30" s="215">
        <f>'Construction Trucks'!AP140</f>
        <v>5.1752573561297576E-3</v>
      </c>
    </row>
    <row r="31" spans="1:19" x14ac:dyDescent="0.25">
      <c r="A31" s="137" t="s">
        <v>122</v>
      </c>
      <c r="B31" s="215"/>
      <c r="C31" s="215"/>
      <c r="D31" s="215"/>
      <c r="E31" s="215"/>
      <c r="F31" s="215">
        <f>'Fugitive Dust Substation'!$C$93</f>
        <v>72.850973023881437</v>
      </c>
      <c r="G31" s="215">
        <f>'Fugitive Dust Substation'!$D$93</f>
        <v>20.510624021291605</v>
      </c>
      <c r="H31" s="215"/>
      <c r="I31" s="215"/>
      <c r="J31" s="215"/>
      <c r="K31" s="215"/>
      <c r="L31" s="215"/>
      <c r="M31" s="215"/>
      <c r="N31" s="215"/>
      <c r="O31" s="215">
        <f>'Fugitive Dust Substation'!C90</f>
        <v>8.1748884391523493</v>
      </c>
      <c r="P31" s="215">
        <f>'Fugitive Dust Substation'!D90</f>
        <v>2.4046999708104915</v>
      </c>
      <c r="Q31" s="214"/>
      <c r="R31" s="215"/>
      <c r="S31" s="215"/>
    </row>
    <row r="32" spans="1:19" x14ac:dyDescent="0.25">
      <c r="A32" s="12" t="s">
        <v>123</v>
      </c>
      <c r="B32" s="22">
        <f>SUM(B28:B31)</f>
        <v>36.359269899905428</v>
      </c>
      <c r="C32" s="22">
        <f t="shared" ref="C32:S32" si="39">SUM(C28:C31)</f>
        <v>130.11098744218859</v>
      </c>
      <c r="D32" s="22">
        <f t="shared" si="39"/>
        <v>295.40493324442406</v>
      </c>
      <c r="E32" s="22">
        <f t="shared" si="39"/>
        <v>0.52306135110633145</v>
      </c>
      <c r="F32" s="22">
        <f t="shared" si="39"/>
        <v>83.444657884382238</v>
      </c>
      <c r="G32" s="22">
        <f t="shared" si="39"/>
        <v>29.69324221981168</v>
      </c>
      <c r="H32" s="22">
        <f t="shared" si="39"/>
        <v>49489.213030525971</v>
      </c>
      <c r="I32" s="22">
        <f t="shared" si="39"/>
        <v>3.5184458767317426</v>
      </c>
      <c r="J32" s="22">
        <f t="shared" si="39"/>
        <v>27.115806602751881</v>
      </c>
      <c r="K32" s="22">
        <f t="shared" si="39"/>
        <v>2.3184856950867552</v>
      </c>
      <c r="L32" s="22">
        <f t="shared" si="39"/>
        <v>7.1311279873914764</v>
      </c>
      <c r="M32" s="22">
        <f t="shared" si="39"/>
        <v>17.335639121571802</v>
      </c>
      <c r="N32" s="22">
        <f t="shared" si="39"/>
        <v>3.13393062846401E-2</v>
      </c>
      <c r="O32" s="22">
        <f t="shared" si="39"/>
        <v>8.7852569654991068</v>
      </c>
      <c r="P32" s="22">
        <f t="shared" si="39"/>
        <v>2.9351962033471071</v>
      </c>
      <c r="Q32" s="22">
        <f t="shared" si="39"/>
        <v>2947.6325752728039</v>
      </c>
      <c r="R32" s="22">
        <f t="shared" si="39"/>
        <v>0.2066815477389955</v>
      </c>
      <c r="S32" s="22">
        <f t="shared" si="39"/>
        <v>1.5839846618805169</v>
      </c>
    </row>
    <row r="33" spans="1:19" x14ac:dyDescent="0.25">
      <c r="A33" s="137" t="s">
        <v>124</v>
      </c>
      <c r="B33" s="216">
        <v>75</v>
      </c>
      <c r="C33" s="216">
        <v>550</v>
      </c>
      <c r="D33" s="216">
        <v>100</v>
      </c>
      <c r="E33" s="216">
        <v>150</v>
      </c>
      <c r="F33" s="216">
        <v>150</v>
      </c>
      <c r="G33" s="216">
        <v>55</v>
      </c>
      <c r="H33" s="216" t="s">
        <v>126</v>
      </c>
      <c r="I33" s="216" t="s">
        <v>126</v>
      </c>
      <c r="J33" s="216" t="s">
        <v>126</v>
      </c>
      <c r="K33" s="213"/>
      <c r="L33" s="213"/>
      <c r="M33" s="213"/>
      <c r="N33" s="213"/>
      <c r="O33" s="213"/>
      <c r="P33" s="213"/>
      <c r="Q33" s="214"/>
      <c r="R33" s="213"/>
      <c r="S33" s="213"/>
    </row>
    <row r="34" spans="1:19" x14ac:dyDescent="0.25">
      <c r="A34" s="137" t="s">
        <v>125</v>
      </c>
      <c r="B34" s="27" t="str">
        <f>IF(B32&gt;B33,"Yes","No")</f>
        <v>No</v>
      </c>
      <c r="C34" s="27" t="str">
        <f t="shared" ref="C34" si="40">IF(C32&gt;C33,"Yes","No")</f>
        <v>No</v>
      </c>
      <c r="D34" s="27" t="str">
        <f t="shared" ref="D34" si="41">IF(D32&gt;D33,"Yes","No")</f>
        <v>Yes</v>
      </c>
      <c r="E34" s="27" t="str">
        <f t="shared" ref="E34" si="42">IF(E32&gt;E33,"Yes","No")</f>
        <v>No</v>
      </c>
      <c r="F34" s="27" t="str">
        <f t="shared" ref="F34" si="43">IF(F32&gt;F33,"Yes","No")</f>
        <v>No</v>
      </c>
      <c r="G34" s="27" t="str">
        <f t="shared" ref="G34" si="44">IF(G32&gt;G33,"Yes","No")</f>
        <v>No</v>
      </c>
      <c r="H34" s="27" t="s">
        <v>126</v>
      </c>
      <c r="I34" s="27" t="s">
        <v>126</v>
      </c>
      <c r="J34" s="27" t="s">
        <v>126</v>
      </c>
      <c r="K34" s="213"/>
      <c r="L34" s="213"/>
      <c r="M34" s="213"/>
      <c r="N34" s="213"/>
      <c r="O34" s="213"/>
      <c r="P34" s="213"/>
      <c r="Q34" s="214"/>
      <c r="R34" s="213"/>
      <c r="S34" s="213"/>
    </row>
    <row r="36" spans="1:19" s="572" customFormat="1" x14ac:dyDescent="0.25">
      <c r="A36" s="32"/>
      <c r="Q36" s="7"/>
    </row>
    <row r="37" spans="1:19" x14ac:dyDescent="0.25">
      <c r="A37" s="613">
        <v>2016</v>
      </c>
    </row>
    <row r="38" spans="1:19" s="572" customFormat="1" ht="39.6" x14ac:dyDescent="0.25">
      <c r="A38" s="12" t="str">
        <f>'Equipment Talega Substation'!A19</f>
        <v>Talega Substation Below Grade</v>
      </c>
      <c r="B38" s="16" t="s">
        <v>18</v>
      </c>
      <c r="C38" s="16" t="s">
        <v>19</v>
      </c>
      <c r="D38" s="16" t="s">
        <v>20</v>
      </c>
      <c r="E38" s="16" t="s">
        <v>21</v>
      </c>
      <c r="F38" s="16" t="s">
        <v>22</v>
      </c>
      <c r="G38" s="16" t="s">
        <v>23</v>
      </c>
      <c r="H38" s="17" t="s">
        <v>24</v>
      </c>
      <c r="I38" s="16" t="s">
        <v>25</v>
      </c>
      <c r="J38" s="16" t="s">
        <v>26</v>
      </c>
      <c r="K38" s="18" t="s">
        <v>27</v>
      </c>
      <c r="L38" s="18" t="s">
        <v>28</v>
      </c>
      <c r="M38" s="18" t="s">
        <v>29</v>
      </c>
      <c r="N38" s="18" t="s">
        <v>30</v>
      </c>
      <c r="O38" s="18" t="s">
        <v>31</v>
      </c>
      <c r="P38" s="18" t="s">
        <v>32</v>
      </c>
      <c r="Q38" s="17" t="s">
        <v>33</v>
      </c>
      <c r="R38" s="18" t="s">
        <v>34</v>
      </c>
      <c r="S38" s="18" t="s">
        <v>35</v>
      </c>
    </row>
    <row r="39" spans="1:19" s="572" customFormat="1" x14ac:dyDescent="0.25">
      <c r="A39" s="137" t="s">
        <v>75</v>
      </c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4"/>
      <c r="R39" s="213"/>
      <c r="S39" s="213"/>
    </row>
    <row r="40" spans="1:19" s="572" customFormat="1" x14ac:dyDescent="0.25">
      <c r="A40" s="137" t="s">
        <v>119</v>
      </c>
      <c r="B40" s="215">
        <f>0.64*'Equipment Talega Substation'!Q29</f>
        <v>1.9388063213961177</v>
      </c>
      <c r="C40" s="215">
        <f>0.64*'Equipment Talega Substation'!R29</f>
        <v>10.100174400351998</v>
      </c>
      <c r="D40" s="215">
        <f>0.64*'Equipment Talega Substation'!S29</f>
        <v>14.320059437642191</v>
      </c>
      <c r="E40" s="215">
        <f>0.64*'Equipment Talega Substation'!T29</f>
        <v>3.2008910374835206E-2</v>
      </c>
      <c r="F40" s="215">
        <f>0.64*'Equipment Talega Substation'!U29</f>
        <v>0.60571600789683555</v>
      </c>
      <c r="G40" s="215">
        <f>0.64*'Equipment Talega Substation'!V29</f>
        <v>0.53908724702818378</v>
      </c>
      <c r="H40" s="215">
        <f>0.64*'Equipment Talega Substation'!W29</f>
        <v>2793.0250907327722</v>
      </c>
      <c r="I40" s="215">
        <f>0.64*'Equipment Talega Substation'!X29</f>
        <v>0.18850963928455039</v>
      </c>
      <c r="J40" s="215">
        <f>0.64*'Equipment Talega Substation'!Y29</f>
        <v>1.3604056465760086</v>
      </c>
      <c r="K40" s="213">
        <f>0.64*'Equipment Talega Substation'!E66</f>
        <v>3.2984384696915149E-2</v>
      </c>
      <c r="L40" s="213">
        <f>0.64*'Equipment Talega Substation'!F66</f>
        <v>0.17440463911507856</v>
      </c>
      <c r="M40" s="213">
        <f>0.64*'Equipment Talega Substation'!G66</f>
        <v>0.24618004001623042</v>
      </c>
      <c r="N40" s="213">
        <f>0.64*'Equipment Talega Substation'!H66</f>
        <v>5.4427078830039048E-4</v>
      </c>
      <c r="O40" s="213">
        <f>0.64*'Equipment Talega Substation'!I66</f>
        <v>1.0072650911709443E-2</v>
      </c>
      <c r="P40" s="213">
        <f>0.64*'Equipment Talega Substation'!J66</f>
        <v>8.9646593114214041E-3</v>
      </c>
      <c r="Q40" s="213">
        <f>0.64*'Equipment Talega Substation'!K66</f>
        <v>47.492888770379707</v>
      </c>
      <c r="R40" s="213">
        <f>0.64*'Equipment Talega Substation'!L66</f>
        <v>3.1916839664173696E-3</v>
      </c>
      <c r="S40" s="213">
        <f>0.64*'Equipment Talega Substation'!M66</f>
        <v>2.3387103801541895E-2</v>
      </c>
    </row>
    <row r="41" spans="1:19" s="572" customFormat="1" x14ac:dyDescent="0.25">
      <c r="A41" s="137" t="s">
        <v>120</v>
      </c>
      <c r="B41" s="215">
        <f>0.98275*WorkerTrips!I131</f>
        <v>0.4346478083933904</v>
      </c>
      <c r="C41" s="215">
        <f>0.98275*WorkerTrips!G131</f>
        <v>4.3760420024691529</v>
      </c>
      <c r="D41" s="215">
        <f>0.98275*WorkerTrips!H131</f>
        <v>0.39520174612442011</v>
      </c>
      <c r="E41" s="215">
        <f>0.98275*WorkerTrips!J131</f>
        <v>5.7013061209021361E-3</v>
      </c>
      <c r="F41" s="215">
        <f>0.98275*WorkerTrips!K131+0.98275*WorkerTrips!M131</f>
        <v>0.13417101825272171</v>
      </c>
      <c r="G41" s="215">
        <f>0.98275*WorkerTrips!L131+0.98275*WorkerTrips!N131</f>
        <v>4.3862390097415355E-2</v>
      </c>
      <c r="H41" s="215">
        <f>0.98275*WorkerTrips!O131</f>
        <v>444.83148506339495</v>
      </c>
      <c r="I41" s="215">
        <f>0.98275*WorkerTrips!P131</f>
        <v>2.4927502478575683E-2</v>
      </c>
      <c r="J41" s="215">
        <f>0.98275*WorkerTrips!Q131</f>
        <v>4.537308375342395E-2</v>
      </c>
      <c r="K41" s="215">
        <f>0.98275*WorkerTrips!S131</f>
        <v>0.14440938608148204</v>
      </c>
      <c r="L41" s="215">
        <f>0.98275*WorkerTrips!T131</f>
        <v>1.3041657622105863E-2</v>
      </c>
      <c r="M41" s="215">
        <f>0.98275*WorkerTrips!U131</f>
        <v>1.4343377676981881E-2</v>
      </c>
      <c r="N41" s="215">
        <f>0.98275*WorkerTrips!V131</f>
        <v>1.8814310198977049E-4</v>
      </c>
      <c r="O41" s="215">
        <f>0.98275*WorkerTrips!W131+0.98275*WorkerTrips!Y131</f>
        <v>4.4276436023398154E-3</v>
      </c>
      <c r="P41" s="215">
        <f>0.98275*WorkerTrips!X131+0.98275*WorkerTrips!Z131</f>
        <v>1.4474588732147069E-3</v>
      </c>
      <c r="Q41" s="214">
        <f>0.98275*WorkerTrips!AA131</f>
        <v>14.679439007092034</v>
      </c>
      <c r="R41" s="215">
        <f>0.98275*WorkerTrips!AB131</f>
        <v>8.2260758179299772E-4</v>
      </c>
      <c r="S41" s="215">
        <f>0.98275*WorkerTrips!AC131</f>
        <v>1.4973117638629903E-3</v>
      </c>
    </row>
    <row r="42" spans="1:19" s="572" customFormat="1" x14ac:dyDescent="0.25">
      <c r="A42" s="137" t="s">
        <v>121</v>
      </c>
      <c r="B42" s="215">
        <f>0.98275*'Construction Trucks'!V127</f>
        <v>0.3639619477736602</v>
      </c>
      <c r="C42" s="215">
        <f>0.98275*'Construction Trucks'!T127</f>
        <v>1.5012171948101456</v>
      </c>
      <c r="D42" s="215">
        <f>0.98275*'Construction Trucks'!U127</f>
        <v>6.886471403049331</v>
      </c>
      <c r="E42" s="215">
        <f>0.98275*'Construction Trucks'!W127</f>
        <v>1.4853292729733901E-2</v>
      </c>
      <c r="F42" s="215">
        <f>0.98275*'Construction Trucks'!X127+0.98275*'Construction Trucks'!Z127</f>
        <v>0.2966369235763216</v>
      </c>
      <c r="G42" s="215">
        <f>0.98275*'Construction Trucks'!Y127+0.98275*'Construction Trucks'!AA127</f>
        <v>0.15357157855420819</v>
      </c>
      <c r="H42" s="215">
        <f>0.98275*'Construction Trucks'!AB127</f>
        <v>2372.138440446518</v>
      </c>
      <c r="I42" s="215">
        <f>0.98275*'Construction Trucks'!AC127</f>
        <v>0.13555110690243538</v>
      </c>
      <c r="J42" s="215">
        <f>0.98275*'Construction Trucks'!AD127</f>
        <v>6.0764698290478002E-2</v>
      </c>
      <c r="K42" s="215">
        <f>0.98275*'Construction Trucks'!AH127</f>
        <v>4.0035814255102624E-3</v>
      </c>
      <c r="L42" s="215">
        <f>0.98275*'Construction Trucks'!AF127</f>
        <v>1.6513389142911603E-2</v>
      </c>
      <c r="M42" s="215">
        <f>0.98275*'Construction Trucks'!AG127</f>
        <v>7.5751185433542645E-2</v>
      </c>
      <c r="N42" s="215">
        <f>0.98275*'Construction Trucks'!AI127</f>
        <v>1.6338622002707291E-4</v>
      </c>
      <c r="O42" s="215">
        <f>0.98275*'Construction Trucks'!AJ127+0.98275*'Construction Trucks'!AL127</f>
        <v>3.2630061593395378E-3</v>
      </c>
      <c r="P42" s="215">
        <f>0.98275*'Construction Trucks'!AK127+0.98275*'Construction Trucks'!AM127</f>
        <v>1.6892873640962905E-3</v>
      </c>
      <c r="Q42" s="214">
        <f>0.98275*'Construction Trucks'!AN127</f>
        <v>26.093522844911696</v>
      </c>
      <c r="R42" s="215">
        <f>0.98275*'Construction Trucks'!AO127</f>
        <v>1.491062175926789E-3</v>
      </c>
      <c r="S42" s="215">
        <f>0.98275*'Construction Trucks'!AP127</f>
        <v>6.6841168119525802E-4</v>
      </c>
    </row>
    <row r="43" spans="1:19" s="572" customFormat="1" x14ac:dyDescent="0.25">
      <c r="A43" s="137" t="s">
        <v>122</v>
      </c>
      <c r="B43" s="215"/>
      <c r="C43" s="215"/>
      <c r="D43" s="215"/>
      <c r="E43" s="215"/>
      <c r="F43" s="215">
        <f>0.64*'Fugitive Dust Substation'!B7</f>
        <v>16.871928140286219</v>
      </c>
      <c r="G43" s="215">
        <f>0.64*'Fugitive Dust Substation'!C7</f>
        <v>5.3026059869470981</v>
      </c>
      <c r="H43" s="215"/>
      <c r="I43" s="215"/>
      <c r="J43" s="215"/>
      <c r="K43" s="215"/>
      <c r="L43" s="215"/>
      <c r="M43" s="215"/>
      <c r="N43" s="215"/>
      <c r="O43" s="215">
        <f>0.64*'Fugitive Dust Substation'!B9</f>
        <v>9.5895824498526839E-3</v>
      </c>
      <c r="P43" s="215">
        <f>0.64*'Fugitive Dust Substation'!C9</f>
        <v>3.0138687699537013E-3</v>
      </c>
      <c r="Q43" s="214"/>
      <c r="R43" s="215"/>
      <c r="S43" s="215"/>
    </row>
    <row r="44" spans="1:19" s="572" customFormat="1" x14ac:dyDescent="0.25">
      <c r="A44" s="12" t="s">
        <v>123</v>
      </c>
      <c r="B44" s="22">
        <f>SUM(B40:B43)</f>
        <v>2.7374160775631684</v>
      </c>
      <c r="C44" s="22">
        <f t="shared" ref="C44" si="45">SUM(C40:C43)</f>
        <v>15.977433597631297</v>
      </c>
      <c r="D44" s="22">
        <f t="shared" ref="D44" si="46">SUM(D40:D43)</f>
        <v>21.601732586815942</v>
      </c>
      <c r="E44" s="22">
        <f t="shared" ref="E44" si="47">SUM(E40:E43)</f>
        <v>5.2563509225471247E-2</v>
      </c>
      <c r="F44" s="22">
        <f t="shared" ref="F44" si="48">SUM(F40:F43)</f>
        <v>17.908452090012098</v>
      </c>
      <c r="G44" s="22">
        <f t="shared" ref="G44" si="49">SUM(G40:G43)</f>
        <v>6.0391272026269052</v>
      </c>
      <c r="H44" s="22">
        <f t="shared" ref="H44" si="50">SUM(H40:H43)</f>
        <v>5609.9950162426849</v>
      </c>
      <c r="I44" s="22">
        <f t="shared" ref="I44" si="51">SUM(I40:I43)</f>
        <v>0.34898824866556144</v>
      </c>
      <c r="J44" s="22">
        <f t="shared" ref="J44" si="52">SUM(J40:J43)</f>
        <v>1.4665434286199104</v>
      </c>
      <c r="K44" s="22">
        <f t="shared" ref="K44" si="53">SUM(K40:K43)</f>
        <v>0.18139735220390746</v>
      </c>
      <c r="L44" s="22">
        <f t="shared" ref="L44" si="54">SUM(L40:L43)</f>
        <v>0.203959685880096</v>
      </c>
      <c r="M44" s="22">
        <f t="shared" ref="M44" si="55">SUM(M40:M43)</f>
        <v>0.33627460312675495</v>
      </c>
      <c r="N44" s="22">
        <f t="shared" ref="N44" si="56">SUM(N40:N43)</f>
        <v>8.9580011031723385E-4</v>
      </c>
      <c r="O44" s="22">
        <f t="shared" ref="O44" si="57">SUM(O40:O43)</f>
        <v>2.7352883123241481E-2</v>
      </c>
      <c r="P44" s="22">
        <f t="shared" ref="P44" si="58">SUM(P40:P43)</f>
        <v>1.5115274318686103E-2</v>
      </c>
      <c r="Q44" s="22">
        <f t="shared" ref="Q44" si="59">SUM(Q40:Q43)</f>
        <v>88.265850622383439</v>
      </c>
      <c r="R44" s="22">
        <f t="shared" ref="R44" si="60">SUM(R40:R43)</f>
        <v>5.5053537241371566E-3</v>
      </c>
      <c r="S44" s="22">
        <f t="shared" ref="S44" si="61">SUM(S40:S43)</f>
        <v>2.5552827246600143E-2</v>
      </c>
    </row>
    <row r="45" spans="1:19" s="572" customFormat="1" x14ac:dyDescent="0.25">
      <c r="A45" s="137" t="s">
        <v>124</v>
      </c>
      <c r="B45" s="216">
        <v>75</v>
      </c>
      <c r="C45" s="216">
        <v>550</v>
      </c>
      <c r="D45" s="216">
        <v>100</v>
      </c>
      <c r="E45" s="216">
        <v>150</v>
      </c>
      <c r="F45" s="216">
        <v>150</v>
      </c>
      <c r="G45" s="216">
        <v>55</v>
      </c>
      <c r="H45" s="216" t="s">
        <v>126</v>
      </c>
      <c r="I45" s="216" t="s">
        <v>126</v>
      </c>
      <c r="J45" s="216" t="s">
        <v>126</v>
      </c>
      <c r="K45" s="213"/>
      <c r="L45" s="213"/>
      <c r="M45" s="213"/>
      <c r="N45" s="213"/>
      <c r="O45" s="213"/>
      <c r="P45" s="213"/>
      <c r="Q45" s="214"/>
      <c r="R45" s="213"/>
      <c r="S45" s="213"/>
    </row>
    <row r="46" spans="1:19" s="572" customFormat="1" x14ac:dyDescent="0.25">
      <c r="A46" s="137" t="s">
        <v>125</v>
      </c>
      <c r="B46" s="27" t="str">
        <f>IF(B44&gt;B45,"Yes","No")</f>
        <v>No</v>
      </c>
      <c r="C46" s="27" t="str">
        <f t="shared" ref="C46:G46" si="62">IF(C44&gt;C45,"Yes","No")</f>
        <v>No</v>
      </c>
      <c r="D46" s="27" t="str">
        <f t="shared" si="62"/>
        <v>No</v>
      </c>
      <c r="E46" s="27" t="str">
        <f t="shared" si="62"/>
        <v>No</v>
      </c>
      <c r="F46" s="27" t="str">
        <f t="shared" si="62"/>
        <v>No</v>
      </c>
      <c r="G46" s="27" t="str">
        <f t="shared" si="62"/>
        <v>No</v>
      </c>
      <c r="H46" s="27" t="s">
        <v>126</v>
      </c>
      <c r="I46" s="27" t="s">
        <v>126</v>
      </c>
      <c r="J46" s="27" t="s">
        <v>126</v>
      </c>
      <c r="K46" s="213"/>
      <c r="L46" s="213"/>
      <c r="M46" s="213"/>
      <c r="N46" s="213"/>
      <c r="O46" s="213"/>
      <c r="P46" s="213"/>
      <c r="Q46" s="214"/>
      <c r="R46" s="213"/>
      <c r="S46" s="213"/>
    </row>
    <row r="47" spans="1:19" s="572" customFormat="1" x14ac:dyDescent="0.25">
      <c r="A47" s="32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7"/>
      <c r="R47"/>
      <c r="S47"/>
    </row>
    <row r="48" spans="1:19" s="572" customFormat="1" x14ac:dyDescent="0.25">
      <c r="A48" s="613"/>
      <c r="Q48" s="7"/>
    </row>
    <row r="49" spans="1:19 16384:16384" ht="39.6" x14ac:dyDescent="0.25">
      <c r="A49" s="12" t="str">
        <f>'Equipment Capistrano Sub 138kV'!A28</f>
        <v>Capistrano Substation Below Grade - Lower Yard</v>
      </c>
      <c r="B49" s="16" t="s">
        <v>18</v>
      </c>
      <c r="C49" s="16" t="s">
        <v>19</v>
      </c>
      <c r="D49" s="16" t="s">
        <v>20</v>
      </c>
      <c r="E49" s="16" t="s">
        <v>21</v>
      </c>
      <c r="F49" s="16" t="s">
        <v>22</v>
      </c>
      <c r="G49" s="16" t="s">
        <v>23</v>
      </c>
      <c r="H49" s="17" t="s">
        <v>24</v>
      </c>
      <c r="I49" s="16" t="s">
        <v>25</v>
      </c>
      <c r="J49" s="16" t="s">
        <v>26</v>
      </c>
      <c r="K49" s="18" t="s">
        <v>27</v>
      </c>
      <c r="L49" s="18" t="s">
        <v>28</v>
      </c>
      <c r="M49" s="18" t="s">
        <v>29</v>
      </c>
      <c r="N49" s="18" t="s">
        <v>30</v>
      </c>
      <c r="O49" s="18" t="s">
        <v>31</v>
      </c>
      <c r="P49" s="18" t="s">
        <v>32</v>
      </c>
      <c r="Q49" s="17" t="s">
        <v>33</v>
      </c>
      <c r="R49" s="18" t="s">
        <v>34</v>
      </c>
      <c r="S49" s="18" t="s">
        <v>35</v>
      </c>
    </row>
    <row r="50" spans="1:19 16384:16384" x14ac:dyDescent="0.25">
      <c r="A50" s="137" t="s">
        <v>75</v>
      </c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4"/>
      <c r="R50" s="213"/>
      <c r="S50" s="213"/>
    </row>
    <row r="51" spans="1:19 16384:16384" x14ac:dyDescent="0.25">
      <c r="A51" s="137" t="s">
        <v>119</v>
      </c>
      <c r="B51" s="215">
        <f>'Equipment Capistrano Sub 138kV'!Q38</f>
        <v>10.021244629460792</v>
      </c>
      <c r="C51" s="215">
        <f>'Equipment Capistrano Sub 138kV'!R38</f>
        <v>41.35807861194656</v>
      </c>
      <c r="D51" s="215">
        <f>'Equipment Capistrano Sub 138kV'!S38</f>
        <v>72.967731838714215</v>
      </c>
      <c r="E51" s="215">
        <f>'Equipment Capistrano Sub 138kV'!T38</f>
        <v>0.16992698890202929</v>
      </c>
      <c r="F51" s="215">
        <f>'Equipment Capistrano Sub 138kV'!U38</f>
        <v>2.7074794786207885</v>
      </c>
      <c r="G51" s="215">
        <f>'Equipment Capistrano Sub 138kV'!V38</f>
        <v>2.4096567359725021</v>
      </c>
      <c r="H51" s="215">
        <f>'Equipment Capistrano Sub 138kV'!W38</f>
        <v>15013.778793977188</v>
      </c>
      <c r="I51" s="215">
        <f>'Equipment Capistrano Sub 138kV'!X38</f>
        <v>0.97776194078886447</v>
      </c>
      <c r="J51" s="215">
        <f>'Equipment Capistrano Sub 138kV'!Y38</f>
        <v>6.9319345246778505</v>
      </c>
      <c r="K51" s="213">
        <f>'Equipment Capistrano Sub 138kV'!E100</f>
        <v>0.49279916502076337</v>
      </c>
      <c r="L51" s="213">
        <f>'Equipment Capistrano Sub 138kV'!F100</f>
        <v>2.0958062478713391</v>
      </c>
      <c r="M51" s="213">
        <f>'Equipment Capistrano Sub 138kV'!G100</f>
        <v>3.553145353215883</v>
      </c>
      <c r="N51" s="213">
        <f>'Equipment Capistrano Sub 138kV'!H100</f>
        <v>8.0554457388443083E-3</v>
      </c>
      <c r="O51" s="213">
        <f>'Equipment Capistrano Sub 138kV'!I100</f>
        <v>0.14098244191215112</v>
      </c>
      <c r="P51" s="213">
        <f>'Equipment Capistrano Sub 138kV'!J100</f>
        <v>0.12547437330181449</v>
      </c>
      <c r="Q51" s="213">
        <f>'Equipment Capistrano Sub 138kV'!K100</f>
        <v>710.92702646055272</v>
      </c>
      <c r="R51" s="213">
        <f>'Equipment Capistrano Sub 138kV'!L100</f>
        <v>4.8064340183544316E-2</v>
      </c>
      <c r="S51" s="213">
        <f>'Equipment Capistrano Sub 138kV'!M100</f>
        <v>0.33754880855550873</v>
      </c>
    </row>
    <row r="52" spans="1:19 16384:16384" x14ac:dyDescent="0.25">
      <c r="A52" s="137" t="s">
        <v>120</v>
      </c>
      <c r="B52" s="215">
        <f>WorkerTrips!I134</f>
        <v>0.95289898437681031</v>
      </c>
      <c r="C52" s="215">
        <f>WorkerTrips!G134</f>
        <v>9.7534273237054734</v>
      </c>
      <c r="D52" s="215">
        <f>WorkerTrips!H134</f>
        <v>0.88006263584996858</v>
      </c>
      <c r="E52" s="215">
        <f>WorkerTrips!J134</f>
        <v>1.1603948552657686E-2</v>
      </c>
      <c r="F52" s="215">
        <f>WorkerTrips!K134+WorkerTrips!M134</f>
        <v>0.27384846824592202</v>
      </c>
      <c r="G52" s="215">
        <f>WorkerTrips!L134+WorkerTrips!N134</f>
        <v>8.9962417554591029E-2</v>
      </c>
      <c r="H52" s="215">
        <f>WorkerTrips!O134</f>
        <v>935.08296434598378</v>
      </c>
      <c r="I52" s="215">
        <f>WorkerTrips!P134</f>
        <v>5.0754391557511859E-2</v>
      </c>
      <c r="J52" s="215">
        <f>WorkerTrips!Q134</f>
        <v>9.2349704255024923E-2</v>
      </c>
      <c r="K52" s="215">
        <f>WorkerTrips!S134</f>
        <v>0.32186310168228061</v>
      </c>
      <c r="L52" s="215">
        <f>WorkerTrips!T134</f>
        <v>2.904206698304896E-2</v>
      </c>
      <c r="M52" s="215">
        <f>WorkerTrips!U134</f>
        <v>3.1445666484434739E-2</v>
      </c>
      <c r="N52" s="215">
        <f>WorkerTrips!V134</f>
        <v>3.8293030223770364E-4</v>
      </c>
      <c r="O52" s="215">
        <f>WorkerTrips!W134+WorkerTrips!Y134</f>
        <v>9.0369994521154254E-3</v>
      </c>
      <c r="P52" s="215">
        <f>WorkerTrips!X134+WorkerTrips!Z134</f>
        <v>2.968759779301504E-3</v>
      </c>
      <c r="Q52" s="214">
        <f>WorkerTrips!AA134</f>
        <v>30.857737823417466</v>
      </c>
      <c r="R52" s="215">
        <f>WorkerTrips!AB134</f>
        <v>1.6748949213978915E-3</v>
      </c>
      <c r="S52" s="215">
        <f>WorkerTrips!AC134</f>
        <v>3.0475402404158223E-3</v>
      </c>
    </row>
    <row r="53" spans="1:19 16384:16384" x14ac:dyDescent="0.25">
      <c r="A53" s="137" t="s">
        <v>121</v>
      </c>
      <c r="B53" s="215">
        <f>'Construction Trucks'!V144</f>
        <v>0.92587623447891187</v>
      </c>
      <c r="C53" s="215">
        <f>'Construction Trucks'!T144</f>
        <v>3.818919345739368</v>
      </c>
      <c r="D53" s="215">
        <f>'Construction Trucks'!U144</f>
        <v>17.518370396971079</v>
      </c>
      <c r="E53" s="215">
        <f>'Construction Trucks'!W144</f>
        <v>3.7785023479353599E-2</v>
      </c>
      <c r="F53" s="215">
        <f>'Construction Trucks'!X144+'Construction Trucks'!Z144</f>
        <v>0.75460931970572775</v>
      </c>
      <c r="G53" s="215">
        <f>'Construction Trucks'!Y144+'Construction Trucks'!AA144</f>
        <v>0.39066796884815108</v>
      </c>
      <c r="H53" s="215">
        <f>'Construction Trucks'!AB144</f>
        <v>6034.4401944709189</v>
      </c>
      <c r="I53" s="215">
        <f>'Construction Trucks'!AC144</f>
        <v>0.34482601603265162</v>
      </c>
      <c r="J53" s="215">
        <f>'Construction Trucks'!AD144</f>
        <v>0.15457822002156704</v>
      </c>
      <c r="K53" s="215">
        <f>'Construction Trucks'!AH144</f>
        <v>3.0553915737804093E-2</v>
      </c>
      <c r="L53" s="215">
        <f>'Construction Trucks'!AF144</f>
        <v>0.12602433840939914</v>
      </c>
      <c r="M53" s="215">
        <f>'Construction Trucks'!AG144</f>
        <v>0.57810622310004556</v>
      </c>
      <c r="N53" s="215">
        <f>'Construction Trucks'!AI144</f>
        <v>1.2469057748186686E-3</v>
      </c>
      <c r="O53" s="215">
        <f>'Construction Trucks'!AJ144+'Construction Trucks'!AL144</f>
        <v>2.4902107550289019E-2</v>
      </c>
      <c r="P53" s="215">
        <f>'Construction Trucks'!AK144+'Construction Trucks'!AM144</f>
        <v>1.2892042971988985E-2</v>
      </c>
      <c r="Q53" s="214">
        <f>'Construction Trucks'!AN144</f>
        <v>199.13652641754032</v>
      </c>
      <c r="R53" s="215">
        <f>'Construction Trucks'!AO144</f>
        <v>1.1379258529077504E-2</v>
      </c>
      <c r="S53" s="215">
        <f>'Construction Trucks'!AP144</f>
        <v>5.1010812607117121E-3</v>
      </c>
    </row>
    <row r="54" spans="1:19 16384:16384" x14ac:dyDescent="0.25">
      <c r="A54" s="137" t="s">
        <v>122</v>
      </c>
      <c r="B54" s="215"/>
      <c r="C54" s="215"/>
      <c r="D54" s="215"/>
      <c r="E54" s="215"/>
      <c r="F54" s="215">
        <f>'Fugitive Dust Substation'!B7</f>
        <v>26.362387719197216</v>
      </c>
      <c r="G54" s="215">
        <f>'Fugitive Dust Substation'!C7</f>
        <v>8.2853218546048399</v>
      </c>
      <c r="H54" s="215"/>
      <c r="I54" s="215"/>
      <c r="J54" s="215"/>
      <c r="K54" s="215"/>
      <c r="L54" s="215"/>
      <c r="M54" s="215"/>
      <c r="N54" s="215"/>
      <c r="O54" s="215">
        <f>'Fugitive Dust Substation'!B9</f>
        <v>1.4983722577894818E-2</v>
      </c>
      <c r="P54" s="215">
        <f>'Fugitive Dust Substation'!C9</f>
        <v>4.7091699530526585E-3</v>
      </c>
      <c r="Q54" s="214"/>
      <c r="R54" s="215"/>
      <c r="S54" s="215"/>
    </row>
    <row r="55" spans="1:19 16384:16384" x14ac:dyDescent="0.25">
      <c r="A55" s="12" t="s">
        <v>123</v>
      </c>
      <c r="B55" s="22">
        <f>SUM(B51:B54)</f>
        <v>11.900019848316514</v>
      </c>
      <c r="C55" s="22">
        <f t="shared" ref="C55" si="63">SUM(C51:C54)</f>
        <v>54.9304252813914</v>
      </c>
      <c r="D55" s="22">
        <f t="shared" ref="D55" si="64">SUM(D51:D54)</f>
        <v>91.366164871535261</v>
      </c>
      <c r="E55" s="22">
        <f t="shared" ref="E55" si="65">SUM(E51:E54)</f>
        <v>0.21931596093404054</v>
      </c>
      <c r="F55" s="22">
        <f t="shared" ref="F55" si="66">SUM(F51:F54)</f>
        <v>30.098324985769654</v>
      </c>
      <c r="G55" s="22">
        <f t="shared" ref="G55" si="67">SUM(G51:G54)</f>
        <v>11.175608976980085</v>
      </c>
      <c r="H55" s="22">
        <f t="shared" ref="H55" si="68">SUM(H51:H54)</f>
        <v>21983.301952794092</v>
      </c>
      <c r="I55" s="22">
        <f t="shared" ref="I55" si="69">SUM(I51:I54)</f>
        <v>1.3733423483790279</v>
      </c>
      <c r="J55" s="22">
        <f t="shared" ref="J55" si="70">SUM(J51:J54)</f>
        <v>7.1788624489544421</v>
      </c>
      <c r="K55" s="22">
        <f t="shared" ref="K55" si="71">SUM(K51:K54)</f>
        <v>0.84521618244084806</v>
      </c>
      <c r="L55" s="22">
        <f t="shared" ref="L55" si="72">SUM(L51:L54)</f>
        <v>2.2508726532637873</v>
      </c>
      <c r="M55" s="22">
        <f t="shared" ref="M55" si="73">SUM(M51:M54)</f>
        <v>4.1626972428003635</v>
      </c>
      <c r="N55" s="22">
        <f t="shared" ref="N55" si="74">SUM(N51:N54)</f>
        <v>9.6852818159006808E-3</v>
      </c>
      <c r="O55" s="22">
        <f t="shared" ref="O55" si="75">SUM(O51:O54)</f>
        <v>0.18990527149245037</v>
      </c>
      <c r="P55" s="22">
        <f t="shared" ref="P55" si="76">SUM(P51:P54)</f>
        <v>0.14604434600615762</v>
      </c>
      <c r="Q55" s="22">
        <f t="shared" ref="Q55" si="77">SUM(Q51:Q54)</f>
        <v>940.92129070151054</v>
      </c>
      <c r="R55" s="22">
        <f t="shared" ref="R55" si="78">SUM(R51:R54)</f>
        <v>6.1118493634019708E-2</v>
      </c>
      <c r="S55" s="22">
        <f t="shared" ref="S55" si="79">SUM(S51:S54)</f>
        <v>0.34569743005663628</v>
      </c>
    </row>
    <row r="56" spans="1:19 16384:16384" x14ac:dyDescent="0.25">
      <c r="A56" s="137" t="s">
        <v>124</v>
      </c>
      <c r="B56" s="216">
        <v>75</v>
      </c>
      <c r="C56" s="216">
        <v>550</v>
      </c>
      <c r="D56" s="216">
        <v>100</v>
      </c>
      <c r="E56" s="216">
        <v>150</v>
      </c>
      <c r="F56" s="216">
        <v>150</v>
      </c>
      <c r="G56" s="216">
        <v>55</v>
      </c>
      <c r="H56" s="216" t="s">
        <v>126</v>
      </c>
      <c r="I56" s="216" t="s">
        <v>126</v>
      </c>
      <c r="J56" s="216" t="s">
        <v>126</v>
      </c>
      <c r="K56" s="213"/>
      <c r="L56" s="213"/>
      <c r="M56" s="213"/>
      <c r="N56" s="213"/>
      <c r="O56" s="213"/>
      <c r="P56" s="213"/>
      <c r="Q56" s="214"/>
      <c r="R56" s="213"/>
      <c r="S56" s="213"/>
    </row>
    <row r="57" spans="1:19 16384:16384" x14ac:dyDescent="0.25">
      <c r="A57" s="137" t="s">
        <v>125</v>
      </c>
      <c r="B57" s="27" t="str">
        <f>IF(B55&gt;B56,"Yes","No")</f>
        <v>No</v>
      </c>
      <c r="C57" s="27" t="str">
        <f t="shared" ref="C57" si="80">IF(C55&gt;C56,"Yes","No")</f>
        <v>No</v>
      </c>
      <c r="D57" s="27" t="str">
        <f t="shared" ref="D57" si="81">IF(D55&gt;D56,"Yes","No")</f>
        <v>No</v>
      </c>
      <c r="E57" s="27" t="str">
        <f t="shared" ref="E57" si="82">IF(E55&gt;E56,"Yes","No")</f>
        <v>No</v>
      </c>
      <c r="F57" s="27" t="str">
        <f t="shared" ref="F57" si="83">IF(F55&gt;F56,"Yes","No")</f>
        <v>No</v>
      </c>
      <c r="G57" s="27" t="str">
        <f t="shared" ref="G57" si="84">IF(G55&gt;G56,"Yes","No")</f>
        <v>No</v>
      </c>
      <c r="H57" s="27" t="s">
        <v>126</v>
      </c>
      <c r="I57" s="27" t="s">
        <v>126</v>
      </c>
      <c r="J57" s="27" t="s">
        <v>126</v>
      </c>
      <c r="K57" s="213"/>
      <c r="L57" s="213"/>
      <c r="M57" s="213"/>
      <c r="N57" s="213"/>
      <c r="O57" s="213"/>
      <c r="P57" s="213"/>
      <c r="Q57" s="214"/>
      <c r="R57" s="213"/>
      <c r="S57" s="213"/>
    </row>
    <row r="60" spans="1:19 16384:16384" ht="39.6" x14ac:dyDescent="0.25">
      <c r="A60" s="12" t="str">
        <f>'Equipment Capistrano Sub 138kV'!A102</f>
        <v>Capistrano Substation Construction - Lower Yard</v>
      </c>
      <c r="B60" s="16" t="s">
        <v>18</v>
      </c>
      <c r="C60" s="16" t="s">
        <v>19</v>
      </c>
      <c r="D60" s="16" t="s">
        <v>20</v>
      </c>
      <c r="E60" s="16" t="s">
        <v>21</v>
      </c>
      <c r="F60" s="16" t="s">
        <v>22</v>
      </c>
      <c r="G60" s="16" t="s">
        <v>23</v>
      </c>
      <c r="H60" s="17" t="s">
        <v>24</v>
      </c>
      <c r="I60" s="16" t="s">
        <v>25</v>
      </c>
      <c r="J60" s="16" t="s">
        <v>26</v>
      </c>
      <c r="K60" s="18" t="s">
        <v>27</v>
      </c>
      <c r="L60" s="18" t="s">
        <v>28</v>
      </c>
      <c r="M60" s="18" t="s">
        <v>29</v>
      </c>
      <c r="N60" s="18" t="s">
        <v>30</v>
      </c>
      <c r="O60" s="18" t="s">
        <v>31</v>
      </c>
      <c r="P60" s="18" t="s">
        <v>32</v>
      </c>
      <c r="Q60" s="17" t="s">
        <v>33</v>
      </c>
      <c r="R60" s="18" t="s">
        <v>34</v>
      </c>
      <c r="S60" s="18" t="s">
        <v>35</v>
      </c>
    </row>
    <row r="61" spans="1:19 16384:16384" x14ac:dyDescent="0.25">
      <c r="A61" s="137" t="s">
        <v>75</v>
      </c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4"/>
      <c r="R61" s="213"/>
      <c r="S61" s="213"/>
      <c r="XFD61" s="98"/>
    </row>
    <row r="62" spans="1:19 16384:16384" x14ac:dyDescent="0.25">
      <c r="A62" s="137" t="s">
        <v>119</v>
      </c>
      <c r="B62" s="215">
        <f>'Equipment Capistrano Sub 138kV'!Q50</f>
        <v>10.83132371934105</v>
      </c>
      <c r="C62" s="215">
        <f>'Equipment Capistrano Sub 138kV'!R50</f>
        <v>38.967104217055642</v>
      </c>
      <c r="D62" s="215">
        <f>'Equipment Capistrano Sub 138kV'!S50</f>
        <v>80.55942821864744</v>
      </c>
      <c r="E62" s="215">
        <f>'Equipment Capistrano Sub 138kV'!T50</f>
        <v>0.18321024446594669</v>
      </c>
      <c r="F62" s="215">
        <f>'Equipment Capistrano Sub 138kV'!U50</f>
        <v>2.8871210091613166</v>
      </c>
      <c r="G62" s="215">
        <f>'Equipment Capistrano Sub 138kV'!V50</f>
        <v>2.5695376981535727</v>
      </c>
      <c r="H62" s="215">
        <f>'Equipment Capistrano Sub 138kV'!W50</f>
        <v>16440.884017371081</v>
      </c>
      <c r="I62" s="215">
        <f>'Equipment Capistrano Sub 138kV'!X50</f>
        <v>1.0598056404919158</v>
      </c>
      <c r="J62" s="215">
        <f>'Equipment Capistrano Sub 138kV'!Y50</f>
        <v>7.653145680771507</v>
      </c>
      <c r="K62" s="213">
        <f>'Equipment Capistrano Sub 138kV'!E112</f>
        <v>0.51130380588975122</v>
      </c>
      <c r="L62" s="213">
        <f>'Equipment Capistrano Sub 138kV'!F112</f>
        <v>2.0089999927053928</v>
      </c>
      <c r="M62" s="213">
        <f>'Equipment Capistrano Sub 138kV'!G112</f>
        <v>3.9235590662981092</v>
      </c>
      <c r="N62" s="213">
        <f>'Equipment Capistrano Sub 138kV'!H112</f>
        <v>8.5980012536111365E-3</v>
      </c>
      <c r="O62" s="213">
        <f>'Equipment Capistrano Sub 138kV'!I112</f>
        <v>0.15559395447407859</v>
      </c>
      <c r="P62" s="213">
        <f>'Equipment Capistrano Sub 138kV'!J112</f>
        <v>0.13847861948192994</v>
      </c>
      <c r="Q62" s="213">
        <f>'Equipment Capistrano Sub 138kV'!K112</f>
        <v>766.51339279556294</v>
      </c>
      <c r="R62" s="213">
        <f>'Equipment Capistrano Sub 138kV'!L112</f>
        <v>5.0089956507038298E-2</v>
      </c>
      <c r="S62" s="213">
        <f>'Equipment Capistrano Sub 138kV'!M112</f>
        <v>0.37273811129832041</v>
      </c>
    </row>
    <row r="63" spans="1:19 16384:16384" x14ac:dyDescent="0.25">
      <c r="A63" s="137" t="s">
        <v>120</v>
      </c>
      <c r="B63" s="215">
        <f>WorkerTrips!I135</f>
        <v>0.60813099622580691</v>
      </c>
      <c r="C63" s="215">
        <f>WorkerTrips!G135</f>
        <v>6.1226738777869087</v>
      </c>
      <c r="D63" s="215">
        <f>WorkerTrips!H135</f>
        <v>0.55294062673220823</v>
      </c>
      <c r="E63" s="215">
        <f>WorkerTrips!J135</f>
        <v>7.9768973963270789E-3</v>
      </c>
      <c r="F63" s="215">
        <f>WorkerTrips!K135+WorkerTrips!M135</f>
        <v>0.1877233783744516</v>
      </c>
      <c r="G63" s="215">
        <f>WorkerTrips!L135+WorkerTrips!N135</f>
        <v>6.1369408683740648E-2</v>
      </c>
      <c r="H63" s="215">
        <f>WorkerTrips!O135</f>
        <v>622.37933549953505</v>
      </c>
      <c r="I63" s="215">
        <f>WorkerTrips!P135</f>
        <v>3.4876943177859644E-2</v>
      </c>
      <c r="J63" s="215">
        <f>WorkerTrips!Q135</f>
        <v>6.3483073173195556E-2</v>
      </c>
      <c r="K63" s="215">
        <f>WorkerTrips!S135</f>
        <v>0.20204823796696797</v>
      </c>
      <c r="L63" s="215">
        <f>WorkerTrips!T135</f>
        <v>1.824704068216287E-2</v>
      </c>
      <c r="M63" s="215">
        <f>WorkerTrips!U135</f>
        <v>2.0068322875451627E-2</v>
      </c>
      <c r="N63" s="215">
        <f>WorkerTrips!V135</f>
        <v>2.6323761407879361E-4</v>
      </c>
      <c r="O63" s="215">
        <f>WorkerTrips!W135+WorkerTrips!Y135</f>
        <v>6.194871486356902E-3</v>
      </c>
      <c r="P63" s="215">
        <f>WorkerTrips!X135+WorkerTrips!Z135</f>
        <v>2.0251904865634415E-3</v>
      </c>
      <c r="Q63" s="214">
        <f>WorkerTrips!AA135</f>
        <v>20.538518071484656</v>
      </c>
      <c r="R63" s="215">
        <f>WorkerTrips!AB135</f>
        <v>1.1509391248693682E-3</v>
      </c>
      <c r="S63" s="215">
        <f>WorkerTrips!AC135</f>
        <v>2.0949414147154533E-3</v>
      </c>
    </row>
    <row r="64" spans="1:19 16384:16384" x14ac:dyDescent="0.25">
      <c r="A64" s="137" t="s">
        <v>121</v>
      </c>
      <c r="B64" s="215">
        <f>'Construction Trucks'!V148</f>
        <v>0.10960590727637577</v>
      </c>
      <c r="C64" s="215">
        <f>'Construction Trucks'!T148</f>
        <v>0.56273399802025792</v>
      </c>
      <c r="D64" s="215">
        <f>'Construction Trucks'!U148</f>
        <v>0.55372135229508401</v>
      </c>
      <c r="E64" s="215">
        <f>'Construction Trucks'!W148</f>
        <v>2.5287358134424877E-3</v>
      </c>
      <c r="F64" s="215">
        <f>'Construction Trucks'!X148+'Construction Trucks'!Z148</f>
        <v>0.16232626871013989</v>
      </c>
      <c r="G64" s="215">
        <f>'Construction Trucks'!Y148+'Construction Trucks'!AA148</f>
        <v>0.10567230405756116</v>
      </c>
      <c r="H64" s="215">
        <f>'Construction Trucks'!AB148</f>
        <v>242.54684808256806</v>
      </c>
      <c r="I64" s="215">
        <f>'Construction Trucks'!AC148</f>
        <v>1.3859854539982187E-2</v>
      </c>
      <c r="J64" s="215">
        <f>'Construction Trucks'!AD148</f>
        <v>6.2130800604830632E-3</v>
      </c>
      <c r="K64" s="215">
        <f>'Construction Trucks'!AH148</f>
        <v>1.5673644740521735E-2</v>
      </c>
      <c r="L64" s="215">
        <f>'Construction Trucks'!AF148</f>
        <v>8.0470961716896883E-2</v>
      </c>
      <c r="M64" s="215">
        <f>'Construction Trucks'!AG148</f>
        <v>7.918215337819702E-2</v>
      </c>
      <c r="N64" s="215">
        <f>'Construction Trucks'!AI148</f>
        <v>3.6160922132227576E-4</v>
      </c>
      <c r="O64" s="215">
        <f>'Construction Trucks'!AJ148+'Construction Trucks'!AL148</f>
        <v>2.3212656425550003E-2</v>
      </c>
      <c r="P64" s="215">
        <f>'Construction Trucks'!AK148+'Construction Trucks'!AM148</f>
        <v>1.5111139480231245E-2</v>
      </c>
      <c r="Q64" s="214">
        <f>'Construction Trucks'!AN148</f>
        <v>34.684199275807231</v>
      </c>
      <c r="R64" s="215">
        <f>'Construction Trucks'!AO148</f>
        <v>1.9819591992174526E-3</v>
      </c>
      <c r="S64" s="215">
        <f>'Construction Trucks'!AP148</f>
        <v>8.8847044864907799E-4</v>
      </c>
    </row>
    <row r="65" spans="1:19" x14ac:dyDescent="0.25">
      <c r="A65" s="12" t="s">
        <v>123</v>
      </c>
      <c r="B65" s="22">
        <f t="shared" ref="B65:S65" si="85">SUM(B62:B64)</f>
        <v>11.549060622843232</v>
      </c>
      <c r="C65" s="22">
        <f t="shared" si="85"/>
        <v>45.652512092862807</v>
      </c>
      <c r="D65" s="22">
        <f t="shared" si="85"/>
        <v>81.666090197674734</v>
      </c>
      <c r="E65" s="22">
        <f t="shared" si="85"/>
        <v>0.19371587767571624</v>
      </c>
      <c r="F65" s="22">
        <f t="shared" si="85"/>
        <v>3.2371706562459082</v>
      </c>
      <c r="G65" s="22">
        <f t="shared" si="85"/>
        <v>2.7365794108948744</v>
      </c>
      <c r="H65" s="22">
        <f t="shared" si="85"/>
        <v>17305.810200953187</v>
      </c>
      <c r="I65" s="22">
        <f t="shared" si="85"/>
        <v>1.1085424382097577</v>
      </c>
      <c r="J65" s="22">
        <f t="shared" si="85"/>
        <v>7.7228418340051856</v>
      </c>
      <c r="K65" s="22">
        <f t="shared" si="85"/>
        <v>0.72902568859724082</v>
      </c>
      <c r="L65" s="22">
        <f t="shared" si="85"/>
        <v>2.1077179951044522</v>
      </c>
      <c r="M65" s="22">
        <f t="shared" si="85"/>
        <v>4.0228095425517578</v>
      </c>
      <c r="N65" s="22">
        <f t="shared" si="85"/>
        <v>9.2228480890122061E-3</v>
      </c>
      <c r="O65" s="22">
        <f t="shared" si="85"/>
        <v>0.18500148238598549</v>
      </c>
      <c r="P65" s="22">
        <f t="shared" si="85"/>
        <v>0.15561494944872462</v>
      </c>
      <c r="Q65" s="22">
        <f t="shared" si="85"/>
        <v>821.73611014285484</v>
      </c>
      <c r="R65" s="22">
        <f t="shared" si="85"/>
        <v>5.322285483112512E-2</v>
      </c>
      <c r="S65" s="22">
        <f t="shared" si="85"/>
        <v>0.37572152316168494</v>
      </c>
    </row>
    <row r="66" spans="1:19" x14ac:dyDescent="0.25">
      <c r="A66" s="614" t="s">
        <v>124</v>
      </c>
      <c r="B66" s="216">
        <v>75</v>
      </c>
      <c r="C66" s="216">
        <v>550</v>
      </c>
      <c r="D66" s="216">
        <v>100</v>
      </c>
      <c r="E66" s="216">
        <v>150</v>
      </c>
      <c r="F66" s="216">
        <v>150</v>
      </c>
      <c r="G66" s="216">
        <v>55</v>
      </c>
      <c r="H66" s="216" t="s">
        <v>126</v>
      </c>
      <c r="I66" s="216" t="s">
        <v>126</v>
      </c>
      <c r="J66" s="216" t="s">
        <v>126</v>
      </c>
      <c r="K66" s="216"/>
      <c r="L66" s="216"/>
      <c r="M66" s="216"/>
      <c r="N66" s="216"/>
      <c r="O66" s="216"/>
      <c r="P66" s="216"/>
      <c r="Q66" s="217"/>
      <c r="R66" s="216"/>
      <c r="S66" s="216"/>
    </row>
    <row r="67" spans="1:19" x14ac:dyDescent="0.25">
      <c r="A67" s="137" t="s">
        <v>125</v>
      </c>
      <c r="B67" s="27" t="str">
        <f>IF(B65&gt;B66,"Yes","No")</f>
        <v>No</v>
      </c>
      <c r="C67" s="27" t="str">
        <f t="shared" ref="C67" si="86">IF(C65&gt;C66,"Yes","No")</f>
        <v>No</v>
      </c>
      <c r="D67" s="27" t="str">
        <f t="shared" ref="D67" si="87">IF(D65&gt;D66,"Yes","No")</f>
        <v>No</v>
      </c>
      <c r="E67" s="27" t="str">
        <f t="shared" ref="E67" si="88">IF(E65&gt;E66,"Yes","No")</f>
        <v>No</v>
      </c>
      <c r="F67" s="27" t="str">
        <f t="shared" ref="F67" si="89">IF(F65&gt;F66,"Yes","No")</f>
        <v>No</v>
      </c>
      <c r="G67" s="27" t="str">
        <f t="shared" ref="G67" si="90">IF(G65&gt;G66,"Yes","No")</f>
        <v>No</v>
      </c>
      <c r="H67" s="27" t="s">
        <v>126</v>
      </c>
      <c r="I67" s="27" t="s">
        <v>126</v>
      </c>
      <c r="J67" s="27" t="s">
        <v>126</v>
      </c>
      <c r="K67" s="27"/>
      <c r="L67" s="27"/>
      <c r="M67" s="27"/>
      <c r="N67" s="27"/>
      <c r="O67" s="27"/>
      <c r="P67" s="27"/>
      <c r="Q67" s="218"/>
      <c r="R67" s="27"/>
      <c r="S67" s="27"/>
    </row>
    <row r="68" spans="1:19" x14ac:dyDescent="0.25">
      <c r="A68" s="119"/>
      <c r="J68" s="105"/>
    </row>
    <row r="69" spans="1:19" x14ac:dyDescent="0.25">
      <c r="J69" s="105"/>
      <c r="O69" s="97"/>
      <c r="R69" s="98"/>
      <c r="S69" s="98"/>
    </row>
    <row r="70" spans="1:19" s="572" customFormat="1" x14ac:dyDescent="0.25">
      <c r="A70" s="613">
        <v>2017</v>
      </c>
      <c r="J70" s="105"/>
      <c r="O70" s="97"/>
      <c r="Q70" s="7"/>
      <c r="R70" s="98"/>
      <c r="S70" s="98"/>
    </row>
    <row r="71" spans="1:19" s="572" customFormat="1" ht="37.5" customHeight="1" x14ac:dyDescent="0.25">
      <c r="A71" s="12" t="str">
        <f>A60</f>
        <v>Capistrano Substation Construction - Lower Yard</v>
      </c>
      <c r="B71" s="20" t="str">
        <f t="shared" ref="B71:S71" si="91">B60</f>
        <v>ROG lbs/day</v>
      </c>
      <c r="C71" s="20" t="str">
        <f t="shared" si="91"/>
        <v>CO lbs/day</v>
      </c>
      <c r="D71" s="20" t="str">
        <f t="shared" si="91"/>
        <v>NOX lbs/day</v>
      </c>
      <c r="E71" s="20" t="str">
        <f t="shared" si="91"/>
        <v>SOX lbs/day</v>
      </c>
      <c r="F71" s="20" t="str">
        <f t="shared" si="91"/>
        <v>PM10 lbs/day</v>
      </c>
      <c r="G71" s="20" t="str">
        <f t="shared" si="91"/>
        <v>PM2.5 lbs/day</v>
      </c>
      <c r="H71" s="20" t="str">
        <f t="shared" si="91"/>
        <v>CO2  lbs/day</v>
      </c>
      <c r="I71" s="20" t="str">
        <f t="shared" si="91"/>
        <v>CH4  lbs/day</v>
      </c>
      <c r="J71" s="20" t="str">
        <f t="shared" si="91"/>
        <v>N2O  lbs/day</v>
      </c>
      <c r="K71" s="20" t="str">
        <f t="shared" si="91"/>
        <v>ROG tons (total)</v>
      </c>
      <c r="L71" s="20" t="str">
        <f t="shared" si="91"/>
        <v>CO tons (total)</v>
      </c>
      <c r="M71" s="20" t="str">
        <f t="shared" si="91"/>
        <v>NOX tons (total)</v>
      </c>
      <c r="N71" s="20" t="str">
        <f t="shared" si="91"/>
        <v>SOX tons (total)</v>
      </c>
      <c r="O71" s="20" t="str">
        <f t="shared" si="91"/>
        <v>PM10 tons (total)</v>
      </c>
      <c r="P71" s="20" t="str">
        <f t="shared" si="91"/>
        <v>PM2.5 tons (total)</v>
      </c>
      <c r="Q71" s="20" t="str">
        <f t="shared" si="91"/>
        <v>CO2  tons (total)</v>
      </c>
      <c r="R71" s="20" t="str">
        <f t="shared" si="91"/>
        <v>CH4   tons (total)</v>
      </c>
      <c r="S71" s="20" t="str">
        <f t="shared" si="91"/>
        <v>N2O   tons (total)</v>
      </c>
    </row>
    <row r="72" spans="1:19" s="572" customFormat="1" x14ac:dyDescent="0.25">
      <c r="A72" s="137" t="str">
        <f t="shared" ref="A72:B72" si="92">A61</f>
        <v>Emissions, lbs/day</v>
      </c>
      <c r="B72" s="19">
        <f t="shared" si="92"/>
        <v>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19" s="572" customFormat="1" x14ac:dyDescent="0.25">
      <c r="A73" s="137" t="str">
        <f t="shared" ref="A73:S73" si="93">A62</f>
        <v>Heavy Construction Equipment</v>
      </c>
      <c r="B73" s="579">
        <f t="shared" si="93"/>
        <v>10.83132371934105</v>
      </c>
      <c r="C73" s="579">
        <f t="shared" si="93"/>
        <v>38.967104217055642</v>
      </c>
      <c r="D73" s="579">
        <f t="shared" si="93"/>
        <v>80.55942821864744</v>
      </c>
      <c r="E73" s="579">
        <f t="shared" si="93"/>
        <v>0.18321024446594669</v>
      </c>
      <c r="F73" s="579">
        <f t="shared" si="93"/>
        <v>2.8871210091613166</v>
      </c>
      <c r="G73" s="579">
        <f t="shared" si="93"/>
        <v>2.5695376981535727</v>
      </c>
      <c r="H73" s="579">
        <f t="shared" si="93"/>
        <v>16440.884017371081</v>
      </c>
      <c r="I73" s="579">
        <f t="shared" si="93"/>
        <v>1.0598056404919158</v>
      </c>
      <c r="J73" s="579">
        <f t="shared" si="93"/>
        <v>7.653145680771507</v>
      </c>
      <c r="K73" s="579">
        <f t="shared" si="93"/>
        <v>0.51130380588975122</v>
      </c>
      <c r="L73" s="579">
        <f t="shared" si="93"/>
        <v>2.0089999927053928</v>
      </c>
      <c r="M73" s="579">
        <f t="shared" si="93"/>
        <v>3.9235590662981092</v>
      </c>
      <c r="N73" s="579">
        <f t="shared" si="93"/>
        <v>8.5980012536111365E-3</v>
      </c>
      <c r="O73" s="579">
        <f t="shared" si="93"/>
        <v>0.15559395447407859</v>
      </c>
      <c r="P73" s="579">
        <f t="shared" si="93"/>
        <v>0.13847861948192994</v>
      </c>
      <c r="Q73" s="579">
        <f t="shared" si="93"/>
        <v>766.51339279556294</v>
      </c>
      <c r="R73" s="579">
        <f t="shared" si="93"/>
        <v>5.0089956507038298E-2</v>
      </c>
      <c r="S73" s="579">
        <f t="shared" si="93"/>
        <v>0.37273811129832041</v>
      </c>
    </row>
    <row r="74" spans="1:19" s="572" customFormat="1" x14ac:dyDescent="0.25">
      <c r="A74" s="137" t="str">
        <f t="shared" ref="A74:S74" si="94">A63</f>
        <v>Worker Vehicles</v>
      </c>
      <c r="B74" s="579">
        <f t="shared" si="94"/>
        <v>0.60813099622580691</v>
      </c>
      <c r="C74" s="579">
        <f t="shared" si="94"/>
        <v>6.1226738777869087</v>
      </c>
      <c r="D74" s="579">
        <f t="shared" si="94"/>
        <v>0.55294062673220823</v>
      </c>
      <c r="E74" s="579">
        <f t="shared" si="94"/>
        <v>7.9768973963270789E-3</v>
      </c>
      <c r="F74" s="579">
        <f t="shared" si="94"/>
        <v>0.1877233783744516</v>
      </c>
      <c r="G74" s="579">
        <f t="shared" si="94"/>
        <v>6.1369408683740648E-2</v>
      </c>
      <c r="H74" s="579">
        <f t="shared" si="94"/>
        <v>622.37933549953505</v>
      </c>
      <c r="I74" s="579">
        <f t="shared" si="94"/>
        <v>3.4876943177859644E-2</v>
      </c>
      <c r="J74" s="579">
        <f t="shared" si="94"/>
        <v>6.3483073173195556E-2</v>
      </c>
      <c r="K74" s="579">
        <f t="shared" si="94"/>
        <v>0.20204823796696797</v>
      </c>
      <c r="L74" s="579">
        <f t="shared" si="94"/>
        <v>1.824704068216287E-2</v>
      </c>
      <c r="M74" s="579">
        <f t="shared" si="94"/>
        <v>2.0068322875451627E-2</v>
      </c>
      <c r="N74" s="579">
        <f t="shared" si="94"/>
        <v>2.6323761407879361E-4</v>
      </c>
      <c r="O74" s="579">
        <f t="shared" si="94"/>
        <v>6.194871486356902E-3</v>
      </c>
      <c r="P74" s="579">
        <f t="shared" si="94"/>
        <v>2.0251904865634415E-3</v>
      </c>
      <c r="Q74" s="579">
        <f t="shared" si="94"/>
        <v>20.538518071484656</v>
      </c>
      <c r="R74" s="579">
        <f t="shared" si="94"/>
        <v>1.1509391248693682E-3</v>
      </c>
      <c r="S74" s="579">
        <f t="shared" si="94"/>
        <v>2.0949414147154533E-3</v>
      </c>
    </row>
    <row r="75" spans="1:19" s="572" customFormat="1" x14ac:dyDescent="0.25">
      <c r="A75" s="137" t="str">
        <f t="shared" ref="A75:S75" si="95">A64</f>
        <v>Construction Trucks</v>
      </c>
      <c r="B75" s="579">
        <f t="shared" si="95"/>
        <v>0.10960590727637577</v>
      </c>
      <c r="C75" s="579">
        <f t="shared" si="95"/>
        <v>0.56273399802025792</v>
      </c>
      <c r="D75" s="579">
        <f t="shared" si="95"/>
        <v>0.55372135229508401</v>
      </c>
      <c r="E75" s="579">
        <f t="shared" si="95"/>
        <v>2.5287358134424877E-3</v>
      </c>
      <c r="F75" s="579">
        <f t="shared" si="95"/>
        <v>0.16232626871013989</v>
      </c>
      <c r="G75" s="579">
        <f t="shared" si="95"/>
        <v>0.10567230405756116</v>
      </c>
      <c r="H75" s="579">
        <f t="shared" si="95"/>
        <v>242.54684808256806</v>
      </c>
      <c r="I75" s="579">
        <f t="shared" si="95"/>
        <v>1.3859854539982187E-2</v>
      </c>
      <c r="J75" s="579">
        <f t="shared" si="95"/>
        <v>6.2130800604830632E-3</v>
      </c>
      <c r="K75" s="579">
        <f t="shared" si="95"/>
        <v>1.5673644740521735E-2</v>
      </c>
      <c r="L75" s="579">
        <f t="shared" si="95"/>
        <v>8.0470961716896883E-2</v>
      </c>
      <c r="M75" s="579">
        <f t="shared" si="95"/>
        <v>7.918215337819702E-2</v>
      </c>
      <c r="N75" s="579">
        <f t="shared" si="95"/>
        <v>3.6160922132227576E-4</v>
      </c>
      <c r="O75" s="579">
        <f t="shared" si="95"/>
        <v>2.3212656425550003E-2</v>
      </c>
      <c r="P75" s="579">
        <f t="shared" si="95"/>
        <v>1.5111139480231245E-2</v>
      </c>
      <c r="Q75" s="579">
        <f t="shared" si="95"/>
        <v>34.684199275807231</v>
      </c>
      <c r="R75" s="579">
        <f t="shared" si="95"/>
        <v>1.9819591992174526E-3</v>
      </c>
      <c r="S75" s="579">
        <f t="shared" si="95"/>
        <v>8.8847044864907799E-4</v>
      </c>
    </row>
    <row r="76" spans="1:19" s="572" customFormat="1" x14ac:dyDescent="0.25">
      <c r="A76" s="12" t="str">
        <f t="shared" ref="A76:S76" si="96">A65</f>
        <v>Total Daily</v>
      </c>
      <c r="B76" s="22">
        <f t="shared" si="96"/>
        <v>11.549060622843232</v>
      </c>
      <c r="C76" s="22">
        <f t="shared" si="96"/>
        <v>45.652512092862807</v>
      </c>
      <c r="D76" s="22">
        <f t="shared" si="96"/>
        <v>81.666090197674734</v>
      </c>
      <c r="E76" s="22">
        <f t="shared" si="96"/>
        <v>0.19371587767571624</v>
      </c>
      <c r="F76" s="22">
        <f t="shared" si="96"/>
        <v>3.2371706562459082</v>
      </c>
      <c r="G76" s="22">
        <f t="shared" si="96"/>
        <v>2.7365794108948744</v>
      </c>
      <c r="H76" s="22">
        <f t="shared" si="96"/>
        <v>17305.810200953187</v>
      </c>
      <c r="I76" s="22">
        <f t="shared" si="96"/>
        <v>1.1085424382097577</v>
      </c>
      <c r="J76" s="22">
        <f t="shared" si="96"/>
        <v>7.7228418340051856</v>
      </c>
      <c r="K76" s="22">
        <f t="shared" si="96"/>
        <v>0.72902568859724082</v>
      </c>
      <c r="L76" s="22">
        <f t="shared" si="96"/>
        <v>2.1077179951044522</v>
      </c>
      <c r="M76" s="22">
        <f t="shared" si="96"/>
        <v>4.0228095425517578</v>
      </c>
      <c r="N76" s="22">
        <f t="shared" si="96"/>
        <v>9.2228480890122061E-3</v>
      </c>
      <c r="O76" s="22">
        <f t="shared" si="96"/>
        <v>0.18500148238598549</v>
      </c>
      <c r="P76" s="22">
        <f t="shared" si="96"/>
        <v>0.15561494944872462</v>
      </c>
      <c r="Q76" s="22">
        <f t="shared" si="96"/>
        <v>821.73611014285484</v>
      </c>
      <c r="R76" s="22">
        <f t="shared" si="96"/>
        <v>5.322285483112512E-2</v>
      </c>
      <c r="S76" s="22">
        <f t="shared" si="96"/>
        <v>0.37572152316168494</v>
      </c>
    </row>
    <row r="77" spans="1:19" s="572" customFormat="1" x14ac:dyDescent="0.25">
      <c r="A77" s="614" t="str">
        <f t="shared" ref="A77:J77" si="97">A66</f>
        <v>Significance Threshold</v>
      </c>
      <c r="B77" s="216">
        <f t="shared" si="97"/>
        <v>75</v>
      </c>
      <c r="C77" s="216">
        <f t="shared" si="97"/>
        <v>550</v>
      </c>
      <c r="D77" s="216">
        <f t="shared" si="97"/>
        <v>100</v>
      </c>
      <c r="E77" s="216">
        <f t="shared" si="97"/>
        <v>150</v>
      </c>
      <c r="F77" s="216">
        <f t="shared" si="97"/>
        <v>150</v>
      </c>
      <c r="G77" s="216">
        <f t="shared" si="97"/>
        <v>55</v>
      </c>
      <c r="H77" s="216" t="str">
        <f t="shared" si="97"/>
        <v>N/A</v>
      </c>
      <c r="I77" s="216" t="str">
        <f t="shared" si="97"/>
        <v>N/A</v>
      </c>
      <c r="J77" s="216" t="str">
        <f t="shared" si="97"/>
        <v>N/A</v>
      </c>
      <c r="K77" s="19"/>
      <c r="L77" s="19"/>
      <c r="M77" s="19"/>
      <c r="N77" s="19"/>
      <c r="O77" s="19"/>
      <c r="P77" s="19"/>
      <c r="Q77" s="19"/>
      <c r="R77" s="19"/>
      <c r="S77" s="19"/>
    </row>
    <row r="78" spans="1:19" s="572" customFormat="1" x14ac:dyDescent="0.25">
      <c r="A78" s="137" t="str">
        <f t="shared" ref="A78:J78" si="98">A67</f>
        <v>Above Threshold?</v>
      </c>
      <c r="B78" s="27" t="str">
        <f t="shared" si="98"/>
        <v>No</v>
      </c>
      <c r="C78" s="27" t="str">
        <f t="shared" si="98"/>
        <v>No</v>
      </c>
      <c r="D78" s="27" t="str">
        <f t="shared" si="98"/>
        <v>No</v>
      </c>
      <c r="E78" s="27" t="str">
        <f t="shared" si="98"/>
        <v>No</v>
      </c>
      <c r="F78" s="27" t="str">
        <f t="shared" si="98"/>
        <v>No</v>
      </c>
      <c r="G78" s="27" t="str">
        <f t="shared" si="98"/>
        <v>No</v>
      </c>
      <c r="H78" s="27" t="str">
        <f t="shared" si="98"/>
        <v>N/A</v>
      </c>
      <c r="I78" s="27" t="str">
        <f t="shared" si="98"/>
        <v>N/A</v>
      </c>
      <c r="J78" s="27" t="str">
        <f t="shared" si="98"/>
        <v>N/A</v>
      </c>
      <c r="K78" s="19"/>
      <c r="L78" s="19"/>
      <c r="M78" s="19"/>
      <c r="N78" s="19"/>
      <c r="O78" s="19"/>
      <c r="P78" s="19"/>
      <c r="Q78" s="19"/>
      <c r="R78" s="19"/>
      <c r="S78" s="19"/>
    </row>
    <row r="79" spans="1:19" s="572" customFormat="1" x14ac:dyDescent="0.25">
      <c r="A79" s="32"/>
      <c r="J79" s="105"/>
      <c r="O79" s="97"/>
      <c r="Q79" s="7"/>
      <c r="R79" s="98"/>
      <c r="S79" s="98"/>
    </row>
    <row r="80" spans="1:19" s="572" customFormat="1" x14ac:dyDescent="0.25">
      <c r="A80" s="32"/>
      <c r="J80" s="105"/>
      <c r="O80" s="97"/>
      <c r="Q80" s="7"/>
      <c r="R80" s="98"/>
      <c r="S80" s="98"/>
    </row>
    <row r="81" spans="1:19" ht="39.6" x14ac:dyDescent="0.25">
      <c r="A81" s="12" t="str">
        <f>'Equipment Capistrano Sub 138kV'!A52</f>
        <v>Capistrano Substation Relay Testing - Lower Yard</v>
      </c>
      <c r="B81" s="16" t="s">
        <v>18</v>
      </c>
      <c r="C81" s="16" t="s">
        <v>19</v>
      </c>
      <c r="D81" s="16" t="s">
        <v>20</v>
      </c>
      <c r="E81" s="16" t="s">
        <v>21</v>
      </c>
      <c r="F81" s="16" t="s">
        <v>22</v>
      </c>
      <c r="G81" s="16" t="s">
        <v>23</v>
      </c>
      <c r="H81" s="17" t="s">
        <v>24</v>
      </c>
      <c r="I81" s="16" t="s">
        <v>25</v>
      </c>
      <c r="J81" s="16" t="s">
        <v>26</v>
      </c>
      <c r="K81" s="18" t="s">
        <v>27</v>
      </c>
      <c r="L81" s="18" t="s">
        <v>28</v>
      </c>
      <c r="M81" s="18" t="s">
        <v>29</v>
      </c>
      <c r="N81" s="18" t="s">
        <v>30</v>
      </c>
      <c r="O81" s="18" t="s">
        <v>31</v>
      </c>
      <c r="P81" s="18" t="s">
        <v>32</v>
      </c>
      <c r="Q81" s="17" t="s">
        <v>33</v>
      </c>
      <c r="R81" s="18" t="s">
        <v>34</v>
      </c>
      <c r="S81" s="18" t="s">
        <v>35</v>
      </c>
    </row>
    <row r="82" spans="1:19" x14ac:dyDescent="0.25">
      <c r="A82" s="137" t="s">
        <v>75</v>
      </c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4"/>
      <c r="R82" s="213"/>
      <c r="S82" s="213"/>
    </row>
    <row r="83" spans="1:19" x14ac:dyDescent="0.25">
      <c r="A83" s="137" t="s">
        <v>119</v>
      </c>
      <c r="B83" s="215">
        <f>'Equipment Capistrano Sub 138kV'!Q54</f>
        <v>0.18561399735491307</v>
      </c>
      <c r="C83" s="215">
        <f>'Equipment Capistrano Sub 138kV'!R54</f>
        <v>0.70635729639317357</v>
      </c>
      <c r="D83" s="215">
        <f>'Equipment Capistrano Sub 138kV'!S54</f>
        <v>1.2376256853079644</v>
      </c>
      <c r="E83" s="215">
        <f>'Equipment Capistrano Sub 138kV'!T54</f>
        <v>3.7478416423002846E-3</v>
      </c>
      <c r="F83" s="215">
        <f>'Equipment Capistrano Sub 138kV'!U54</f>
        <v>4.1902814214893849E-2</v>
      </c>
      <c r="G83" s="215">
        <f>'Equipment Capistrano Sub 138kV'!V54</f>
        <v>3.7293504651255527E-2</v>
      </c>
      <c r="H83" s="215">
        <f>'Equipment Capistrano Sub 138kV'!W54</f>
        <v>333.09073547580454</v>
      </c>
      <c r="I83" s="215">
        <f>'Equipment Capistrano Sub 138kV'!X54</f>
        <v>2.0008606158763851E-2</v>
      </c>
      <c r="J83" s="215">
        <f>'Equipment Capistrano Sub 138kV'!Y54</f>
        <v>0.11757444010425662</v>
      </c>
      <c r="K83" s="213">
        <f>'Equipment Capistrano Sub 138kV'!E116</f>
        <v>1.2250523825424263E-2</v>
      </c>
      <c r="L83" s="213">
        <f>'Equipment Capistrano Sub 138kV'!F116</f>
        <v>4.6619581561949452E-2</v>
      </c>
      <c r="M83" s="213">
        <f>'Equipment Capistrano Sub 138kV'!G116</f>
        <v>8.1683295230325637E-2</v>
      </c>
      <c r="N83" s="213">
        <f>'Equipment Capistrano Sub 138kV'!H116</f>
        <v>2.473575483918188E-4</v>
      </c>
      <c r="O83" s="213">
        <f>'Equipment Capistrano Sub 138kV'!I116</f>
        <v>2.765585738182994E-3</v>
      </c>
      <c r="P83" s="213">
        <f>'Equipment Capistrano Sub 138kV'!J116</f>
        <v>2.4613713069828649E-3</v>
      </c>
      <c r="Q83" s="213">
        <f>'Equipment Capistrano Sub 138kV'!K116</f>
        <v>21.983988541403097</v>
      </c>
      <c r="R83" s="213">
        <f>'Equipment Capistrano Sub 138kV'!L116</f>
        <v>1.3205680064784142E-3</v>
      </c>
      <c r="S83" s="213">
        <f>'Equipment Capistrano Sub 138kV'!M116</f>
        <v>7.7599130468809369E-3</v>
      </c>
    </row>
    <row r="84" spans="1:19" x14ac:dyDescent="0.25">
      <c r="A84" s="137" t="s">
        <v>120</v>
      </c>
      <c r="B84" s="215">
        <f>WorkerTrips!I135</f>
        <v>0.60813099622580691</v>
      </c>
      <c r="C84" s="215">
        <f>WorkerTrips!G135</f>
        <v>6.1226738777869087</v>
      </c>
      <c r="D84" s="215">
        <f>WorkerTrips!H135</f>
        <v>0.55294062673220823</v>
      </c>
      <c r="E84" s="215">
        <f>WorkerTrips!J135</f>
        <v>7.9768973963270789E-3</v>
      </c>
      <c r="F84" s="215">
        <f>WorkerTrips!K135+WorkerTrips!M135</f>
        <v>0.1877233783744516</v>
      </c>
      <c r="G84" s="215">
        <f>WorkerTrips!L135+WorkerTrips!N135</f>
        <v>6.1369408683740648E-2</v>
      </c>
      <c r="H84" s="215">
        <f>WorkerTrips!O135</f>
        <v>622.37933549953505</v>
      </c>
      <c r="I84" s="215">
        <f>WorkerTrips!P135</f>
        <v>3.4876943177859644E-2</v>
      </c>
      <c r="J84" s="215">
        <f>WorkerTrips!Q135</f>
        <v>6.3483073173195556E-2</v>
      </c>
      <c r="K84" s="215">
        <f>WorkerTrips!S135</f>
        <v>0.20204823796696797</v>
      </c>
      <c r="L84" s="215">
        <f>WorkerTrips!T135</f>
        <v>1.824704068216287E-2</v>
      </c>
      <c r="M84" s="215">
        <f>WorkerTrips!U135</f>
        <v>2.0068322875451627E-2</v>
      </c>
      <c r="N84" s="215">
        <f>WorkerTrips!V135</f>
        <v>2.6323761407879361E-4</v>
      </c>
      <c r="O84" s="215">
        <f>WorkerTrips!W135+WorkerTrips!Y135</f>
        <v>6.194871486356902E-3</v>
      </c>
      <c r="P84" s="215">
        <f>WorkerTrips!X135+WorkerTrips!Z135</f>
        <v>2.0251904865634415E-3</v>
      </c>
      <c r="Q84" s="214">
        <f>WorkerTrips!AA135</f>
        <v>20.538518071484656</v>
      </c>
      <c r="R84" s="215">
        <f>WorkerTrips!AB135</f>
        <v>1.1509391248693682E-3</v>
      </c>
      <c r="S84" s="215">
        <f>WorkerTrips!AC135</f>
        <v>2.0949414147154533E-3</v>
      </c>
    </row>
    <row r="85" spans="1:19" x14ac:dyDescent="0.25">
      <c r="A85" s="137" t="s">
        <v>121</v>
      </c>
      <c r="B85" s="215">
        <f>'Construction Trucks'!V152</f>
        <v>6.6048693288274618E-2</v>
      </c>
      <c r="C85" s="215">
        <f>'Construction Trucks'!T152</f>
        <v>0.33859629451259154</v>
      </c>
      <c r="D85" s="215">
        <f>'Construction Trucks'!U152</f>
        <v>0.34488836872573331</v>
      </c>
      <c r="E85" s="215">
        <f>'Construction Trucks'!W152</f>
        <v>1.6858238756283252E-3</v>
      </c>
      <c r="F85" s="215">
        <f>'Construction Trucks'!X152+'Construction Trucks'!Z152</f>
        <v>0.10168050089239508</v>
      </c>
      <c r="G85" s="215">
        <f>'Construction Trucks'!Y152+'Construction Trucks'!AA152</f>
        <v>6.4434151696331141E-2</v>
      </c>
      <c r="H85" s="215">
        <f>'Construction Trucks'!AB152</f>
        <v>156.03562846031704</v>
      </c>
      <c r="I85" s="215">
        <f>'Construction Trucks'!AC152</f>
        <v>8.9163439171078968E-3</v>
      </c>
      <c r="J85" s="215">
        <f>'Construction Trucks'!AD152</f>
        <v>3.9970086586394813E-3</v>
      </c>
      <c r="K85" s="215">
        <f>'Construction Trucks'!AH152</f>
        <v>4.3592137570261247E-3</v>
      </c>
      <c r="L85" s="215">
        <f>'Construction Trucks'!AF152</f>
        <v>2.2347355437831042E-2</v>
      </c>
      <c r="M85" s="215">
        <f>'Construction Trucks'!AG152</f>
        <v>2.2762632335898397E-2</v>
      </c>
      <c r="N85" s="215">
        <f>'Construction Trucks'!AI152</f>
        <v>1.1126437579146946E-4</v>
      </c>
      <c r="O85" s="215">
        <f>'Construction Trucks'!AJ152+'Construction Trucks'!AL152</f>
        <v>6.7109130588980754E-3</v>
      </c>
      <c r="P85" s="215">
        <f>'Construction Trucks'!AK152+'Construction Trucks'!AM152</f>
        <v>4.2526540119578555E-3</v>
      </c>
      <c r="Q85" s="214">
        <f>'Construction Trucks'!AN152</f>
        <v>10.298351478380924</v>
      </c>
      <c r="R85" s="215">
        <f>'Construction Trucks'!AO152</f>
        <v>5.8847869852912118E-4</v>
      </c>
      <c r="S85" s="215">
        <f>'Construction Trucks'!AP152</f>
        <v>2.6380257147020573E-4</v>
      </c>
    </row>
    <row r="86" spans="1:19" x14ac:dyDescent="0.25">
      <c r="A86" s="12" t="s">
        <v>123</v>
      </c>
      <c r="B86" s="22">
        <f t="shared" ref="B86:S86" si="99">SUM(B83:B85)</f>
        <v>0.8597936868689946</v>
      </c>
      <c r="C86" s="22">
        <f t="shared" si="99"/>
        <v>7.1676274686926735</v>
      </c>
      <c r="D86" s="22">
        <f t="shared" si="99"/>
        <v>2.1354546807659056</v>
      </c>
      <c r="E86" s="22">
        <f t="shared" si="99"/>
        <v>1.3410562914255688E-2</v>
      </c>
      <c r="F86" s="22">
        <f t="shared" si="99"/>
        <v>0.33130669348174058</v>
      </c>
      <c r="G86" s="22">
        <f t="shared" si="99"/>
        <v>0.16309706503132732</v>
      </c>
      <c r="H86" s="22">
        <f t="shared" si="99"/>
        <v>1111.5056994356567</v>
      </c>
      <c r="I86" s="22">
        <f t="shared" si="99"/>
        <v>6.3801893253731395E-2</v>
      </c>
      <c r="J86" s="22">
        <f t="shared" si="99"/>
        <v>0.18505452193609165</v>
      </c>
      <c r="K86" s="22">
        <f t="shared" si="99"/>
        <v>0.21865797554941838</v>
      </c>
      <c r="L86" s="22">
        <f t="shared" si="99"/>
        <v>8.7213977681943361E-2</v>
      </c>
      <c r="M86" s="22">
        <f t="shared" si="99"/>
        <v>0.12451425044167566</v>
      </c>
      <c r="N86" s="22">
        <f t="shared" si="99"/>
        <v>6.2185953826208193E-4</v>
      </c>
      <c r="O86" s="22">
        <f t="shared" si="99"/>
        <v>1.5671370283437971E-2</v>
      </c>
      <c r="P86" s="22">
        <f t="shared" si="99"/>
        <v>8.7392158055041615E-3</v>
      </c>
      <c r="Q86" s="22">
        <f t="shared" si="99"/>
        <v>52.820858091268676</v>
      </c>
      <c r="R86" s="22">
        <f t="shared" si="99"/>
        <v>3.0599858298769036E-3</v>
      </c>
      <c r="S86" s="22">
        <f t="shared" si="99"/>
        <v>1.0118657033066594E-2</v>
      </c>
    </row>
    <row r="87" spans="1:19" x14ac:dyDescent="0.25">
      <c r="A87" s="137" t="s">
        <v>124</v>
      </c>
      <c r="B87" s="216">
        <v>75</v>
      </c>
      <c r="C87" s="216">
        <v>550</v>
      </c>
      <c r="D87" s="216">
        <v>100</v>
      </c>
      <c r="E87" s="216">
        <v>150</v>
      </c>
      <c r="F87" s="216">
        <v>150</v>
      </c>
      <c r="G87" s="216">
        <v>55</v>
      </c>
      <c r="H87" s="216" t="s">
        <v>126</v>
      </c>
      <c r="I87" s="216" t="s">
        <v>126</v>
      </c>
      <c r="J87" s="216" t="s">
        <v>126</v>
      </c>
      <c r="K87" s="213"/>
      <c r="L87" s="213"/>
      <c r="M87" s="213"/>
      <c r="N87" s="213"/>
      <c r="O87" s="213"/>
      <c r="P87" s="213"/>
      <c r="Q87" s="214"/>
      <c r="R87" s="213"/>
      <c r="S87" s="213"/>
    </row>
    <row r="88" spans="1:19" x14ac:dyDescent="0.25">
      <c r="A88" s="137" t="s">
        <v>125</v>
      </c>
      <c r="B88" s="27" t="str">
        <f>IF(B86&gt;B87,"Yes","No")</f>
        <v>No</v>
      </c>
      <c r="C88" s="27" t="str">
        <f t="shared" ref="C88" si="100">IF(C86&gt;C87,"Yes","No")</f>
        <v>No</v>
      </c>
      <c r="D88" s="27" t="str">
        <f t="shared" ref="D88" si="101">IF(D86&gt;D87,"Yes","No")</f>
        <v>No</v>
      </c>
      <c r="E88" s="27" t="str">
        <f t="shared" ref="E88" si="102">IF(E86&gt;E87,"Yes","No")</f>
        <v>No</v>
      </c>
      <c r="F88" s="27" t="str">
        <f t="shared" ref="F88" si="103">IF(F86&gt;F87,"Yes","No")</f>
        <v>No</v>
      </c>
      <c r="G88" s="27" t="str">
        <f t="shared" ref="G88" si="104">IF(G86&gt;G87,"Yes","No")</f>
        <v>No</v>
      </c>
      <c r="H88" s="27" t="s">
        <v>126</v>
      </c>
      <c r="I88" s="27" t="s">
        <v>126</v>
      </c>
      <c r="J88" s="27" t="s">
        <v>126</v>
      </c>
      <c r="K88" s="213"/>
      <c r="L88" s="213"/>
      <c r="M88" s="213"/>
      <c r="N88" s="213"/>
      <c r="O88" s="213"/>
      <c r="P88" s="213"/>
      <c r="Q88" s="214"/>
      <c r="R88" s="213"/>
      <c r="S88" s="213"/>
    </row>
    <row r="90" spans="1:19" x14ac:dyDescent="0.25">
      <c r="J90" s="105"/>
    </row>
    <row r="91" spans="1:19" ht="39.6" x14ac:dyDescent="0.25">
      <c r="A91" s="12" t="str">
        <f>'Equipment Capistrano Sub 138kV'!A118</f>
        <v>Capistrano Substation Energization - Lower Yard</v>
      </c>
      <c r="B91" s="16" t="s">
        <v>18</v>
      </c>
      <c r="C91" s="16" t="s">
        <v>19</v>
      </c>
      <c r="D91" s="16" t="s">
        <v>20</v>
      </c>
      <c r="E91" s="16" t="s">
        <v>21</v>
      </c>
      <c r="F91" s="16" t="s">
        <v>22</v>
      </c>
      <c r="G91" s="16" t="s">
        <v>23</v>
      </c>
      <c r="H91" s="17" t="s">
        <v>24</v>
      </c>
      <c r="I91" s="16" t="s">
        <v>25</v>
      </c>
      <c r="J91" s="16" t="s">
        <v>26</v>
      </c>
      <c r="K91" s="18" t="s">
        <v>27</v>
      </c>
      <c r="L91" s="18" t="s">
        <v>28</v>
      </c>
      <c r="M91" s="18" t="s">
        <v>29</v>
      </c>
      <c r="N91" s="18" t="s">
        <v>30</v>
      </c>
      <c r="O91" s="18" t="s">
        <v>31</v>
      </c>
      <c r="P91" s="18" t="s">
        <v>32</v>
      </c>
      <c r="Q91" s="17" t="s">
        <v>33</v>
      </c>
      <c r="R91" s="18" t="s">
        <v>34</v>
      </c>
      <c r="S91" s="18" t="s">
        <v>35</v>
      </c>
    </row>
    <row r="92" spans="1:19" x14ac:dyDescent="0.25">
      <c r="A92" s="137" t="s">
        <v>75</v>
      </c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4"/>
      <c r="R92" s="213"/>
      <c r="S92" s="213"/>
    </row>
    <row r="93" spans="1:19" x14ac:dyDescent="0.25">
      <c r="A93" s="137" t="s">
        <v>119</v>
      </c>
      <c r="B93" s="215">
        <f>'Equipment Capistrano Sub 138kV'!Q59</f>
        <v>0.37122799470982615</v>
      </c>
      <c r="C93" s="215">
        <f>'Equipment Capistrano Sub 138kV'!R59</f>
        <v>1.4127145927863471</v>
      </c>
      <c r="D93" s="215">
        <f>'Equipment Capistrano Sub 138kV'!S59</f>
        <v>2.4752513706159287</v>
      </c>
      <c r="E93" s="215">
        <f>'Equipment Capistrano Sub 138kV'!T59</f>
        <v>7.4956832846005692E-3</v>
      </c>
      <c r="F93" s="215">
        <f>'Equipment Capistrano Sub 138kV'!U59</f>
        <v>8.3805628429787699E-2</v>
      </c>
      <c r="G93" s="215">
        <f>'Equipment Capistrano Sub 138kV'!V59</f>
        <v>7.4587009302511054E-2</v>
      </c>
      <c r="H93" s="215">
        <f>'Equipment Capistrano Sub 138kV'!W59</f>
        <v>666.18147095160907</v>
      </c>
      <c r="I93" s="215">
        <f>'Equipment Capistrano Sub 138kV'!X59</f>
        <v>4.0017212317527702E-2</v>
      </c>
      <c r="J93" s="215">
        <f>'Equipment Capistrano Sub 138kV'!Y59</f>
        <v>0.23514888020851324</v>
      </c>
      <c r="K93" s="213">
        <f>'Equipment Capistrano Sub 138kV'!E121</f>
        <v>4.0835079418080874E-3</v>
      </c>
      <c r="L93" s="213">
        <f>'Equipment Capistrano Sub 138kV'!F121</f>
        <v>1.5539860520649819E-2</v>
      </c>
      <c r="M93" s="213">
        <f>'Equipment Capistrano Sub 138kV'!G121</f>
        <v>2.7227765076775216E-2</v>
      </c>
      <c r="N93" s="213">
        <f>'Equipment Capistrano Sub 138kV'!H121</f>
        <v>8.2452516130606261E-5</v>
      </c>
      <c r="O93" s="213">
        <f>'Equipment Capistrano Sub 138kV'!I121</f>
        <v>9.2186191272766466E-4</v>
      </c>
      <c r="P93" s="213">
        <f>'Equipment Capistrano Sub 138kV'!J121</f>
        <v>8.2045710232762155E-4</v>
      </c>
      <c r="Q93" s="213">
        <f>'Equipment Capistrano Sub 138kV'!K121</f>
        <v>7.3279961804676992</v>
      </c>
      <c r="R93" s="213">
        <f>'Equipment Capistrano Sub 138kV'!L121</f>
        <v>4.4018933549280472E-4</v>
      </c>
      <c r="S93" s="213">
        <f>'Equipment Capistrano Sub 138kV'!M121</f>
        <v>2.5866376822936458E-3</v>
      </c>
    </row>
    <row r="94" spans="1:19" x14ac:dyDescent="0.25">
      <c r="A94" s="137" t="s">
        <v>120</v>
      </c>
      <c r="B94" s="215">
        <f>WorkerTrips!I135</f>
        <v>0.60813099622580691</v>
      </c>
      <c r="C94" s="215">
        <f>WorkerTrips!G135</f>
        <v>6.1226738777869087</v>
      </c>
      <c r="D94" s="215">
        <f>WorkerTrips!H135</f>
        <v>0.55294062673220823</v>
      </c>
      <c r="E94" s="215">
        <f>WorkerTrips!J135</f>
        <v>7.9768973963270789E-3</v>
      </c>
      <c r="F94" s="215">
        <f>WorkerTrips!K135+WorkerTrips!M135</f>
        <v>0.1877233783744516</v>
      </c>
      <c r="G94" s="215">
        <f>WorkerTrips!L135+WorkerTrips!N135</f>
        <v>6.1369408683740648E-2</v>
      </c>
      <c r="H94" s="215">
        <f>WorkerTrips!O135</f>
        <v>622.37933549953505</v>
      </c>
      <c r="I94" s="215">
        <f>WorkerTrips!P135</f>
        <v>3.4876943177859644E-2</v>
      </c>
      <c r="J94" s="215">
        <f>WorkerTrips!Q135</f>
        <v>6.3483073173195556E-2</v>
      </c>
      <c r="K94" s="215">
        <f>WorkerTrips!S135</f>
        <v>0.20204823796696797</v>
      </c>
      <c r="L94" s="215">
        <f>WorkerTrips!T135</f>
        <v>1.824704068216287E-2</v>
      </c>
      <c r="M94" s="215">
        <f>WorkerTrips!U135</f>
        <v>2.0068322875451627E-2</v>
      </c>
      <c r="N94" s="215">
        <f>WorkerTrips!V135</f>
        <v>2.6323761407879361E-4</v>
      </c>
      <c r="O94" s="215">
        <f>WorkerTrips!W135+WorkerTrips!Y135</f>
        <v>6.194871486356902E-3</v>
      </c>
      <c r="P94" s="215">
        <f>WorkerTrips!X135+WorkerTrips!Z135</f>
        <v>2.0251904865634415E-3</v>
      </c>
      <c r="Q94" s="214">
        <f>WorkerTrips!AA135</f>
        <v>20.538518071484656</v>
      </c>
      <c r="R94" s="215">
        <f>WorkerTrips!AB135</f>
        <v>1.1509391248693682E-3</v>
      </c>
      <c r="S94" s="215">
        <f>WorkerTrips!AC135</f>
        <v>2.0949414147154533E-3</v>
      </c>
    </row>
    <row r="95" spans="1:19" x14ac:dyDescent="0.25">
      <c r="A95" s="137" t="s">
        <v>121</v>
      </c>
      <c r="B95" s="215">
        <f>'Construction Trucks'!V156</f>
        <v>6.6048693288274618E-2</v>
      </c>
      <c r="C95" s="215">
        <f>'Construction Trucks'!T156</f>
        <v>0.33859629451259154</v>
      </c>
      <c r="D95" s="215">
        <f>'Construction Trucks'!U156</f>
        <v>0.34488836872573331</v>
      </c>
      <c r="E95" s="215">
        <f>'Construction Trucks'!W156</f>
        <v>1.6858238756283252E-3</v>
      </c>
      <c r="F95" s="215">
        <f>'Construction Trucks'!X156+'Construction Trucks'!Z156</f>
        <v>0.10168050089239508</v>
      </c>
      <c r="G95" s="215">
        <f>'Construction Trucks'!Y156+'Construction Trucks'!AA156</f>
        <v>6.4434151696331141E-2</v>
      </c>
      <c r="H95" s="215">
        <f>'Construction Trucks'!AB156</f>
        <v>156.03562846031704</v>
      </c>
      <c r="I95" s="215">
        <f>'Construction Trucks'!AC156</f>
        <v>8.9163439171078968E-3</v>
      </c>
      <c r="J95" s="215">
        <f>'Construction Trucks'!AD156</f>
        <v>3.9970086586394813E-3</v>
      </c>
      <c r="K95" s="215">
        <f>'Construction Trucks'!AH156</f>
        <v>7.2653562617102079E-4</v>
      </c>
      <c r="L95" s="215">
        <f>'Construction Trucks'!AF156</f>
        <v>3.7245592396385071E-3</v>
      </c>
      <c r="M95" s="215">
        <f>'Construction Trucks'!AG156</f>
        <v>3.7937720559830662E-3</v>
      </c>
      <c r="N95" s="215">
        <f>'Construction Trucks'!AI156</f>
        <v>1.854406263191158E-5</v>
      </c>
      <c r="O95" s="215">
        <f>'Construction Trucks'!AJ156+'Construction Trucks'!AL156</f>
        <v>1.1184855098163458E-3</v>
      </c>
      <c r="P95" s="215">
        <f>'Construction Trucks'!AK156+'Construction Trucks'!AM156</f>
        <v>7.0877566865964244E-4</v>
      </c>
      <c r="Q95" s="214">
        <f>'Construction Trucks'!AN156</f>
        <v>1.7163919130634875</v>
      </c>
      <c r="R95" s="215">
        <f>'Construction Trucks'!AO156</f>
        <v>9.8079783088186859E-5</v>
      </c>
      <c r="S95" s="215">
        <f>'Construction Trucks'!AP156</f>
        <v>4.3967095245034293E-5</v>
      </c>
    </row>
    <row r="96" spans="1:19" x14ac:dyDescent="0.25">
      <c r="A96" s="12" t="s">
        <v>123</v>
      </c>
      <c r="B96" s="22">
        <f t="shared" ref="B96:S96" si="105">SUM(B93:B95)</f>
        <v>1.0454076842239077</v>
      </c>
      <c r="C96" s="22">
        <f t="shared" si="105"/>
        <v>7.8739847650858472</v>
      </c>
      <c r="D96" s="22">
        <f t="shared" si="105"/>
        <v>3.3730803660738702</v>
      </c>
      <c r="E96" s="22">
        <f t="shared" si="105"/>
        <v>1.7158404556555974E-2</v>
      </c>
      <c r="F96" s="22">
        <f t="shared" si="105"/>
        <v>0.37320950769663441</v>
      </c>
      <c r="G96" s="22">
        <f t="shared" si="105"/>
        <v>0.20039056968258284</v>
      </c>
      <c r="H96" s="22">
        <f t="shared" si="105"/>
        <v>1444.5964349114611</v>
      </c>
      <c r="I96" s="22">
        <f t="shared" si="105"/>
        <v>8.3810499412495243E-2</v>
      </c>
      <c r="J96" s="22">
        <f t="shared" si="105"/>
        <v>0.30262896204034828</v>
      </c>
      <c r="K96" s="22">
        <f t="shared" si="105"/>
        <v>0.20685828153494709</v>
      </c>
      <c r="L96" s="22">
        <f t="shared" si="105"/>
        <v>3.7511460442451197E-2</v>
      </c>
      <c r="M96" s="22">
        <f t="shared" si="105"/>
        <v>5.1089860008209906E-2</v>
      </c>
      <c r="N96" s="22">
        <f t="shared" si="105"/>
        <v>3.6423419284131145E-4</v>
      </c>
      <c r="O96" s="22">
        <f t="shared" si="105"/>
        <v>8.2352189089009119E-3</v>
      </c>
      <c r="P96" s="22">
        <f t="shared" si="105"/>
        <v>3.5544232575507057E-3</v>
      </c>
      <c r="Q96" s="22">
        <f t="shared" si="105"/>
        <v>29.582906165015842</v>
      </c>
      <c r="R96" s="22">
        <f t="shared" si="105"/>
        <v>1.6892082434503597E-3</v>
      </c>
      <c r="S96" s="22">
        <f t="shared" si="105"/>
        <v>4.7255461922541325E-3</v>
      </c>
    </row>
    <row r="97" spans="1:19" x14ac:dyDescent="0.25">
      <c r="A97" s="137" t="s">
        <v>124</v>
      </c>
      <c r="B97" s="216">
        <v>75</v>
      </c>
      <c r="C97" s="216">
        <v>550</v>
      </c>
      <c r="D97" s="216">
        <v>100</v>
      </c>
      <c r="E97" s="216">
        <v>150</v>
      </c>
      <c r="F97" s="216">
        <v>150</v>
      </c>
      <c r="G97" s="216">
        <v>55</v>
      </c>
      <c r="H97" s="216" t="s">
        <v>126</v>
      </c>
      <c r="I97" s="216" t="s">
        <v>126</v>
      </c>
      <c r="J97" s="216" t="s">
        <v>126</v>
      </c>
      <c r="K97" s="213"/>
      <c r="L97" s="213"/>
      <c r="M97" s="213"/>
      <c r="N97" s="213"/>
      <c r="O97" s="213"/>
      <c r="P97" s="213"/>
      <c r="Q97" s="214"/>
      <c r="R97" s="213"/>
      <c r="S97" s="213"/>
    </row>
    <row r="98" spans="1:19" x14ac:dyDescent="0.25">
      <c r="A98" s="137" t="s">
        <v>125</v>
      </c>
      <c r="B98" s="27" t="str">
        <f>IF(B96&gt;B97,"Yes","No")</f>
        <v>No</v>
      </c>
      <c r="C98" s="27" t="str">
        <f t="shared" ref="C98" si="106">IF(C96&gt;C97,"Yes","No")</f>
        <v>No</v>
      </c>
      <c r="D98" s="27" t="str">
        <f t="shared" ref="D98" si="107">IF(D96&gt;D97,"Yes","No")</f>
        <v>No</v>
      </c>
      <c r="E98" s="27" t="str">
        <f t="shared" ref="E98" si="108">IF(E96&gt;E97,"Yes","No")</f>
        <v>No</v>
      </c>
      <c r="F98" s="27" t="str">
        <f t="shared" ref="F98" si="109">IF(F96&gt;F97,"Yes","No")</f>
        <v>No</v>
      </c>
      <c r="G98" s="27" t="str">
        <f t="shared" ref="G98" si="110">IF(G96&gt;G97,"Yes","No")</f>
        <v>No</v>
      </c>
      <c r="H98" s="27" t="s">
        <v>126</v>
      </c>
      <c r="I98" s="27" t="s">
        <v>126</v>
      </c>
      <c r="J98" s="27" t="s">
        <v>126</v>
      </c>
      <c r="K98" s="213"/>
      <c r="L98" s="213"/>
      <c r="M98" s="213"/>
      <c r="N98" s="213"/>
      <c r="O98" s="213"/>
      <c r="P98" s="213"/>
      <c r="Q98" s="214"/>
      <c r="R98" s="213"/>
      <c r="S98" s="213"/>
    </row>
    <row r="99" spans="1:19" x14ac:dyDescent="0.25">
      <c r="A99" s="119"/>
      <c r="B99" s="97"/>
      <c r="C99" s="97"/>
      <c r="D99" s="97"/>
      <c r="E99" s="97"/>
      <c r="F99" s="97"/>
      <c r="G99" s="97"/>
      <c r="H99" s="97"/>
      <c r="I99" s="97"/>
      <c r="J99" s="107"/>
    </row>
    <row r="100" spans="1:19" x14ac:dyDescent="0.25">
      <c r="J100" s="105"/>
    </row>
    <row r="101" spans="1:19" ht="39.6" x14ac:dyDescent="0.25">
      <c r="A101" s="12" t="str">
        <f>'Equipment Capistrano Sub 138kV'!A123</f>
        <v>Capistrano Substation Energize Temporary TL 13835 - Lower Yard</v>
      </c>
      <c r="B101" s="16" t="s">
        <v>18</v>
      </c>
      <c r="C101" s="16" t="s">
        <v>19</v>
      </c>
      <c r="D101" s="16" t="s">
        <v>20</v>
      </c>
      <c r="E101" s="16" t="s">
        <v>21</v>
      </c>
      <c r="F101" s="16" t="s">
        <v>22</v>
      </c>
      <c r="G101" s="16" t="s">
        <v>23</v>
      </c>
      <c r="H101" s="17" t="s">
        <v>24</v>
      </c>
      <c r="I101" s="16" t="s">
        <v>25</v>
      </c>
      <c r="J101" s="16" t="s">
        <v>26</v>
      </c>
      <c r="K101" s="18" t="s">
        <v>27</v>
      </c>
      <c r="L101" s="18" t="s">
        <v>28</v>
      </c>
      <c r="M101" s="18" t="s">
        <v>29</v>
      </c>
      <c r="N101" s="18" t="s">
        <v>30</v>
      </c>
      <c r="O101" s="18" t="s">
        <v>31</v>
      </c>
      <c r="P101" s="18" t="s">
        <v>32</v>
      </c>
      <c r="Q101" s="17" t="s">
        <v>33</v>
      </c>
      <c r="R101" s="18" t="s">
        <v>34</v>
      </c>
      <c r="S101" s="18" t="s">
        <v>35</v>
      </c>
    </row>
    <row r="102" spans="1:19" x14ac:dyDescent="0.25">
      <c r="A102" s="137" t="s">
        <v>75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4"/>
      <c r="R102" s="213"/>
      <c r="S102" s="213"/>
    </row>
    <row r="103" spans="1:19" x14ac:dyDescent="0.25">
      <c r="A103" s="137" t="s">
        <v>119</v>
      </c>
      <c r="B103" s="215">
        <f>'Equipment Capistrano Sub 138kV'!Q65</f>
        <v>0.86553127450805745</v>
      </c>
      <c r="C103" s="215">
        <f>'Equipment Capistrano Sub 138kV'!R65</f>
        <v>5.0098732089555575</v>
      </c>
      <c r="D103" s="215">
        <f>'Equipment Capistrano Sub 138kV'!S65</f>
        <v>6.0918252476772849</v>
      </c>
      <c r="E103" s="215">
        <f>'Equipment Capistrano Sub 138kV'!T65</f>
        <v>1.4641313855676096E-2</v>
      </c>
      <c r="F103" s="215">
        <f>'Equipment Capistrano Sub 138kV'!U65</f>
        <v>0.33420915266093942</v>
      </c>
      <c r="G103" s="215">
        <f>'Equipment Capistrano Sub 138kV'!V65</f>
        <v>0.29744614586823603</v>
      </c>
      <c r="H103" s="215">
        <f>'Equipment Capistrano Sub 138kV'!W65</f>
        <v>1275.3305882204741</v>
      </c>
      <c r="I103" s="215">
        <f>'Equipment Capistrano Sub 138kV'!X65</f>
        <v>9.3177557833701491E-2</v>
      </c>
      <c r="J103" s="215">
        <f>'Equipment Capistrano Sub 138kV'!Y65</f>
        <v>0.57872339852934207</v>
      </c>
      <c r="K103" s="213">
        <f>'Equipment Capistrano Sub 138kV'!E127</f>
        <v>9.5208440195886316E-3</v>
      </c>
      <c r="L103" s="213">
        <f>'Equipment Capistrano Sub 138kV'!F127</f>
        <v>5.5108605298511137E-2</v>
      </c>
      <c r="M103" s="213">
        <f>'Equipment Capistrano Sub 138kV'!G127</f>
        <v>6.701007772445014E-2</v>
      </c>
      <c r="N103" s="213">
        <f>'Equipment Capistrano Sub 138kV'!H127</f>
        <v>1.6105445241243704E-4</v>
      </c>
      <c r="O103" s="213">
        <f>'Equipment Capistrano Sub 138kV'!I127</f>
        <v>3.6763006792703335E-3</v>
      </c>
      <c r="P103" s="213">
        <f>'Equipment Capistrano Sub 138kV'!J127</f>
        <v>3.2719076045505963E-3</v>
      </c>
      <c r="Q103" s="213">
        <f>'Equipment Capistrano Sub 138kV'!K127</f>
        <v>14.028636470425212</v>
      </c>
      <c r="R103" s="213">
        <f>'Equipment Capistrano Sub 138kV'!L127</f>
        <v>1.0249531361707165E-3</v>
      </c>
      <c r="S103" s="213">
        <f>'Equipment Capistrano Sub 138kV'!M127</f>
        <v>6.3659573838227637E-3</v>
      </c>
    </row>
    <row r="104" spans="1:19" x14ac:dyDescent="0.25">
      <c r="A104" s="137" t="s">
        <v>120</v>
      </c>
      <c r="B104" s="215">
        <f>WorkerTrips!I135</f>
        <v>0.60813099622580691</v>
      </c>
      <c r="C104" s="215">
        <f>WorkerTrips!G135</f>
        <v>6.1226738777869087</v>
      </c>
      <c r="D104" s="215">
        <f>WorkerTrips!H135</f>
        <v>0.55294062673220823</v>
      </c>
      <c r="E104" s="215">
        <f>WorkerTrips!J135</f>
        <v>7.9768973963270789E-3</v>
      </c>
      <c r="F104" s="215">
        <f>WorkerTrips!K135+WorkerTrips!M135</f>
        <v>0.1877233783744516</v>
      </c>
      <c r="G104" s="215">
        <f>WorkerTrips!L135+WorkerTrips!N135</f>
        <v>6.1369408683740648E-2</v>
      </c>
      <c r="H104" s="215">
        <f>WorkerTrips!O135</f>
        <v>622.37933549953505</v>
      </c>
      <c r="I104" s="215">
        <f>WorkerTrips!P135</f>
        <v>3.4876943177859644E-2</v>
      </c>
      <c r="J104" s="215">
        <f>WorkerTrips!Q135</f>
        <v>6.3483073173195556E-2</v>
      </c>
      <c r="K104" s="215">
        <f>WorkerTrips!S135</f>
        <v>0.20204823796696797</v>
      </c>
      <c r="L104" s="215">
        <f>WorkerTrips!T135</f>
        <v>1.824704068216287E-2</v>
      </c>
      <c r="M104" s="215">
        <f>WorkerTrips!U135</f>
        <v>2.0068322875451627E-2</v>
      </c>
      <c r="N104" s="215">
        <f>WorkerTrips!V135</f>
        <v>2.6323761407879361E-4</v>
      </c>
      <c r="O104" s="215">
        <f>WorkerTrips!W135+WorkerTrips!Y135</f>
        <v>6.194871486356902E-3</v>
      </c>
      <c r="P104" s="215">
        <f>WorkerTrips!X135+WorkerTrips!Z135</f>
        <v>2.0251904865634415E-3</v>
      </c>
      <c r="Q104" s="214">
        <f>WorkerTrips!AA135</f>
        <v>20.538518071484656</v>
      </c>
      <c r="R104" s="215">
        <f>WorkerTrips!AB135</f>
        <v>1.1509391248693682E-3</v>
      </c>
      <c r="S104" s="215">
        <f>WorkerTrips!AC135</f>
        <v>2.0949414147154533E-3</v>
      </c>
    </row>
    <row r="105" spans="1:19" x14ac:dyDescent="0.25">
      <c r="A105" s="137" t="s">
        <v>121</v>
      </c>
      <c r="B105" s="215">
        <f>'Construction Trucks'!V160</f>
        <v>6.6048693288274618E-2</v>
      </c>
      <c r="C105" s="215">
        <f>'Construction Trucks'!T160</f>
        <v>0.33859629451259154</v>
      </c>
      <c r="D105" s="215">
        <f>'Construction Trucks'!U160</f>
        <v>0.34488836872573331</v>
      </c>
      <c r="E105" s="215">
        <f>'Construction Trucks'!W160</f>
        <v>1.6858238756283252E-3</v>
      </c>
      <c r="F105" s="215">
        <f>'Construction Trucks'!X160+'Construction Trucks'!Z160</f>
        <v>0.10168050089239508</v>
      </c>
      <c r="G105" s="215">
        <f>'Construction Trucks'!Y160+'Construction Trucks'!AA160</f>
        <v>6.4434151696331141E-2</v>
      </c>
      <c r="H105" s="215">
        <f>'Construction Trucks'!AB160</f>
        <v>156.03562846031704</v>
      </c>
      <c r="I105" s="215">
        <f>'Construction Trucks'!AC160</f>
        <v>8.9163439171078968E-3</v>
      </c>
      <c r="J105" s="215">
        <f>'Construction Trucks'!AD160</f>
        <v>3.9970086586394813E-3</v>
      </c>
      <c r="K105" s="215">
        <f>'Construction Trucks'!AH160</f>
        <v>7.2653562617102079E-4</v>
      </c>
      <c r="L105" s="215">
        <f>'Construction Trucks'!AF160</f>
        <v>3.7245592396385071E-3</v>
      </c>
      <c r="M105" s="215">
        <f>'Construction Trucks'!AG160</f>
        <v>3.7937720559830662E-3</v>
      </c>
      <c r="N105" s="215">
        <f>'Construction Trucks'!AI160</f>
        <v>1.854406263191158E-5</v>
      </c>
      <c r="O105" s="215">
        <f>'Construction Trucks'!AJ160+'Construction Trucks'!AL160</f>
        <v>1.1184855098163458E-3</v>
      </c>
      <c r="P105" s="215">
        <f>'Construction Trucks'!AK160+'Construction Trucks'!AM160</f>
        <v>7.0877566865964244E-4</v>
      </c>
      <c r="Q105" s="214">
        <f>'Construction Trucks'!AN160</f>
        <v>1.7163919130634875</v>
      </c>
      <c r="R105" s="215">
        <f>'Construction Trucks'!AO160</f>
        <v>9.8079783088186859E-5</v>
      </c>
      <c r="S105" s="215">
        <f>'Construction Trucks'!AP160</f>
        <v>4.3967095245034293E-5</v>
      </c>
    </row>
    <row r="106" spans="1:19" x14ac:dyDescent="0.25">
      <c r="A106" s="12" t="s">
        <v>123</v>
      </c>
      <c r="B106" s="22">
        <f t="shared" ref="B106:S106" si="111">SUM(B103:B105)</f>
        <v>1.5397109640221389</v>
      </c>
      <c r="C106" s="22">
        <f t="shared" si="111"/>
        <v>11.471143381255057</v>
      </c>
      <c r="D106" s="22">
        <f t="shared" si="111"/>
        <v>6.9896542431352264</v>
      </c>
      <c r="E106" s="22">
        <f t="shared" si="111"/>
        <v>2.4304035127631501E-2</v>
      </c>
      <c r="F106" s="22">
        <f t="shared" si="111"/>
        <v>0.62361303192778617</v>
      </c>
      <c r="G106" s="22">
        <f t="shared" si="111"/>
        <v>0.42324970624830782</v>
      </c>
      <c r="H106" s="22">
        <f t="shared" si="111"/>
        <v>2053.7455521803263</v>
      </c>
      <c r="I106" s="22">
        <f t="shared" si="111"/>
        <v>0.13697084492866901</v>
      </c>
      <c r="J106" s="22">
        <f t="shared" si="111"/>
        <v>0.64620348036117714</v>
      </c>
      <c r="K106" s="22">
        <f t="shared" si="111"/>
        <v>0.21229561761272764</v>
      </c>
      <c r="L106" s="22">
        <f t="shared" si="111"/>
        <v>7.7080205220312517E-2</v>
      </c>
      <c r="M106" s="22">
        <f t="shared" si="111"/>
        <v>9.0872172655884834E-2</v>
      </c>
      <c r="N106" s="22">
        <f t="shared" si="111"/>
        <v>4.4283612912314225E-4</v>
      </c>
      <c r="O106" s="22">
        <f t="shared" si="111"/>
        <v>1.0989657675443581E-2</v>
      </c>
      <c r="P106" s="22">
        <f t="shared" si="111"/>
        <v>6.0058737597736807E-3</v>
      </c>
      <c r="Q106" s="22">
        <f t="shared" si="111"/>
        <v>36.283546454973362</v>
      </c>
      <c r="R106" s="22">
        <f t="shared" si="111"/>
        <v>2.2739720441282718E-3</v>
      </c>
      <c r="S106" s="22">
        <f t="shared" si="111"/>
        <v>8.5048658937832509E-3</v>
      </c>
    </row>
    <row r="107" spans="1:19" x14ac:dyDescent="0.25">
      <c r="A107" s="137" t="s">
        <v>124</v>
      </c>
      <c r="B107" s="216">
        <v>75</v>
      </c>
      <c r="C107" s="216">
        <v>550</v>
      </c>
      <c r="D107" s="216">
        <v>100</v>
      </c>
      <c r="E107" s="216">
        <v>150</v>
      </c>
      <c r="F107" s="216">
        <v>150</v>
      </c>
      <c r="G107" s="216">
        <v>55</v>
      </c>
      <c r="H107" s="216" t="s">
        <v>126</v>
      </c>
      <c r="I107" s="216" t="s">
        <v>126</v>
      </c>
      <c r="J107" s="216" t="s">
        <v>126</v>
      </c>
      <c r="K107" s="213"/>
      <c r="L107" s="213"/>
      <c r="M107" s="213"/>
      <c r="N107" s="213"/>
      <c r="O107" s="213"/>
      <c r="P107" s="213"/>
      <c r="Q107" s="214"/>
      <c r="R107" s="213"/>
      <c r="S107" s="213"/>
    </row>
    <row r="108" spans="1:19" x14ac:dyDescent="0.25">
      <c r="A108" s="137" t="s">
        <v>125</v>
      </c>
      <c r="B108" s="27" t="str">
        <f>IF(B106&gt;B107,"Yes","No")</f>
        <v>No</v>
      </c>
      <c r="C108" s="27" t="str">
        <f t="shared" ref="C108" si="112">IF(C106&gt;C107,"Yes","No")</f>
        <v>No</v>
      </c>
      <c r="D108" s="27" t="str">
        <f t="shared" ref="D108" si="113">IF(D106&gt;D107,"Yes","No")</f>
        <v>No</v>
      </c>
      <c r="E108" s="27" t="str">
        <f t="shared" ref="E108" si="114">IF(E106&gt;E107,"Yes","No")</f>
        <v>No</v>
      </c>
      <c r="F108" s="27" t="str">
        <f t="shared" ref="F108" si="115">IF(F106&gt;F107,"Yes","No")</f>
        <v>No</v>
      </c>
      <c r="G108" s="27" t="str">
        <f t="shared" ref="G108" si="116">IF(G106&gt;G107,"Yes","No")</f>
        <v>No</v>
      </c>
      <c r="H108" s="27" t="s">
        <v>126</v>
      </c>
      <c r="I108" s="27" t="s">
        <v>126</v>
      </c>
      <c r="J108" s="27" t="s">
        <v>126</v>
      </c>
      <c r="K108" s="213"/>
      <c r="L108" s="213"/>
      <c r="M108" s="213"/>
      <c r="N108" s="213"/>
      <c r="O108" s="213"/>
      <c r="P108" s="213"/>
      <c r="Q108" s="214"/>
      <c r="R108" s="213"/>
      <c r="S108" s="213"/>
    </row>
    <row r="110" spans="1:19" x14ac:dyDescent="0.25">
      <c r="J110" s="105"/>
    </row>
    <row r="111" spans="1:19" ht="39.6" x14ac:dyDescent="0.25">
      <c r="A111" s="12" t="str">
        <f>'Equipment Capistrano Sub 230kV'!A7</f>
        <v>Capistrano Substation Remove RFS 138/12kV Equipment - 230 kV</v>
      </c>
      <c r="B111" s="16" t="s">
        <v>18</v>
      </c>
      <c r="C111" s="16" t="s">
        <v>19</v>
      </c>
      <c r="D111" s="16" t="s">
        <v>20</v>
      </c>
      <c r="E111" s="16" t="s">
        <v>21</v>
      </c>
      <c r="F111" s="16" t="s">
        <v>22</v>
      </c>
      <c r="G111" s="16" t="s">
        <v>23</v>
      </c>
      <c r="H111" s="17" t="s">
        <v>24</v>
      </c>
      <c r="I111" s="16" t="s">
        <v>25</v>
      </c>
      <c r="J111" s="16" t="s">
        <v>26</v>
      </c>
      <c r="K111" s="18" t="s">
        <v>27</v>
      </c>
      <c r="L111" s="18" t="s">
        <v>28</v>
      </c>
      <c r="M111" s="18" t="s">
        <v>29</v>
      </c>
      <c r="N111" s="18" t="s">
        <v>30</v>
      </c>
      <c r="O111" s="18" t="s">
        <v>31</v>
      </c>
      <c r="P111" s="18" t="s">
        <v>32</v>
      </c>
      <c r="Q111" s="17" t="s">
        <v>33</v>
      </c>
      <c r="R111" s="18" t="s">
        <v>34</v>
      </c>
      <c r="S111" s="18" t="s">
        <v>35</v>
      </c>
    </row>
    <row r="112" spans="1:19" x14ac:dyDescent="0.25">
      <c r="A112" s="137" t="s">
        <v>75</v>
      </c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4"/>
      <c r="R112" s="213"/>
      <c r="S112" s="213"/>
    </row>
    <row r="113" spans="1:19" x14ac:dyDescent="0.25">
      <c r="A113" s="137" t="s">
        <v>119</v>
      </c>
      <c r="B113" s="215">
        <f>'Equipment Capistrano Sub 230kV'!Q12</f>
        <v>3.1198551138069055</v>
      </c>
      <c r="C113" s="215">
        <f>'Equipment Capistrano Sub 230kV'!R12</f>
        <v>13.81698066442824</v>
      </c>
      <c r="D113" s="215">
        <f>'Equipment Capistrano Sub 230kV'!S12</f>
        <v>21.481777599217232</v>
      </c>
      <c r="E113" s="215">
        <f>'Equipment Capistrano Sub 230kV'!T12</f>
        <v>5.697966247734812E-2</v>
      </c>
      <c r="F113" s="215">
        <f>'Equipment Capistrano Sub 230kV'!U12</f>
        <v>0.84061597520910247</v>
      </c>
      <c r="G113" s="215">
        <f>'Equipment Capistrano Sub 230kV'!V12</f>
        <v>0.74814821793610131</v>
      </c>
      <c r="H113" s="215">
        <f>'Equipment Capistrano Sub 230kV'!W12</f>
        <v>5228.5793996817429</v>
      </c>
      <c r="I113" s="215">
        <f>'Equipment Capistrano Sub 230kV'!X12</f>
        <v>0.33105301576223034</v>
      </c>
      <c r="J113" s="215">
        <f>'Equipment Capistrano Sub 230kV'!Y12</f>
        <v>2.0407688719256365</v>
      </c>
      <c r="K113" s="213">
        <f>'Equipment Capistrano Sub 230kV'!E75</f>
        <v>3.3639790882776126E-2</v>
      </c>
      <c r="L113" s="213">
        <f>'Equipment Capistrano Sub 230kV'!F75</f>
        <v>0.16179068706387809</v>
      </c>
      <c r="M113" s="213">
        <f>'Equipment Capistrano Sub 230kV'!G75</f>
        <v>0.23130603724801313</v>
      </c>
      <c r="N113" s="213">
        <f>'Equipment Capistrano Sub 230kV'!H75</f>
        <v>6.079466122689899E-4</v>
      </c>
      <c r="O113" s="213">
        <f>'Equipment Capistrano Sub 230kV'!I75</f>
        <v>1.004337355941703E-2</v>
      </c>
      <c r="P113" s="213">
        <f>'Equipment Capistrano Sub 230kV'!J75</f>
        <v>8.9386024678811578E-3</v>
      </c>
      <c r="Q113" s="213">
        <f>'Equipment Capistrano Sub 230kV'!K75</f>
        <v>54.615397475621037</v>
      </c>
      <c r="R113" s="213">
        <f>'Equipment Capistrano Sub 230kV'!L75</f>
        <v>3.579124201186929E-3</v>
      </c>
      <c r="S113" s="213">
        <f>'Equipment Capistrano Sub 230kV'!M75</f>
        <v>2.1974073538561244E-2</v>
      </c>
    </row>
    <row r="114" spans="1:19" x14ac:dyDescent="0.25">
      <c r="A114" s="137" t="s">
        <v>120</v>
      </c>
      <c r="B114" s="215">
        <f>WorkerTrips!I135</f>
        <v>0.60813099622580691</v>
      </c>
      <c r="C114" s="215">
        <f>WorkerTrips!G135</f>
        <v>6.1226738777869087</v>
      </c>
      <c r="D114" s="215">
        <f>WorkerTrips!H135</f>
        <v>0.55294062673220823</v>
      </c>
      <c r="E114" s="215">
        <f>WorkerTrips!J135</f>
        <v>7.9768973963270789E-3</v>
      </c>
      <c r="F114" s="215">
        <f>WorkerTrips!K135+WorkerTrips!M135</f>
        <v>0.1877233783744516</v>
      </c>
      <c r="G114" s="215">
        <f>WorkerTrips!L135+WorkerTrips!N135</f>
        <v>6.1369408683740648E-2</v>
      </c>
      <c r="H114" s="215">
        <f>WorkerTrips!O135</f>
        <v>622.37933549953505</v>
      </c>
      <c r="I114" s="215">
        <f>WorkerTrips!P135</f>
        <v>3.4876943177859644E-2</v>
      </c>
      <c r="J114" s="215">
        <f>WorkerTrips!Q135</f>
        <v>6.3483073173195556E-2</v>
      </c>
      <c r="K114" s="215">
        <f>WorkerTrips!S135</f>
        <v>0.20204823796696797</v>
      </c>
      <c r="L114" s="215">
        <f>WorkerTrips!T135</f>
        <v>1.824704068216287E-2</v>
      </c>
      <c r="M114" s="215">
        <f>WorkerTrips!U135</f>
        <v>2.0068322875451627E-2</v>
      </c>
      <c r="N114" s="215">
        <f>WorkerTrips!V135</f>
        <v>2.6323761407879361E-4</v>
      </c>
      <c r="O114" s="215">
        <f>WorkerTrips!W135+WorkerTrips!Y135</f>
        <v>6.194871486356902E-3</v>
      </c>
      <c r="P114" s="215">
        <f>WorkerTrips!X135+WorkerTrips!Z135</f>
        <v>2.0251904865634415E-3</v>
      </c>
      <c r="Q114" s="214">
        <f>WorkerTrips!AA135</f>
        <v>20.538518071484656</v>
      </c>
      <c r="R114" s="215">
        <f>WorkerTrips!AB135</f>
        <v>1.1509391248693682E-3</v>
      </c>
      <c r="S114" s="215">
        <f>WorkerTrips!AC135</f>
        <v>2.0949414147154533E-3</v>
      </c>
    </row>
    <row r="115" spans="1:19" x14ac:dyDescent="0.25">
      <c r="A115" s="137" t="s">
        <v>121</v>
      </c>
      <c r="B115" s="215">
        <f>'Construction Trucks'!V167</f>
        <v>0</v>
      </c>
      <c r="C115" s="215">
        <f>'Construction Trucks'!T167</f>
        <v>0</v>
      </c>
      <c r="D115" s="215">
        <f>'Construction Trucks'!U167</f>
        <v>0</v>
      </c>
      <c r="E115" s="215">
        <f>'Construction Trucks'!W167</f>
        <v>0</v>
      </c>
      <c r="F115" s="215">
        <f>'Construction Trucks'!X167+'Construction Trucks'!Z167</f>
        <v>0</v>
      </c>
      <c r="G115" s="215">
        <f>'Construction Trucks'!Y167+'Construction Trucks'!AA167</f>
        <v>0</v>
      </c>
      <c r="H115" s="215">
        <f>'Construction Trucks'!AB167</f>
        <v>0</v>
      </c>
      <c r="I115" s="215">
        <f>'Construction Trucks'!AC167</f>
        <v>0</v>
      </c>
      <c r="J115" s="215">
        <f>'Construction Trucks'!AD167</f>
        <v>0</v>
      </c>
      <c r="K115" s="215">
        <f>'Construction Trucks'!AH167</f>
        <v>0</v>
      </c>
      <c r="L115" s="215">
        <f>'Construction Trucks'!AF167</f>
        <v>0</v>
      </c>
      <c r="M115" s="215">
        <f>'Construction Trucks'!AG167</f>
        <v>0</v>
      </c>
      <c r="N115" s="215">
        <f>'Construction Trucks'!AI167</f>
        <v>0</v>
      </c>
      <c r="O115" s="215">
        <f>'Construction Trucks'!AJ167+'Construction Trucks'!AL167</f>
        <v>0</v>
      </c>
      <c r="P115" s="215">
        <f>'Construction Trucks'!AK167+'Construction Trucks'!AM167</f>
        <v>0</v>
      </c>
      <c r="Q115" s="214">
        <f>'Construction Trucks'!AN167</f>
        <v>0</v>
      </c>
      <c r="R115" s="215">
        <f>'Construction Trucks'!AO167</f>
        <v>0</v>
      </c>
      <c r="S115" s="215">
        <f>'Construction Trucks'!AP167</f>
        <v>0</v>
      </c>
    </row>
    <row r="116" spans="1:19" x14ac:dyDescent="0.25">
      <c r="A116" s="12" t="s">
        <v>123</v>
      </c>
      <c r="B116" s="22">
        <f t="shared" ref="B116:S116" si="117">SUM(B113:B115)</f>
        <v>3.7279861100327123</v>
      </c>
      <c r="C116" s="22">
        <f t="shared" si="117"/>
        <v>19.939654542215148</v>
      </c>
      <c r="D116" s="22">
        <f t="shared" si="117"/>
        <v>22.03471822594944</v>
      </c>
      <c r="E116" s="22">
        <f t="shared" si="117"/>
        <v>6.4956559873675199E-2</v>
      </c>
      <c r="F116" s="22">
        <f t="shared" si="117"/>
        <v>1.0283393535835541</v>
      </c>
      <c r="G116" s="22">
        <f t="shared" si="117"/>
        <v>0.80951762661984195</v>
      </c>
      <c r="H116" s="22">
        <f t="shared" si="117"/>
        <v>5850.9587351812779</v>
      </c>
      <c r="I116" s="22">
        <f t="shared" si="117"/>
        <v>0.36592995894009001</v>
      </c>
      <c r="J116" s="22">
        <f t="shared" si="117"/>
        <v>2.1042519450988322</v>
      </c>
      <c r="K116" s="22">
        <f t="shared" si="117"/>
        <v>0.2356880288497441</v>
      </c>
      <c r="L116" s="22">
        <f t="shared" si="117"/>
        <v>0.18003772774604096</v>
      </c>
      <c r="M116" s="22">
        <f t="shared" si="117"/>
        <v>0.25137436012346476</v>
      </c>
      <c r="N116" s="22">
        <f t="shared" si="117"/>
        <v>8.7118422634778351E-4</v>
      </c>
      <c r="O116" s="22">
        <f t="shared" si="117"/>
        <v>1.6238245045773932E-2</v>
      </c>
      <c r="P116" s="22">
        <f t="shared" si="117"/>
        <v>1.09637929544446E-2</v>
      </c>
      <c r="Q116" s="22">
        <f t="shared" si="117"/>
        <v>75.153915547105697</v>
      </c>
      <c r="R116" s="22">
        <f t="shared" si="117"/>
        <v>4.730063326056297E-3</v>
      </c>
      <c r="S116" s="22">
        <f t="shared" si="117"/>
        <v>2.4069014953276697E-2</v>
      </c>
    </row>
    <row r="117" spans="1:19" x14ac:dyDescent="0.25">
      <c r="A117" s="137" t="s">
        <v>124</v>
      </c>
      <c r="B117" s="216">
        <v>75</v>
      </c>
      <c r="C117" s="216">
        <v>550</v>
      </c>
      <c r="D117" s="216">
        <v>100</v>
      </c>
      <c r="E117" s="216">
        <v>150</v>
      </c>
      <c r="F117" s="216">
        <v>150</v>
      </c>
      <c r="G117" s="216">
        <v>55</v>
      </c>
      <c r="H117" s="216" t="s">
        <v>126</v>
      </c>
      <c r="I117" s="216" t="s">
        <v>126</v>
      </c>
      <c r="J117" s="216" t="s">
        <v>126</v>
      </c>
      <c r="K117" s="213"/>
      <c r="L117" s="213"/>
      <c r="M117" s="213"/>
      <c r="N117" s="213"/>
      <c r="O117" s="213"/>
      <c r="P117" s="213"/>
      <c r="Q117" s="214"/>
      <c r="R117" s="213"/>
      <c r="S117" s="213"/>
    </row>
    <row r="118" spans="1:19" x14ac:dyDescent="0.25">
      <c r="A118" s="137" t="s">
        <v>125</v>
      </c>
      <c r="B118" s="27" t="str">
        <f>IF(B116&gt;B117,"Yes","No")</f>
        <v>No</v>
      </c>
      <c r="C118" s="27" t="str">
        <f t="shared" ref="C118" si="118">IF(C116&gt;C117,"Yes","No")</f>
        <v>No</v>
      </c>
      <c r="D118" s="27" t="str">
        <f t="shared" ref="D118" si="119">IF(D116&gt;D117,"Yes","No")</f>
        <v>No</v>
      </c>
      <c r="E118" s="27" t="str">
        <f t="shared" ref="E118" si="120">IF(E116&gt;E117,"Yes","No")</f>
        <v>No</v>
      </c>
      <c r="F118" s="27" t="str">
        <f t="shared" ref="F118" si="121">IF(F116&gt;F117,"Yes","No")</f>
        <v>No</v>
      </c>
      <c r="G118" s="27" t="str">
        <f t="shared" ref="G118" si="122">IF(G116&gt;G117,"Yes","No")</f>
        <v>No</v>
      </c>
      <c r="H118" s="27" t="s">
        <v>126</v>
      </c>
      <c r="I118" s="27" t="s">
        <v>126</v>
      </c>
      <c r="J118" s="27" t="s">
        <v>126</v>
      </c>
      <c r="K118" s="213"/>
      <c r="L118" s="213"/>
      <c r="M118" s="213"/>
      <c r="N118" s="213"/>
      <c r="O118" s="213"/>
      <c r="P118" s="213"/>
      <c r="Q118" s="214"/>
      <c r="R118" s="213"/>
      <c r="S118" s="213"/>
    </row>
    <row r="121" spans="1:19" ht="39.6" x14ac:dyDescent="0.25">
      <c r="A121" s="12" t="str">
        <f>'Equipment Capistrano Sub 230kV'!A14</f>
        <v>Capistrano Substation Site Development - 230 kV</v>
      </c>
      <c r="B121" s="16" t="s">
        <v>18</v>
      </c>
      <c r="C121" s="16" t="s">
        <v>19</v>
      </c>
      <c r="D121" s="16" t="s">
        <v>20</v>
      </c>
      <c r="E121" s="16" t="s">
        <v>21</v>
      </c>
      <c r="F121" s="16" t="s">
        <v>22</v>
      </c>
      <c r="G121" s="16" t="s">
        <v>23</v>
      </c>
      <c r="H121" s="17" t="s">
        <v>24</v>
      </c>
      <c r="I121" s="16" t="s">
        <v>25</v>
      </c>
      <c r="J121" s="16" t="s">
        <v>26</v>
      </c>
      <c r="K121" s="18" t="s">
        <v>27</v>
      </c>
      <c r="L121" s="18" t="s">
        <v>28</v>
      </c>
      <c r="M121" s="18" t="s">
        <v>29</v>
      </c>
      <c r="N121" s="18" t="s">
        <v>30</v>
      </c>
      <c r="O121" s="18" t="s">
        <v>31</v>
      </c>
      <c r="P121" s="18" t="s">
        <v>32</v>
      </c>
      <c r="Q121" s="17" t="s">
        <v>33</v>
      </c>
      <c r="R121" s="18" t="s">
        <v>34</v>
      </c>
      <c r="S121" s="18" t="s">
        <v>35</v>
      </c>
    </row>
    <row r="122" spans="1:19" x14ac:dyDescent="0.25">
      <c r="A122" s="137" t="s">
        <v>75</v>
      </c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4"/>
      <c r="R122" s="213"/>
      <c r="S122" s="213"/>
    </row>
    <row r="123" spans="1:19" x14ac:dyDescent="0.25">
      <c r="A123" s="137" t="s">
        <v>119</v>
      </c>
      <c r="B123" s="215">
        <f>'Equipment Capistrano Sub 230kV'!Q24</f>
        <v>12.573118727183259</v>
      </c>
      <c r="C123" s="215">
        <f>'Equipment Capistrano Sub 230kV'!R24</f>
        <v>55.387148012938347</v>
      </c>
      <c r="D123" s="215">
        <f>'Equipment Capistrano Sub 230kV'!S24</f>
        <v>92.608817658260207</v>
      </c>
      <c r="E123" s="215">
        <f>'Equipment Capistrano Sub 230kV'!T24</f>
        <v>0.19333833139548709</v>
      </c>
      <c r="F123" s="215">
        <f>'Equipment Capistrano Sub 230kV'!U24</f>
        <v>3.6104594410120816</v>
      </c>
      <c r="G123" s="215">
        <f>'Equipment Capistrano Sub 230kV'!V24</f>
        <v>3.2133089025007524</v>
      </c>
      <c r="H123" s="215">
        <f>'Equipment Capistrano Sub 230kV'!W24</f>
        <v>19008.2699902272</v>
      </c>
      <c r="I123" s="215">
        <f>'Equipment Capistrano Sub 230kV'!X24</f>
        <v>1.3461038117715531</v>
      </c>
      <c r="J123" s="215">
        <f>'Equipment Capistrano Sub 230kV'!Y24</f>
        <v>8.7978376775347211</v>
      </c>
      <c r="K123" s="213">
        <f>'Equipment Capistrano Sub 230kV'!E87</f>
        <v>0.41491291799704755</v>
      </c>
      <c r="L123" s="213">
        <f>'Equipment Capistrano Sub 230kV'!F87</f>
        <v>1.8277758844269656</v>
      </c>
      <c r="M123" s="213">
        <f>'Equipment Capistrano Sub 230kV'!G87</f>
        <v>3.0560909827225871</v>
      </c>
      <c r="N123" s="213">
        <f>'Equipment Capistrano Sub 230kV'!H87</f>
        <v>6.3801649360510733E-3</v>
      </c>
      <c r="O123" s="213">
        <f>'Equipment Capistrano Sub 230kV'!I87</f>
        <v>0.11914516155339869</v>
      </c>
      <c r="P123" s="213">
        <f>'Equipment Capistrano Sub 230kV'!J87</f>
        <v>0.10603919378252483</v>
      </c>
      <c r="Q123" s="213">
        <f>'Equipment Capistrano Sub 230kV'!K87</f>
        <v>627.27290967749752</v>
      </c>
      <c r="R123" s="213">
        <f>'Equipment Capistrano Sub 230kV'!L87</f>
        <v>4.4421425788461248E-2</v>
      </c>
      <c r="S123" s="213">
        <f>'Equipment Capistrano Sub 230kV'!M87</f>
        <v>0.29032864335864578</v>
      </c>
    </row>
    <row r="124" spans="1:19" x14ac:dyDescent="0.25">
      <c r="A124" s="137" t="s">
        <v>120</v>
      </c>
      <c r="B124" s="215">
        <f>WorkerTrips!I136</f>
        <v>0.62501787634901895</v>
      </c>
      <c r="C124" s="215">
        <f>WorkerTrips!G136</f>
        <v>5.6436779778818167</v>
      </c>
      <c r="D124" s="215">
        <f>WorkerTrips!H136</f>
        <v>0.5073879912511351</v>
      </c>
      <c r="E124" s="215">
        <f>WorkerTrips!J136</f>
        <v>8.2220924491283476E-3</v>
      </c>
      <c r="F124" s="215">
        <f>WorkerTrips!K136+WorkerTrips!M136</f>
        <v>0.18730647914076404</v>
      </c>
      <c r="G124" s="215">
        <f>WorkerTrips!L136+WorkerTrips!N136</f>
        <v>6.1006683631894626E-2</v>
      </c>
      <c r="H124" s="215">
        <f>WorkerTrips!O136</f>
        <v>600.07829829123966</v>
      </c>
      <c r="I124" s="215">
        <f>WorkerTrips!P136</f>
        <v>3.4854778951452753E-2</v>
      </c>
      <c r="J124" s="215">
        <f>WorkerTrips!Q136</f>
        <v>6.347332084158698E-2</v>
      </c>
      <c r="K124" s="215">
        <f>WorkerTrips!S136</f>
        <v>0.18624137327009996</v>
      </c>
      <c r="L124" s="215">
        <f>WorkerTrips!T136</f>
        <v>1.6743803711287458E-2</v>
      </c>
      <c r="M124" s="215">
        <f>WorkerTrips!U136</f>
        <v>2.0625589919517625E-2</v>
      </c>
      <c r="N124" s="215">
        <f>WorkerTrips!V136</f>
        <v>2.7132905082123546E-4</v>
      </c>
      <c r="O124" s="215">
        <f>WorkerTrips!W136+WorkerTrips!Y136</f>
        <v>6.1811138116452131E-3</v>
      </c>
      <c r="P124" s="215">
        <f>WorkerTrips!X136+WorkerTrips!Z136</f>
        <v>2.0132205598525224E-3</v>
      </c>
      <c r="Q124" s="214">
        <f>WorkerTrips!AA136</f>
        <v>19.802583843610908</v>
      </c>
      <c r="R124" s="215">
        <f>WorkerTrips!AB136</f>
        <v>1.1502077053979409E-3</v>
      </c>
      <c r="S124" s="215">
        <f>WorkerTrips!AC136</f>
        <v>2.0946195877723705E-3</v>
      </c>
    </row>
    <row r="125" spans="1:19" x14ac:dyDescent="0.25">
      <c r="A125" s="137" t="s">
        <v>121</v>
      </c>
      <c r="B125" s="215">
        <f>'Construction Trucks'!V170</f>
        <v>0.43394919183137903</v>
      </c>
      <c r="C125" s="215">
        <f>'Construction Trucks'!T170</f>
        <v>1.7801464958841595</v>
      </c>
      <c r="D125" s="215">
        <f>'Construction Trucks'!U170</f>
        <v>7.1891803859548578</v>
      </c>
      <c r="E125" s="215">
        <f>'Construction Trucks'!W170</f>
        <v>1.88925117396768E-2</v>
      </c>
      <c r="F125" s="215">
        <f>'Construction Trucks'!X170+'Construction Trucks'!Z170</f>
        <v>0.36373477520044989</v>
      </c>
      <c r="G125" s="215">
        <f>'Construction Trucks'!Y170+'Construction Trucks'!AA170</f>
        <v>0.18284969054385455</v>
      </c>
      <c r="H125" s="215">
        <f>'Construction Trucks'!AB170</f>
        <v>2960.6735788623914</v>
      </c>
      <c r="I125" s="215">
        <f>'Construction Trucks'!AC170</f>
        <v>0.16918177031693363</v>
      </c>
      <c r="J125" s="215">
        <f>'Construction Trucks'!AD170</f>
        <v>7.5840614396139025E-2</v>
      </c>
      <c r="K125" s="215">
        <f>'Construction Trucks'!AH170</f>
        <v>1.4320323330435508E-2</v>
      </c>
      <c r="L125" s="215">
        <f>'Construction Trucks'!AF170</f>
        <v>5.8744834364177267E-2</v>
      </c>
      <c r="M125" s="215">
        <f>'Construction Trucks'!AG170</f>
        <v>0.23724295273651033</v>
      </c>
      <c r="N125" s="215">
        <f>'Construction Trucks'!AI170</f>
        <v>6.2345288740933431E-4</v>
      </c>
      <c r="O125" s="215">
        <f>'Construction Trucks'!AJ170+'Construction Trucks'!AL170</f>
        <v>1.2003247581614846E-2</v>
      </c>
      <c r="P125" s="215">
        <f>'Construction Trucks'!AK170+'Construction Trucks'!AM170</f>
        <v>6.0340397879472003E-3</v>
      </c>
      <c r="Q125" s="214">
        <f>'Construction Trucks'!AN170</f>
        <v>97.702228102458918</v>
      </c>
      <c r="R125" s="215">
        <f>'Construction Trucks'!AO170</f>
        <v>5.5829984204588097E-3</v>
      </c>
      <c r="S125" s="215">
        <f>'Construction Trucks'!AP170</f>
        <v>2.5027402750725878E-3</v>
      </c>
    </row>
    <row r="126" spans="1:19" x14ac:dyDescent="0.25">
      <c r="A126" s="137" t="s">
        <v>122</v>
      </c>
      <c r="B126" s="215"/>
      <c r="C126" s="215"/>
      <c r="D126" s="215"/>
      <c r="E126" s="215"/>
      <c r="F126" s="215">
        <f>'Fugitive Dust Substation'!$C$88</f>
        <v>61.930973023881435</v>
      </c>
      <c r="G126" s="215">
        <f>'Fugitive Dust Substation'!$D$88</f>
        <v>18.217424021291603</v>
      </c>
      <c r="H126" s="215"/>
      <c r="I126" s="215"/>
      <c r="J126" s="215"/>
      <c r="K126" s="215"/>
      <c r="L126" s="215"/>
      <c r="M126" s="215"/>
      <c r="N126" s="215"/>
      <c r="O126" s="215">
        <f>'Fugitive Dust Substation'!C91</f>
        <v>6.8124070326269575</v>
      </c>
      <c r="P126" s="215">
        <f>'Fugitive Dust Substation'!D91</f>
        <v>2.0039166423420762</v>
      </c>
      <c r="Q126" s="214"/>
      <c r="R126" s="215"/>
      <c r="S126" s="215"/>
    </row>
    <row r="127" spans="1:19" x14ac:dyDescent="0.25">
      <c r="A127" s="12" t="s">
        <v>123</v>
      </c>
      <c r="B127" s="22">
        <f>SUM(B123:B126)</f>
        <v>13.632085795363658</v>
      </c>
      <c r="C127" s="22">
        <f t="shared" ref="C127:S127" si="123">SUM(C123:C126)</f>
        <v>62.810972486704323</v>
      </c>
      <c r="D127" s="22">
        <f t="shared" si="123"/>
        <v>100.3053860354662</v>
      </c>
      <c r="E127" s="22">
        <f t="shared" si="123"/>
        <v>0.22045293558429224</v>
      </c>
      <c r="F127" s="22">
        <f t="shared" si="123"/>
        <v>66.092473719234732</v>
      </c>
      <c r="G127" s="22">
        <f t="shared" si="123"/>
        <v>21.674589297968105</v>
      </c>
      <c r="H127" s="22">
        <f t="shared" si="123"/>
        <v>22569.02186738083</v>
      </c>
      <c r="I127" s="22">
        <f t="shared" si="123"/>
        <v>1.5501403610399396</v>
      </c>
      <c r="J127" s="22">
        <f t="shared" si="123"/>
        <v>8.9371516127724462</v>
      </c>
      <c r="K127" s="22">
        <f t="shared" si="123"/>
        <v>0.61547461459758301</v>
      </c>
      <c r="L127" s="22">
        <f t="shared" si="123"/>
        <v>1.9032645225024303</v>
      </c>
      <c r="M127" s="22">
        <f t="shared" si="123"/>
        <v>3.3139595253786149</v>
      </c>
      <c r="N127" s="22">
        <f t="shared" si="123"/>
        <v>7.2749468742816428E-3</v>
      </c>
      <c r="O127" s="22">
        <f t="shared" si="123"/>
        <v>6.9497365555736161</v>
      </c>
      <c r="P127" s="22">
        <f t="shared" si="123"/>
        <v>2.1180030964724006</v>
      </c>
      <c r="Q127" s="22">
        <f t="shared" si="123"/>
        <v>744.77772162356734</v>
      </c>
      <c r="R127" s="22">
        <f t="shared" si="123"/>
        <v>5.1154631914318002E-2</v>
      </c>
      <c r="S127" s="22">
        <f t="shared" si="123"/>
        <v>0.29492600322149071</v>
      </c>
    </row>
    <row r="128" spans="1:19" x14ac:dyDescent="0.25">
      <c r="A128" s="137" t="s">
        <v>124</v>
      </c>
      <c r="B128" s="216">
        <v>75</v>
      </c>
      <c r="C128" s="216">
        <v>550</v>
      </c>
      <c r="D128" s="216">
        <v>100</v>
      </c>
      <c r="E128" s="216">
        <v>150</v>
      </c>
      <c r="F128" s="216">
        <v>150</v>
      </c>
      <c r="G128" s="216">
        <v>55</v>
      </c>
      <c r="H128" s="216" t="s">
        <v>126</v>
      </c>
      <c r="I128" s="216" t="s">
        <v>126</v>
      </c>
      <c r="J128" s="216" t="s">
        <v>126</v>
      </c>
      <c r="K128" s="213"/>
      <c r="L128" s="213"/>
      <c r="M128" s="213"/>
      <c r="N128" s="213"/>
      <c r="O128" s="213"/>
      <c r="P128" s="213"/>
      <c r="Q128" s="214"/>
      <c r="R128" s="213"/>
      <c r="S128" s="213"/>
    </row>
    <row r="129" spans="1:19" x14ac:dyDescent="0.25">
      <c r="A129" s="137" t="s">
        <v>125</v>
      </c>
      <c r="B129" s="27" t="str">
        <f>IF(B127&gt;B128,"Yes","No")</f>
        <v>No</v>
      </c>
      <c r="C129" s="27" t="str">
        <f t="shared" ref="C129" si="124">IF(C127&gt;C128,"Yes","No")</f>
        <v>No</v>
      </c>
      <c r="D129" s="27" t="str">
        <f t="shared" ref="D129" si="125">IF(D127&gt;D128,"Yes","No")</f>
        <v>Yes</v>
      </c>
      <c r="E129" s="27" t="str">
        <f t="shared" ref="E129" si="126">IF(E127&gt;E128,"Yes","No")</f>
        <v>No</v>
      </c>
      <c r="F129" s="27" t="str">
        <f t="shared" ref="F129" si="127">IF(F127&gt;F128,"Yes","No")</f>
        <v>No</v>
      </c>
      <c r="G129" s="27" t="str">
        <f t="shared" ref="G129" si="128">IF(G127&gt;G128,"Yes","No")</f>
        <v>No</v>
      </c>
      <c r="H129" s="27" t="s">
        <v>126</v>
      </c>
      <c r="I129" s="27" t="s">
        <v>126</v>
      </c>
      <c r="J129" s="27" t="s">
        <v>126</v>
      </c>
      <c r="K129" s="213"/>
      <c r="L129" s="213"/>
      <c r="M129" s="213"/>
      <c r="N129" s="213"/>
      <c r="O129" s="213"/>
      <c r="P129" s="213"/>
      <c r="Q129" s="214"/>
      <c r="R129" s="213"/>
      <c r="S129" s="213"/>
    </row>
    <row r="131" spans="1:19" s="572" customFormat="1" x14ac:dyDescent="0.25">
      <c r="A131" s="32"/>
      <c r="Q131" s="7"/>
    </row>
    <row r="132" spans="1:19" s="572" customFormat="1" x14ac:dyDescent="0.25">
      <c r="A132" s="613">
        <v>2018</v>
      </c>
      <c r="Q132" s="7"/>
    </row>
    <row r="133" spans="1:19" s="572" customFormat="1" ht="39" customHeight="1" x14ac:dyDescent="0.25">
      <c r="A133" s="12" t="str">
        <f>A121</f>
        <v>Capistrano Substation Site Development - 230 kV</v>
      </c>
      <c r="B133" s="20" t="str">
        <f t="shared" ref="B133:S133" si="129">B121</f>
        <v>ROG lbs/day</v>
      </c>
      <c r="C133" s="20" t="str">
        <f t="shared" si="129"/>
        <v>CO lbs/day</v>
      </c>
      <c r="D133" s="20" t="str">
        <f t="shared" si="129"/>
        <v>NOX lbs/day</v>
      </c>
      <c r="E133" s="20" t="str">
        <f t="shared" si="129"/>
        <v>SOX lbs/day</v>
      </c>
      <c r="F133" s="20" t="str">
        <f t="shared" si="129"/>
        <v>PM10 lbs/day</v>
      </c>
      <c r="G133" s="20" t="str">
        <f t="shared" si="129"/>
        <v>PM2.5 lbs/day</v>
      </c>
      <c r="H133" s="20" t="str">
        <f t="shared" si="129"/>
        <v>CO2  lbs/day</v>
      </c>
      <c r="I133" s="20" t="str">
        <f t="shared" si="129"/>
        <v>CH4  lbs/day</v>
      </c>
      <c r="J133" s="20" t="str">
        <f t="shared" si="129"/>
        <v>N2O  lbs/day</v>
      </c>
      <c r="K133" s="20" t="str">
        <f t="shared" si="129"/>
        <v>ROG tons (total)</v>
      </c>
      <c r="L133" s="20" t="str">
        <f t="shared" si="129"/>
        <v>CO tons (total)</v>
      </c>
      <c r="M133" s="20" t="str">
        <f t="shared" si="129"/>
        <v>NOX tons (total)</v>
      </c>
      <c r="N133" s="20" t="str">
        <f t="shared" si="129"/>
        <v>SOX tons (total)</v>
      </c>
      <c r="O133" s="20" t="str">
        <f t="shared" si="129"/>
        <v>PM10 tons (total)</v>
      </c>
      <c r="P133" s="20" t="str">
        <f t="shared" si="129"/>
        <v>PM2.5 tons (total)</v>
      </c>
      <c r="Q133" s="20" t="str">
        <f t="shared" si="129"/>
        <v>CO2  tons (total)</v>
      </c>
      <c r="R133" s="20" t="str">
        <f t="shared" si="129"/>
        <v>CH4   tons (total)</v>
      </c>
      <c r="S133" s="20" t="str">
        <f t="shared" si="129"/>
        <v>N2O   tons (total)</v>
      </c>
    </row>
    <row r="134" spans="1:19" s="572" customFormat="1" x14ac:dyDescent="0.25">
      <c r="A134" s="137" t="str">
        <f>A122</f>
        <v>Emissions, lbs/day</v>
      </c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4"/>
      <c r="R134" s="213"/>
      <c r="S134" s="213"/>
    </row>
    <row r="135" spans="1:19" s="572" customFormat="1" x14ac:dyDescent="0.25">
      <c r="A135" s="137" t="str">
        <f t="shared" ref="A135:P139" si="130">A123</f>
        <v>Heavy Construction Equipment</v>
      </c>
      <c r="B135" s="579">
        <f t="shared" si="130"/>
        <v>12.573118727183259</v>
      </c>
      <c r="C135" s="579">
        <f t="shared" si="130"/>
        <v>55.387148012938347</v>
      </c>
      <c r="D135" s="579">
        <f t="shared" si="130"/>
        <v>92.608817658260207</v>
      </c>
      <c r="E135" s="579">
        <f t="shared" si="130"/>
        <v>0.19333833139548709</v>
      </c>
      <c r="F135" s="579">
        <f t="shared" si="130"/>
        <v>3.6104594410120816</v>
      </c>
      <c r="G135" s="579">
        <f t="shared" si="130"/>
        <v>3.2133089025007524</v>
      </c>
      <c r="H135" s="579">
        <f t="shared" si="130"/>
        <v>19008.2699902272</v>
      </c>
      <c r="I135" s="579">
        <f t="shared" si="130"/>
        <v>1.3461038117715531</v>
      </c>
      <c r="J135" s="579">
        <f t="shared" si="130"/>
        <v>8.7978376775347211</v>
      </c>
      <c r="K135" s="579">
        <f t="shared" si="130"/>
        <v>0.41491291799704755</v>
      </c>
      <c r="L135" s="579">
        <f t="shared" si="130"/>
        <v>1.8277758844269656</v>
      </c>
      <c r="M135" s="579">
        <f t="shared" si="130"/>
        <v>3.0560909827225871</v>
      </c>
      <c r="N135" s="579">
        <f t="shared" si="130"/>
        <v>6.3801649360510733E-3</v>
      </c>
      <c r="O135" s="579">
        <f t="shared" si="130"/>
        <v>0.11914516155339869</v>
      </c>
      <c r="P135" s="579">
        <f t="shared" si="130"/>
        <v>0.10603919378252483</v>
      </c>
      <c r="Q135" s="579">
        <f t="shared" ref="B135:S138" si="131">Q123</f>
        <v>627.27290967749752</v>
      </c>
      <c r="R135" s="579">
        <f t="shared" si="131"/>
        <v>4.4421425788461248E-2</v>
      </c>
      <c r="S135" s="579">
        <f t="shared" si="131"/>
        <v>0.29032864335864578</v>
      </c>
    </row>
    <row r="136" spans="1:19" s="572" customFormat="1" x14ac:dyDescent="0.25">
      <c r="A136" s="137" t="str">
        <f t="shared" si="130"/>
        <v>Worker Vehicles</v>
      </c>
      <c r="B136" s="579">
        <f t="shared" si="131"/>
        <v>0.62501787634901895</v>
      </c>
      <c r="C136" s="579">
        <f t="shared" si="131"/>
        <v>5.6436779778818167</v>
      </c>
      <c r="D136" s="579">
        <f t="shared" si="131"/>
        <v>0.5073879912511351</v>
      </c>
      <c r="E136" s="579">
        <f t="shared" si="131"/>
        <v>8.2220924491283476E-3</v>
      </c>
      <c r="F136" s="579">
        <f t="shared" si="131"/>
        <v>0.18730647914076404</v>
      </c>
      <c r="G136" s="579">
        <f t="shared" si="131"/>
        <v>6.1006683631894626E-2</v>
      </c>
      <c r="H136" s="579">
        <f t="shared" si="131"/>
        <v>600.07829829123966</v>
      </c>
      <c r="I136" s="579">
        <f t="shared" si="131"/>
        <v>3.4854778951452753E-2</v>
      </c>
      <c r="J136" s="579">
        <f t="shared" si="131"/>
        <v>6.347332084158698E-2</v>
      </c>
      <c r="K136" s="579">
        <f t="shared" si="131"/>
        <v>0.18624137327009996</v>
      </c>
      <c r="L136" s="579">
        <f t="shared" si="131"/>
        <v>1.6743803711287458E-2</v>
      </c>
      <c r="M136" s="579">
        <f t="shared" si="131"/>
        <v>2.0625589919517625E-2</v>
      </c>
      <c r="N136" s="579">
        <f t="shared" si="131"/>
        <v>2.7132905082123546E-4</v>
      </c>
      <c r="O136" s="579">
        <f t="shared" si="131"/>
        <v>6.1811138116452131E-3</v>
      </c>
      <c r="P136" s="579">
        <f t="shared" si="131"/>
        <v>2.0132205598525224E-3</v>
      </c>
      <c r="Q136" s="579">
        <f t="shared" si="131"/>
        <v>19.802583843610908</v>
      </c>
      <c r="R136" s="579">
        <f t="shared" si="131"/>
        <v>1.1502077053979409E-3</v>
      </c>
      <c r="S136" s="579">
        <f t="shared" si="131"/>
        <v>2.0946195877723705E-3</v>
      </c>
    </row>
    <row r="137" spans="1:19" s="572" customFormat="1" x14ac:dyDescent="0.25">
      <c r="A137" s="137" t="str">
        <f t="shared" si="130"/>
        <v>Construction Trucks</v>
      </c>
      <c r="B137" s="579">
        <f t="shared" si="131"/>
        <v>0.43394919183137903</v>
      </c>
      <c r="C137" s="579">
        <f t="shared" si="131"/>
        <v>1.7801464958841595</v>
      </c>
      <c r="D137" s="579">
        <f t="shared" si="131"/>
        <v>7.1891803859548578</v>
      </c>
      <c r="E137" s="579">
        <f t="shared" si="131"/>
        <v>1.88925117396768E-2</v>
      </c>
      <c r="F137" s="579">
        <f t="shared" si="131"/>
        <v>0.36373477520044989</v>
      </c>
      <c r="G137" s="579">
        <f t="shared" si="131"/>
        <v>0.18284969054385455</v>
      </c>
      <c r="H137" s="579">
        <f t="shared" si="131"/>
        <v>2960.6735788623914</v>
      </c>
      <c r="I137" s="579">
        <f t="shared" si="131"/>
        <v>0.16918177031693363</v>
      </c>
      <c r="J137" s="579">
        <f t="shared" si="131"/>
        <v>7.5840614396139025E-2</v>
      </c>
      <c r="K137" s="579">
        <f t="shared" si="131"/>
        <v>1.4320323330435508E-2</v>
      </c>
      <c r="L137" s="579">
        <f t="shared" si="131"/>
        <v>5.8744834364177267E-2</v>
      </c>
      <c r="M137" s="579">
        <f t="shared" si="131"/>
        <v>0.23724295273651033</v>
      </c>
      <c r="N137" s="579">
        <f t="shared" si="131"/>
        <v>6.2345288740933431E-4</v>
      </c>
      <c r="O137" s="579">
        <f t="shared" si="131"/>
        <v>1.2003247581614846E-2</v>
      </c>
      <c r="P137" s="579">
        <f t="shared" si="131"/>
        <v>6.0340397879472003E-3</v>
      </c>
      <c r="Q137" s="579">
        <f t="shared" si="131"/>
        <v>97.702228102458918</v>
      </c>
      <c r="R137" s="579">
        <f t="shared" si="131"/>
        <v>5.5829984204588097E-3</v>
      </c>
      <c r="S137" s="579">
        <f t="shared" si="131"/>
        <v>2.5027402750725878E-3</v>
      </c>
    </row>
    <row r="138" spans="1:19" s="572" customFormat="1" x14ac:dyDescent="0.25">
      <c r="A138" s="137" t="str">
        <f t="shared" si="130"/>
        <v>Fugitive Dust</v>
      </c>
      <c r="B138" s="579">
        <f t="shared" si="131"/>
        <v>0</v>
      </c>
      <c r="C138" s="579">
        <f t="shared" si="131"/>
        <v>0</v>
      </c>
      <c r="D138" s="579">
        <f t="shared" si="131"/>
        <v>0</v>
      </c>
      <c r="E138" s="579">
        <f t="shared" si="131"/>
        <v>0</v>
      </c>
      <c r="F138" s="579">
        <f t="shared" si="131"/>
        <v>61.930973023881435</v>
      </c>
      <c r="G138" s="579">
        <f t="shared" si="131"/>
        <v>18.217424021291603</v>
      </c>
      <c r="H138" s="579">
        <f t="shared" si="131"/>
        <v>0</v>
      </c>
      <c r="I138" s="579">
        <f t="shared" si="131"/>
        <v>0</v>
      </c>
      <c r="J138" s="579">
        <f t="shared" si="131"/>
        <v>0</v>
      </c>
      <c r="K138" s="579">
        <f t="shared" si="131"/>
        <v>0</v>
      </c>
      <c r="L138" s="579">
        <f t="shared" si="131"/>
        <v>0</v>
      </c>
      <c r="M138" s="579">
        <f t="shared" si="131"/>
        <v>0</v>
      </c>
      <c r="N138" s="579">
        <f t="shared" si="131"/>
        <v>0</v>
      </c>
      <c r="O138" s="579">
        <f t="shared" si="131"/>
        <v>6.8124070326269575</v>
      </c>
      <c r="P138" s="579">
        <f t="shared" si="131"/>
        <v>2.0039166423420762</v>
      </c>
      <c r="Q138" s="579">
        <f t="shared" si="131"/>
        <v>0</v>
      </c>
      <c r="R138" s="579">
        <f t="shared" si="131"/>
        <v>0</v>
      </c>
      <c r="S138" s="579">
        <f t="shared" si="131"/>
        <v>0</v>
      </c>
    </row>
    <row r="139" spans="1:19" s="572" customFormat="1" x14ac:dyDescent="0.25">
      <c r="A139" s="12" t="str">
        <f t="shared" si="130"/>
        <v>Total Daily</v>
      </c>
      <c r="B139" s="22">
        <f>SUM(B135:B138)</f>
        <v>13.632085795363658</v>
      </c>
      <c r="C139" s="22">
        <f t="shared" ref="C139:S139" si="132">SUM(C135:C138)</f>
        <v>62.810972486704323</v>
      </c>
      <c r="D139" s="22">
        <f t="shared" si="132"/>
        <v>100.3053860354662</v>
      </c>
      <c r="E139" s="22">
        <f t="shared" si="132"/>
        <v>0.22045293558429224</v>
      </c>
      <c r="F139" s="22">
        <f t="shared" si="132"/>
        <v>66.092473719234732</v>
      </c>
      <c r="G139" s="22">
        <f t="shared" si="132"/>
        <v>21.674589297968105</v>
      </c>
      <c r="H139" s="22">
        <f t="shared" si="132"/>
        <v>22569.02186738083</v>
      </c>
      <c r="I139" s="22">
        <f t="shared" si="132"/>
        <v>1.5501403610399396</v>
      </c>
      <c r="J139" s="22">
        <f t="shared" si="132"/>
        <v>8.9371516127724462</v>
      </c>
      <c r="K139" s="22">
        <f t="shared" si="132"/>
        <v>0.61547461459758301</v>
      </c>
      <c r="L139" s="22">
        <f t="shared" si="132"/>
        <v>1.9032645225024303</v>
      </c>
      <c r="M139" s="22">
        <f t="shared" si="132"/>
        <v>3.3139595253786149</v>
      </c>
      <c r="N139" s="22">
        <f t="shared" si="132"/>
        <v>7.2749468742816428E-3</v>
      </c>
      <c r="O139" s="22">
        <f t="shared" si="132"/>
        <v>6.9497365555736161</v>
      </c>
      <c r="P139" s="22">
        <f t="shared" si="132"/>
        <v>2.1180030964724006</v>
      </c>
      <c r="Q139" s="22">
        <f t="shared" si="132"/>
        <v>744.77772162356734</v>
      </c>
      <c r="R139" s="22">
        <f t="shared" si="132"/>
        <v>5.1154631914318002E-2</v>
      </c>
      <c r="S139" s="22">
        <f t="shared" si="132"/>
        <v>0.29492600322149071</v>
      </c>
    </row>
    <row r="140" spans="1:19" s="572" customFormat="1" x14ac:dyDescent="0.25">
      <c r="A140" s="137" t="str">
        <f t="shared" ref="A140:J141" si="133">A128</f>
        <v>Significance Threshold</v>
      </c>
      <c r="B140" s="216">
        <f t="shared" si="133"/>
        <v>75</v>
      </c>
      <c r="C140" s="216">
        <f t="shared" si="133"/>
        <v>550</v>
      </c>
      <c r="D140" s="216">
        <f t="shared" si="133"/>
        <v>100</v>
      </c>
      <c r="E140" s="216">
        <f t="shared" si="133"/>
        <v>150</v>
      </c>
      <c r="F140" s="216">
        <f t="shared" si="133"/>
        <v>150</v>
      </c>
      <c r="G140" s="216">
        <f t="shared" si="133"/>
        <v>55</v>
      </c>
      <c r="H140" s="216" t="str">
        <f t="shared" si="133"/>
        <v>N/A</v>
      </c>
      <c r="I140" s="216" t="str">
        <f t="shared" si="133"/>
        <v>N/A</v>
      </c>
      <c r="J140" s="216" t="str">
        <f t="shared" si="133"/>
        <v>N/A</v>
      </c>
      <c r="K140" s="27"/>
      <c r="L140" s="27"/>
      <c r="M140" s="27"/>
      <c r="N140" s="27"/>
      <c r="O140" s="27"/>
      <c r="P140" s="27"/>
      <c r="Q140" s="27"/>
      <c r="R140" s="27"/>
      <c r="S140" s="27"/>
    </row>
    <row r="141" spans="1:19" s="572" customFormat="1" x14ac:dyDescent="0.25">
      <c r="A141" s="137" t="str">
        <f t="shared" ref="A141" si="134">A129</f>
        <v>Above Threshold?</v>
      </c>
      <c r="B141" s="27" t="str">
        <f t="shared" si="133"/>
        <v>No</v>
      </c>
      <c r="C141" s="27" t="str">
        <f t="shared" si="133"/>
        <v>No</v>
      </c>
      <c r="D141" s="27" t="str">
        <f t="shared" si="133"/>
        <v>Yes</v>
      </c>
      <c r="E141" s="27" t="str">
        <f t="shared" si="133"/>
        <v>No</v>
      </c>
      <c r="F141" s="27" t="str">
        <f t="shared" si="133"/>
        <v>No</v>
      </c>
      <c r="G141" s="27" t="str">
        <f t="shared" si="133"/>
        <v>No</v>
      </c>
      <c r="H141" s="27" t="str">
        <f t="shared" si="133"/>
        <v>N/A</v>
      </c>
      <c r="I141" s="27" t="str">
        <f t="shared" si="133"/>
        <v>N/A</v>
      </c>
      <c r="J141" s="27" t="str">
        <f t="shared" si="133"/>
        <v>N/A</v>
      </c>
      <c r="K141" s="27"/>
      <c r="L141" s="27"/>
      <c r="M141" s="27"/>
      <c r="N141" s="27"/>
      <c r="O141" s="27"/>
      <c r="P141" s="27"/>
      <c r="Q141" s="27"/>
      <c r="R141" s="27"/>
      <c r="S141" s="27"/>
    </row>
    <row r="142" spans="1:19" s="572" customFormat="1" x14ac:dyDescent="0.25">
      <c r="A142" s="613"/>
      <c r="Q142" s="7"/>
    </row>
    <row r="144" spans="1:19" ht="39.6" x14ac:dyDescent="0.25">
      <c r="A144" s="12" t="str">
        <f>'Equipment Capistrano Sub 230kV'!A26</f>
        <v>Capistrano Substation Below Grade - 230 kV</v>
      </c>
      <c r="B144" s="16" t="s">
        <v>18</v>
      </c>
      <c r="C144" s="16" t="s">
        <v>19</v>
      </c>
      <c r="D144" s="16" t="s">
        <v>20</v>
      </c>
      <c r="E144" s="16" t="s">
        <v>21</v>
      </c>
      <c r="F144" s="16" t="s">
        <v>22</v>
      </c>
      <c r="G144" s="16" t="s">
        <v>23</v>
      </c>
      <c r="H144" s="17" t="s">
        <v>24</v>
      </c>
      <c r="I144" s="16" t="s">
        <v>25</v>
      </c>
      <c r="J144" s="16" t="s">
        <v>26</v>
      </c>
      <c r="K144" s="18" t="s">
        <v>27</v>
      </c>
      <c r="L144" s="18" t="s">
        <v>28</v>
      </c>
      <c r="M144" s="18" t="s">
        <v>29</v>
      </c>
      <c r="N144" s="18" t="s">
        <v>30</v>
      </c>
      <c r="O144" s="18" t="s">
        <v>31</v>
      </c>
      <c r="P144" s="18" t="s">
        <v>32</v>
      </c>
      <c r="Q144" s="17" t="s">
        <v>33</v>
      </c>
      <c r="R144" s="18" t="s">
        <v>34</v>
      </c>
      <c r="S144" s="18" t="s">
        <v>35</v>
      </c>
    </row>
    <row r="145" spans="1:19" x14ac:dyDescent="0.25">
      <c r="A145" s="137" t="s">
        <v>75</v>
      </c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4"/>
      <c r="R145" s="213"/>
      <c r="S145" s="213"/>
    </row>
    <row r="146" spans="1:19" x14ac:dyDescent="0.25">
      <c r="A146" s="137" t="s">
        <v>119</v>
      </c>
      <c r="B146" s="215">
        <f>'Equipment Capistrano Sub 230kV'!Q37</f>
        <v>8.0609965783148283</v>
      </c>
      <c r="C146" s="215">
        <f>'Equipment Capistrano Sub 230kV'!R37</f>
        <v>43.500407752675947</v>
      </c>
      <c r="D146" s="215">
        <f>'Equipment Capistrano Sub 230kV'!S37</f>
        <v>49.207156229772757</v>
      </c>
      <c r="E146" s="215">
        <f>'Equipment Capistrano Sub 230kV'!T37</f>
        <v>0.182816778375615</v>
      </c>
      <c r="F146" s="215">
        <f>'Equipment Capistrano Sub 230kV'!U37</f>
        <v>1.8165827802196639</v>
      </c>
      <c r="G146" s="215">
        <f>'Equipment Capistrano Sub 230kV'!V37</f>
        <v>1.6167586743955009</v>
      </c>
      <c r="H146" s="215">
        <f>'Equipment Capistrano Sub 230kV'!W37</f>
        <v>16201.405716284855</v>
      </c>
      <c r="I146" s="215">
        <f>'Equipment Capistrano Sub 230kV'!X37</f>
        <v>0.92844008810867173</v>
      </c>
      <c r="J146" s="215">
        <f>'Equipment Capistrano Sub 230kV'!Y37</f>
        <v>4.6746798418284117</v>
      </c>
      <c r="K146" s="213">
        <f>'Equipment Capistrano Sub 230kV'!E100</f>
        <v>0.45445807945299244</v>
      </c>
      <c r="L146" s="213">
        <f>'Equipment Capistrano Sub 230kV'!F100</f>
        <v>2.3623115009251632</v>
      </c>
      <c r="M146" s="213">
        <f>'Equipment Capistrano Sub 230kV'!G100</f>
        <v>2.7555619719058297</v>
      </c>
      <c r="N146" s="213">
        <f>'Equipment Capistrano Sub 230kV'!H100</f>
        <v>1.014230946766841E-2</v>
      </c>
      <c r="O146" s="213">
        <f>'Equipment Capistrano Sub 230kV'!I100</f>
        <v>0.10354593164570554</v>
      </c>
      <c r="P146" s="213">
        <f>'Equipment Capistrano Sub 230kV'!J100</f>
        <v>9.2155879164677934E-2</v>
      </c>
      <c r="Q146" s="213">
        <f>'Equipment Capistrano Sub 230kV'!K100</f>
        <v>900.60202969845125</v>
      </c>
      <c r="R146" s="213">
        <f>'Equipment Capistrano Sub 230kV'!L100</f>
        <v>5.2412512632970497E-2</v>
      </c>
      <c r="S146" s="213">
        <f>'Equipment Capistrano Sub 230kV'!M100</f>
        <v>0.26177838733105385</v>
      </c>
    </row>
    <row r="147" spans="1:19" x14ac:dyDescent="0.25">
      <c r="A147" s="137" t="s">
        <v>120</v>
      </c>
      <c r="B147" s="215">
        <f>WorkerTrips!I136</f>
        <v>0.62501787634901895</v>
      </c>
      <c r="C147" s="215">
        <f>WorkerTrips!G136</f>
        <v>5.6436779778818167</v>
      </c>
      <c r="D147" s="215">
        <f>WorkerTrips!H136</f>
        <v>0.5073879912511351</v>
      </c>
      <c r="E147" s="215">
        <f>WorkerTrips!J136</f>
        <v>8.2220924491283476E-3</v>
      </c>
      <c r="F147" s="215">
        <f>WorkerTrips!K136+WorkerTrips!M136</f>
        <v>0.18730647914076404</v>
      </c>
      <c r="G147" s="215">
        <f>WorkerTrips!L136+WorkerTrips!N136</f>
        <v>6.1006683631894626E-2</v>
      </c>
      <c r="H147" s="215">
        <f>WorkerTrips!O136</f>
        <v>600.07829829123966</v>
      </c>
      <c r="I147" s="215">
        <f>WorkerTrips!P136</f>
        <v>3.4854778951452753E-2</v>
      </c>
      <c r="J147" s="215">
        <f>WorkerTrips!Q136</f>
        <v>6.347332084158698E-2</v>
      </c>
      <c r="K147" s="215">
        <f>WorkerTrips!S136</f>
        <v>0.18624137327009996</v>
      </c>
      <c r="L147" s="215">
        <f>WorkerTrips!T136</f>
        <v>1.6743803711287458E-2</v>
      </c>
      <c r="M147" s="215">
        <f>WorkerTrips!U136</f>
        <v>2.0625589919517625E-2</v>
      </c>
      <c r="N147" s="215">
        <f>WorkerTrips!V136</f>
        <v>2.7132905082123546E-4</v>
      </c>
      <c r="O147" s="215">
        <f>WorkerTrips!W136+WorkerTrips!Y136</f>
        <v>6.1811138116452131E-3</v>
      </c>
      <c r="P147" s="215">
        <f>WorkerTrips!X136+WorkerTrips!Z136</f>
        <v>2.0132205598525224E-3</v>
      </c>
      <c r="Q147" s="214">
        <f>WorkerTrips!AA136</f>
        <v>19.802583843610908</v>
      </c>
      <c r="R147" s="215">
        <f>WorkerTrips!AB136</f>
        <v>1.1502077053979409E-3</v>
      </c>
      <c r="S147" s="215">
        <f>WorkerTrips!AC136</f>
        <v>2.0946195877723705E-3</v>
      </c>
    </row>
    <row r="148" spans="1:19" x14ac:dyDescent="0.25">
      <c r="A148" s="137" t="s">
        <v>121</v>
      </c>
      <c r="B148" s="215">
        <f>'Construction Trucks'!V175</f>
        <v>0.87958242275496623</v>
      </c>
      <c r="C148" s="215">
        <f>'Construction Trucks'!T175</f>
        <v>3.6279733784524</v>
      </c>
      <c r="D148" s="215">
        <f>'Construction Trucks'!U175</f>
        <v>16.642451877122525</v>
      </c>
      <c r="E148" s="215">
        <f>'Construction Trucks'!W175</f>
        <v>3.5895772305385917E-2</v>
      </c>
      <c r="F148" s="215">
        <f>'Construction Trucks'!X175+'Construction Trucks'!Z175</f>
        <v>0.71687885372044147</v>
      </c>
      <c r="G148" s="215">
        <f>'Construction Trucks'!Y175+'Construction Trucks'!AA175</f>
        <v>0.37113457040574355</v>
      </c>
      <c r="H148" s="215">
        <f>'Construction Trucks'!AB175</f>
        <v>5732.7181847473721</v>
      </c>
      <c r="I148" s="215">
        <f>'Construction Trucks'!AC175</f>
        <v>0.32758471523101906</v>
      </c>
      <c r="J148" s="215">
        <f>'Construction Trucks'!AD175</f>
        <v>0.14684930902048868</v>
      </c>
      <c r="K148" s="215">
        <f>'Construction Trucks'!AH175</f>
        <v>2.9026219950913885E-2</v>
      </c>
      <c r="L148" s="215">
        <f>'Construction Trucks'!AF175</f>
        <v>0.11972312148892919</v>
      </c>
      <c r="M148" s="215">
        <f>'Construction Trucks'!AG175</f>
        <v>0.54920091194504339</v>
      </c>
      <c r="N148" s="215">
        <f>'Construction Trucks'!AI175</f>
        <v>1.1845604860777354E-3</v>
      </c>
      <c r="O148" s="215">
        <f>'Construction Trucks'!AJ175+'Construction Trucks'!AL175</f>
        <v>2.3657002172774569E-2</v>
      </c>
      <c r="P148" s="215">
        <f>'Construction Trucks'!AK175+'Construction Trucks'!AM175</f>
        <v>1.2247440823389537E-2</v>
      </c>
      <c r="Q148" s="214">
        <f>'Construction Trucks'!AN175</f>
        <v>189.17970009666328</v>
      </c>
      <c r="R148" s="215">
        <f>'Construction Trucks'!AO175</f>
        <v>1.0810295602623629E-2</v>
      </c>
      <c r="S148" s="215">
        <f>'Construction Trucks'!AP175</f>
        <v>4.8460271976761265E-3</v>
      </c>
    </row>
    <row r="149" spans="1:19" x14ac:dyDescent="0.25">
      <c r="A149" s="137" t="s">
        <v>122</v>
      </c>
      <c r="B149" s="215"/>
      <c r="C149" s="215"/>
      <c r="D149" s="215"/>
      <c r="E149" s="215"/>
      <c r="F149" s="215">
        <f>'Fugitive Dust Substation'!B16</f>
        <v>32.678376443588213</v>
      </c>
      <c r="G149" s="215">
        <f>'Fugitive Dust Substation'!C16</f>
        <v>10.270346882270584</v>
      </c>
      <c r="H149" s="215"/>
      <c r="I149" s="215"/>
      <c r="J149" s="215"/>
      <c r="K149" s="215"/>
      <c r="L149" s="215"/>
      <c r="M149" s="215"/>
      <c r="N149" s="215"/>
      <c r="O149" s="215">
        <f>'Fugitive Dust Substation'!B18</f>
        <v>1.8573572778848784E-2</v>
      </c>
      <c r="P149" s="215">
        <f>'Fugitive Dust Substation'!C18</f>
        <v>5.8374085876381912E-3</v>
      </c>
      <c r="Q149" s="214"/>
      <c r="R149" s="215"/>
      <c r="S149" s="215"/>
    </row>
    <row r="150" spans="1:19" x14ac:dyDescent="0.25">
      <c r="A150" s="12" t="s">
        <v>123</v>
      </c>
      <c r="B150" s="22">
        <f t="shared" ref="B150:E150" si="135">SUM(B146:B149)</f>
        <v>9.5655968774188143</v>
      </c>
      <c r="C150" s="22">
        <f t="shared" si="135"/>
        <v>52.772059109010165</v>
      </c>
      <c r="D150" s="22">
        <f t="shared" si="135"/>
        <v>66.356996098146425</v>
      </c>
      <c r="E150" s="22">
        <f t="shared" si="135"/>
        <v>0.22693464313012929</v>
      </c>
      <c r="F150" s="22">
        <f>SUM(F146:F149)</f>
        <v>35.399144556669086</v>
      </c>
      <c r="G150" s="22">
        <f t="shared" ref="G150:S150" si="136">SUM(G146:G149)</f>
        <v>12.319246810703723</v>
      </c>
      <c r="H150" s="22">
        <f t="shared" si="136"/>
        <v>22534.202199323467</v>
      </c>
      <c r="I150" s="22">
        <f t="shared" si="136"/>
        <v>1.2908795822911436</v>
      </c>
      <c r="J150" s="22">
        <f t="shared" si="136"/>
        <v>4.8850024716904876</v>
      </c>
      <c r="K150" s="22">
        <f t="shared" si="136"/>
        <v>0.66972567267400629</v>
      </c>
      <c r="L150" s="22">
        <f t="shared" si="136"/>
        <v>2.4987784261253796</v>
      </c>
      <c r="M150" s="22">
        <f t="shared" si="136"/>
        <v>3.3253884737703907</v>
      </c>
      <c r="N150" s="22">
        <f t="shared" si="136"/>
        <v>1.1598199004567379E-2</v>
      </c>
      <c r="O150" s="22">
        <f t="shared" si="136"/>
        <v>0.15195762040897409</v>
      </c>
      <c r="P150" s="22">
        <f t="shared" si="136"/>
        <v>0.11225394913555818</v>
      </c>
      <c r="Q150" s="22">
        <f t="shared" si="136"/>
        <v>1109.5843136387255</v>
      </c>
      <c r="R150" s="22">
        <f t="shared" si="136"/>
        <v>6.4373015940992068E-2</v>
      </c>
      <c r="S150" s="22">
        <f t="shared" si="136"/>
        <v>0.26871903411650233</v>
      </c>
    </row>
    <row r="151" spans="1:19" x14ac:dyDescent="0.25">
      <c r="A151" s="137" t="s">
        <v>124</v>
      </c>
      <c r="B151" s="216">
        <v>75</v>
      </c>
      <c r="C151" s="216">
        <v>550</v>
      </c>
      <c r="D151" s="216">
        <v>100</v>
      </c>
      <c r="E151" s="216">
        <v>150</v>
      </c>
      <c r="F151" s="216">
        <v>150</v>
      </c>
      <c r="G151" s="216">
        <v>55</v>
      </c>
      <c r="H151" s="216" t="s">
        <v>126</v>
      </c>
      <c r="I151" s="216" t="s">
        <v>126</v>
      </c>
      <c r="J151" s="216" t="s">
        <v>126</v>
      </c>
      <c r="K151" s="213"/>
      <c r="L151" s="213"/>
      <c r="M151" s="213"/>
      <c r="N151" s="213"/>
      <c r="O151" s="213"/>
      <c r="P151" s="213"/>
      <c r="Q151" s="214"/>
      <c r="R151" s="213"/>
      <c r="S151" s="213"/>
    </row>
    <row r="152" spans="1:19" x14ac:dyDescent="0.25">
      <c r="A152" s="137" t="s">
        <v>125</v>
      </c>
      <c r="B152" s="27" t="str">
        <f>IF(B150&gt;B151,"Yes","No")</f>
        <v>No</v>
      </c>
      <c r="C152" s="27" t="str">
        <f t="shared" ref="C152" si="137">IF(C150&gt;C151,"Yes","No")</f>
        <v>No</v>
      </c>
      <c r="D152" s="27" t="str">
        <f t="shared" ref="D152" si="138">IF(D150&gt;D151,"Yes","No")</f>
        <v>No</v>
      </c>
      <c r="E152" s="27" t="str">
        <f t="shared" ref="E152" si="139">IF(E150&gt;E151,"Yes","No")</f>
        <v>No</v>
      </c>
      <c r="F152" s="27" t="str">
        <f t="shared" ref="F152" si="140">IF(F150&gt;F151,"Yes","No")</f>
        <v>No</v>
      </c>
      <c r="G152" s="27" t="str">
        <f t="shared" ref="G152" si="141">IF(G150&gt;G151,"Yes","No")</f>
        <v>No</v>
      </c>
      <c r="H152" s="27" t="s">
        <v>126</v>
      </c>
      <c r="I152" s="27" t="s">
        <v>126</v>
      </c>
      <c r="J152" s="27" t="s">
        <v>126</v>
      </c>
      <c r="K152" s="213"/>
      <c r="L152" s="213"/>
      <c r="M152" s="213"/>
      <c r="N152" s="213"/>
      <c r="O152" s="213"/>
      <c r="P152" s="213"/>
      <c r="Q152" s="214"/>
      <c r="R152" s="213"/>
      <c r="S152" s="213"/>
    </row>
    <row r="155" spans="1:19" ht="39.6" x14ac:dyDescent="0.25">
      <c r="A155" s="12" t="str">
        <f>'Equipment Capistrano Sub 230kV'!A102</f>
        <v>Capistrano Substation Construction - 230 kV</v>
      </c>
      <c r="B155" s="16" t="s">
        <v>18</v>
      </c>
      <c r="C155" s="16" t="s">
        <v>19</v>
      </c>
      <c r="D155" s="16" t="s">
        <v>20</v>
      </c>
      <c r="E155" s="16" t="s">
        <v>21</v>
      </c>
      <c r="F155" s="16" t="s">
        <v>22</v>
      </c>
      <c r="G155" s="16" t="s">
        <v>23</v>
      </c>
      <c r="H155" s="17" t="s">
        <v>24</v>
      </c>
      <c r="I155" s="16" t="s">
        <v>25</v>
      </c>
      <c r="J155" s="16" t="s">
        <v>26</v>
      </c>
      <c r="K155" s="18" t="s">
        <v>27</v>
      </c>
      <c r="L155" s="18" t="s">
        <v>28</v>
      </c>
      <c r="M155" s="18" t="s">
        <v>29</v>
      </c>
      <c r="N155" s="18" t="s">
        <v>30</v>
      </c>
      <c r="O155" s="18" t="s">
        <v>31</v>
      </c>
      <c r="P155" s="18" t="s">
        <v>32</v>
      </c>
      <c r="Q155" s="17" t="s">
        <v>33</v>
      </c>
      <c r="R155" s="18" t="s">
        <v>34</v>
      </c>
      <c r="S155" s="18" t="s">
        <v>35</v>
      </c>
    </row>
    <row r="156" spans="1:19" x14ac:dyDescent="0.25">
      <c r="A156" s="137" t="s">
        <v>75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213"/>
      <c r="S156" s="213"/>
    </row>
    <row r="157" spans="1:19" x14ac:dyDescent="0.25">
      <c r="A157" s="137" t="s">
        <v>119</v>
      </c>
      <c r="B157" s="215">
        <f>'Equipment Capistrano Sub 230kV'!Q50</f>
        <v>8.7846299354902033</v>
      </c>
      <c r="C157" s="215">
        <f>'Equipment Capistrano Sub 230kV'!R50</f>
        <v>43.755820967159821</v>
      </c>
      <c r="D157" s="215">
        <f>'Equipment Capistrano Sub 230kV'!S50</f>
        <v>53.882364699707075</v>
      </c>
      <c r="E157" s="215">
        <f>'Equipment Capistrano Sub 230kV'!T50</f>
        <v>0.19908385082326924</v>
      </c>
      <c r="F157" s="215">
        <f>'Equipment Capistrano Sub 230kV'!U50</f>
        <v>1.9500300302663813</v>
      </c>
      <c r="G157" s="215">
        <f>'Equipment Capistrano Sub 230kV'!V50</f>
        <v>1.7355267269370795</v>
      </c>
      <c r="H157" s="215">
        <f>'Equipment Capistrano Sub 230kV'!W50</f>
        <v>18019.711095395505</v>
      </c>
      <c r="I157" s="215">
        <f>'Equipment Capistrano Sub 230kV'!X50</f>
        <v>1.0113215021382504</v>
      </c>
      <c r="J157" s="215">
        <f>'Equipment Capistrano Sub 230kV'!Y50</f>
        <v>5.1188246464721727</v>
      </c>
      <c r="K157" s="213">
        <f>'Equipment Capistrano Sub 230kV'!E113</f>
        <v>0.26365115389252591</v>
      </c>
      <c r="L157" s="213">
        <f>'Equipment Capistrano Sub 230kV'!F113</f>
        <v>1.4888807470134449</v>
      </c>
      <c r="M157" s="213">
        <f>'Equipment Capistrano Sub 230kV'!G113</f>
        <v>1.6541681639674923</v>
      </c>
      <c r="N157" s="213">
        <f>'Equipment Capistrano Sub 230kV'!H113</f>
        <v>5.4602386119938975E-3</v>
      </c>
      <c r="O157" s="213">
        <f>'Equipment Capistrano Sub 230kV'!I113</f>
        <v>6.6511232900379955E-2</v>
      </c>
      <c r="P157" s="213">
        <f>'Equipment Capistrano Sub 230kV'!J113</f>
        <v>5.9194997281338174E-2</v>
      </c>
      <c r="Q157" s="213">
        <f>'Equipment Capistrano Sub 230kV'!K113</f>
        <v>484.82071490473533</v>
      </c>
      <c r="R157" s="213">
        <f>'Equipment Capistrano Sub 230kV'!L113</f>
        <v>2.9767917424729312E-2</v>
      </c>
      <c r="S157" s="213">
        <f>'Equipment Capistrano Sub 230kV'!M113</f>
        <v>0.15714597557691182</v>
      </c>
    </row>
    <row r="158" spans="1:19" x14ac:dyDescent="0.25">
      <c r="A158" s="137" t="s">
        <v>120</v>
      </c>
      <c r="B158" s="215">
        <f>WorkerTrips!I137</f>
        <v>0.58144275838583392</v>
      </c>
      <c r="C158" s="215">
        <f>WorkerTrips!G137</f>
        <v>5.1663631854704333</v>
      </c>
      <c r="D158" s="215">
        <f>WorkerTrips!H137</f>
        <v>0.46455842923186813</v>
      </c>
      <c r="E158" s="215">
        <f>WorkerTrips!J137</f>
        <v>8.2177036861548966E-3</v>
      </c>
      <c r="F158" s="215">
        <f>WorkerTrips!K137+WorkerTrips!M137</f>
        <v>0.18689646312803451</v>
      </c>
      <c r="G158" s="215">
        <f>WorkerTrips!L137+WorkerTrips!N137</f>
        <v>6.0647621214487732E-2</v>
      </c>
      <c r="H158" s="215">
        <f>WorkerTrips!O137</f>
        <v>579.2299418443057</v>
      </c>
      <c r="I158" s="215">
        <f>WorkerTrips!P137</f>
        <v>3.4836777343769255E-2</v>
      </c>
      <c r="J158" s="215">
        <f>WorkerTrips!Q137</f>
        <v>6.3465400075736936E-2</v>
      </c>
      <c r="K158" s="215">
        <f>WorkerTrips!S137</f>
        <v>0.1704899851205243</v>
      </c>
      <c r="L158" s="215">
        <f>WorkerTrips!T137</f>
        <v>1.5330428164651648E-2</v>
      </c>
      <c r="M158" s="215">
        <f>WorkerTrips!U137</f>
        <v>1.9187611026732519E-2</v>
      </c>
      <c r="N158" s="215">
        <f>WorkerTrips!V137</f>
        <v>2.7118422164311158E-4</v>
      </c>
      <c r="O158" s="215">
        <f>WorkerTrips!W137+WorkerTrips!Y137</f>
        <v>6.1675832832251386E-3</v>
      </c>
      <c r="P158" s="215">
        <f>WorkerTrips!X137+WorkerTrips!Z137</f>
        <v>2.0013715000780953E-3</v>
      </c>
      <c r="Q158" s="214">
        <f>WorkerTrips!AA137</f>
        <v>19.114588080862088</v>
      </c>
      <c r="R158" s="215">
        <f>WorkerTrips!AB137</f>
        <v>1.1496136523443854E-3</v>
      </c>
      <c r="S158" s="215">
        <f>WorkerTrips!AC137</f>
        <v>2.0943582024993187E-3</v>
      </c>
    </row>
    <row r="159" spans="1:19" x14ac:dyDescent="0.25">
      <c r="A159" s="137" t="s">
        <v>121</v>
      </c>
      <c r="B159" s="215">
        <f>'Construction Trucks'!V179</f>
        <v>8.730581848285994E-2</v>
      </c>
      <c r="C159" s="215">
        <f>'Construction Trucks'!T179</f>
        <v>0.45140657553559738</v>
      </c>
      <c r="D159" s="215">
        <f>'Construction Trucks'!U179</f>
        <v>0.48107108111799818</v>
      </c>
      <c r="E159" s="215">
        <f>'Construction Trucks'!W179</f>
        <v>2.5287358134424877E-3</v>
      </c>
      <c r="F159" s="215">
        <f>'Construction Trucks'!X179+'Construction Trucks'!Z179</f>
        <v>0.14298651526634776</v>
      </c>
      <c r="G159" s="215">
        <f>'Construction Trucks'!Y179+'Construction Trucks'!AA179</f>
        <v>8.7879725622785482E-2</v>
      </c>
      <c r="H159" s="215">
        <f>'Construction Trucks'!AB179</f>
        <v>225.78081788293304</v>
      </c>
      <c r="I159" s="215">
        <f>'Construction Trucks'!AC179</f>
        <v>1.2901793276284443E-2</v>
      </c>
      <c r="J159" s="215">
        <f>'Construction Trucks'!AD179</f>
        <v>5.7836014308892143E-3</v>
      </c>
      <c r="K159" s="215">
        <f>'Construction Trucks'!AH179</f>
        <v>9.6036400331145945E-3</v>
      </c>
      <c r="L159" s="215">
        <f>'Construction Trucks'!AF179</f>
        <v>4.965472330891571E-2</v>
      </c>
      <c r="M159" s="215">
        <f>'Construction Trucks'!AG179</f>
        <v>5.2917818922979795E-2</v>
      </c>
      <c r="N159" s="215">
        <f>'Construction Trucks'!AI179</f>
        <v>2.7816093947867363E-4</v>
      </c>
      <c r="O159" s="215">
        <f>'Construction Trucks'!AJ179+'Construction Trucks'!AL179</f>
        <v>1.5728516679298254E-2</v>
      </c>
      <c r="P159" s="215">
        <f>'Construction Trucks'!AK179+'Construction Trucks'!AM179</f>
        <v>9.6667698185064019E-3</v>
      </c>
      <c r="Q159" s="214">
        <f>'Construction Trucks'!AN179</f>
        <v>24.835889967122636</v>
      </c>
      <c r="R159" s="215">
        <f>'Construction Trucks'!AO179</f>
        <v>1.4191972603912887E-3</v>
      </c>
      <c r="S159" s="215">
        <f>'Construction Trucks'!AP179</f>
        <v>6.3619615739781354E-4</v>
      </c>
    </row>
    <row r="160" spans="1:19" x14ac:dyDescent="0.25">
      <c r="A160" s="12" t="s">
        <v>123</v>
      </c>
      <c r="B160" s="22">
        <f t="shared" ref="B160:S160" si="142">SUM(B157:B159)</f>
        <v>9.4533785123588974</v>
      </c>
      <c r="C160" s="22">
        <f t="shared" si="142"/>
        <v>49.373590728165851</v>
      </c>
      <c r="D160" s="22">
        <f t="shared" si="142"/>
        <v>54.827994210056943</v>
      </c>
      <c r="E160" s="22">
        <f t="shared" si="142"/>
        <v>0.20983029032286662</v>
      </c>
      <c r="F160" s="22">
        <f t="shared" si="142"/>
        <v>2.2799130086607637</v>
      </c>
      <c r="G160" s="22">
        <f t="shared" si="142"/>
        <v>1.8840540737743527</v>
      </c>
      <c r="H160" s="22">
        <f t="shared" si="142"/>
        <v>18824.721855122745</v>
      </c>
      <c r="I160" s="22">
        <f t="shared" si="142"/>
        <v>1.0590600727583042</v>
      </c>
      <c r="J160" s="22">
        <f t="shared" si="142"/>
        <v>5.1880736479787988</v>
      </c>
      <c r="K160" s="22">
        <f t="shared" si="142"/>
        <v>0.44374477904616477</v>
      </c>
      <c r="L160" s="22">
        <f t="shared" si="142"/>
        <v>1.5538658984870122</v>
      </c>
      <c r="M160" s="22">
        <f t="shared" si="142"/>
        <v>1.7262735939172047</v>
      </c>
      <c r="N160" s="22">
        <f t="shared" si="142"/>
        <v>6.0095837731156832E-3</v>
      </c>
      <c r="O160" s="22">
        <f t="shared" si="142"/>
        <v>8.8407332862903351E-2</v>
      </c>
      <c r="P160" s="22">
        <f t="shared" si="142"/>
        <v>7.0863138599922673E-2</v>
      </c>
      <c r="Q160" s="22">
        <f t="shared" si="142"/>
        <v>528.77119295272007</v>
      </c>
      <c r="R160" s="22">
        <f t="shared" si="142"/>
        <v>3.2336728337464982E-2</v>
      </c>
      <c r="S160" s="22">
        <f t="shared" si="142"/>
        <v>0.15987652993680895</v>
      </c>
    </row>
    <row r="161" spans="1:19" x14ac:dyDescent="0.25">
      <c r="A161" s="137" t="s">
        <v>124</v>
      </c>
      <c r="B161" s="216">
        <v>75</v>
      </c>
      <c r="C161" s="216">
        <v>550</v>
      </c>
      <c r="D161" s="216">
        <v>100</v>
      </c>
      <c r="E161" s="216">
        <v>150</v>
      </c>
      <c r="F161" s="216">
        <v>150</v>
      </c>
      <c r="G161" s="216">
        <v>55</v>
      </c>
      <c r="H161" s="216" t="s">
        <v>126</v>
      </c>
      <c r="I161" s="216" t="s">
        <v>126</v>
      </c>
      <c r="J161" s="216" t="s">
        <v>126</v>
      </c>
      <c r="K161" s="213"/>
      <c r="L161" s="213"/>
      <c r="M161" s="213"/>
      <c r="N161" s="213"/>
      <c r="O161" s="213"/>
      <c r="P161" s="213"/>
      <c r="Q161" s="214"/>
      <c r="R161" s="213"/>
      <c r="S161" s="213"/>
    </row>
    <row r="162" spans="1:19" x14ac:dyDescent="0.25">
      <c r="A162" s="137" t="s">
        <v>125</v>
      </c>
      <c r="B162" s="27" t="str">
        <f>IF(B160&gt;B161,"Yes","No")</f>
        <v>No</v>
      </c>
      <c r="C162" s="27" t="str">
        <f t="shared" ref="C162" si="143">IF(C160&gt;C161,"Yes","No")</f>
        <v>No</v>
      </c>
      <c r="D162" s="27" t="str">
        <f t="shared" ref="D162" si="144">IF(D160&gt;D161,"Yes","No")</f>
        <v>No</v>
      </c>
      <c r="E162" s="27" t="str">
        <f t="shared" ref="E162" si="145">IF(E160&gt;E161,"Yes","No")</f>
        <v>No</v>
      </c>
      <c r="F162" s="27" t="str">
        <f t="shared" ref="F162" si="146">IF(F160&gt;F161,"Yes","No")</f>
        <v>No</v>
      </c>
      <c r="G162" s="27" t="str">
        <f t="shared" ref="G162" si="147">IF(G160&gt;G161,"Yes","No")</f>
        <v>No</v>
      </c>
      <c r="H162" s="27" t="s">
        <v>126</v>
      </c>
      <c r="I162" s="27" t="s">
        <v>126</v>
      </c>
      <c r="J162" s="27" t="s">
        <v>126</v>
      </c>
      <c r="K162" s="213"/>
      <c r="L162" s="213"/>
      <c r="M162" s="213"/>
      <c r="N162" s="213"/>
      <c r="O162" s="213"/>
      <c r="P162" s="213"/>
      <c r="Q162" s="214"/>
      <c r="R162" s="213"/>
      <c r="S162" s="213"/>
    </row>
    <row r="164" spans="1:19" s="572" customFormat="1" x14ac:dyDescent="0.25">
      <c r="A164" s="32"/>
      <c r="Q164" s="7"/>
    </row>
    <row r="165" spans="1:19" s="572" customFormat="1" ht="39.6" x14ac:dyDescent="0.25">
      <c r="A165" s="12" t="str">
        <f>'Equipment Talega Substation'!A31</f>
        <v>Talega Substation Construction</v>
      </c>
      <c r="B165" s="16" t="s">
        <v>18</v>
      </c>
      <c r="C165" s="16" t="s">
        <v>19</v>
      </c>
      <c r="D165" s="16" t="s">
        <v>20</v>
      </c>
      <c r="E165" s="16" t="s">
        <v>21</v>
      </c>
      <c r="F165" s="16" t="s">
        <v>22</v>
      </c>
      <c r="G165" s="16" t="s">
        <v>23</v>
      </c>
      <c r="H165" s="17" t="s">
        <v>24</v>
      </c>
      <c r="I165" s="16" t="s">
        <v>25</v>
      </c>
      <c r="J165" s="16" t="s">
        <v>26</v>
      </c>
      <c r="K165" s="18" t="s">
        <v>27</v>
      </c>
      <c r="L165" s="18" t="s">
        <v>28</v>
      </c>
      <c r="M165" s="18" t="s">
        <v>29</v>
      </c>
      <c r="N165" s="18" t="s">
        <v>30</v>
      </c>
      <c r="O165" s="18" t="s">
        <v>31</v>
      </c>
      <c r="P165" s="18" t="s">
        <v>32</v>
      </c>
      <c r="Q165" s="17" t="s">
        <v>33</v>
      </c>
      <c r="R165" s="18" t="s">
        <v>34</v>
      </c>
      <c r="S165" s="18" t="s">
        <v>35</v>
      </c>
    </row>
    <row r="166" spans="1:19" s="572" customFormat="1" x14ac:dyDescent="0.25">
      <c r="A166" s="137" t="s">
        <v>75</v>
      </c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4"/>
      <c r="R166" s="213"/>
      <c r="S166" s="213"/>
    </row>
    <row r="167" spans="1:19" s="572" customFormat="1" x14ac:dyDescent="0.25">
      <c r="A167" s="137" t="s">
        <v>119</v>
      </c>
      <c r="B167" s="215">
        <f>0.64*'Equipment Talega Substation'!Q40</f>
        <v>0.90681891042298624</v>
      </c>
      <c r="C167" s="215">
        <f>0.64*'Equipment Talega Substation'!R40</f>
        <v>5.2670847648282484</v>
      </c>
      <c r="D167" s="215">
        <f>0.64*'Equipment Talega Substation'!S40</f>
        <v>5.7618486985324546</v>
      </c>
      <c r="E167" s="215">
        <f>0.64*'Equipment Talega Substation'!T40</f>
        <v>1.7065612493784514E-2</v>
      </c>
      <c r="F167" s="215">
        <f>0.64*'Equipment Talega Substation'!U40</f>
        <v>0.23034760399492638</v>
      </c>
      <c r="G167" s="215">
        <f>0.64*'Equipment Talega Substation'!V40</f>
        <v>0.20500936755548446</v>
      </c>
      <c r="H167" s="215">
        <f>0.64*'Equipment Talega Substation'!W40</f>
        <v>1538.844070715576</v>
      </c>
      <c r="I167" s="215">
        <f>0.64*'Equipment Talega Substation'!X40</f>
        <v>0.10677150206587499</v>
      </c>
      <c r="J167" s="215">
        <f>0.64*'Equipment Talega Substation'!Y40</f>
        <v>0.54737562636058323</v>
      </c>
      <c r="K167" s="213">
        <f>0.64*'Equipment Talega Substation'!E76</f>
        <v>3.7631323415978683E-2</v>
      </c>
      <c r="L167" s="213">
        <f>0.64*'Equipment Talega Substation'!F76</f>
        <v>0.23825072492287624</v>
      </c>
      <c r="M167" s="213">
        <f>0.64*'Equipment Talega Substation'!G76</f>
        <v>0.24535563576331651</v>
      </c>
      <c r="N167" s="213">
        <f>0.64*'Equipment Talega Substation'!H76</f>
        <v>6.1624246353528614E-4</v>
      </c>
      <c r="O167" s="213">
        <f>0.64*'Equipment Talega Substation'!I76</f>
        <v>1.060409516379705E-2</v>
      </c>
      <c r="P167" s="213">
        <f>0.64*'Equipment Talega Substation'!J76</f>
        <v>9.4376446957793753E-3</v>
      </c>
      <c r="Q167" s="213">
        <f>0.64*'Equipment Talega Substation'!K76</f>
        <v>55.392052803842333</v>
      </c>
      <c r="R167" s="213">
        <f>0.64*'Equipment Talega Substation'!L76</f>
        <v>4.5146626375400338E-3</v>
      </c>
      <c r="S167" s="213">
        <f>0.64*'Equipment Talega Substation'!M76</f>
        <v>2.3308785397515068E-2</v>
      </c>
    </row>
    <row r="168" spans="1:19" s="572" customFormat="1" x14ac:dyDescent="0.25">
      <c r="A168" s="137" t="s">
        <v>120</v>
      </c>
      <c r="B168" s="215">
        <f>0.98275*WorkerTrips!I132</f>
        <v>0.48595226178647682</v>
      </c>
      <c r="C168" s="215">
        <f>0.98275*WorkerTrips!G132</f>
        <v>4.5016940124242897</v>
      </c>
      <c r="D168" s="215">
        <f>0.98275*WorkerTrips!H132</f>
        <v>0.41589858781347744</v>
      </c>
      <c r="E168" s="215">
        <f>0.98275*WorkerTrips!J132</f>
        <v>5.7127971934520299E-3</v>
      </c>
      <c r="F168" s="215">
        <f>0.98275*WorkerTrips!K132+0.98275*WorkerTrips!M132</f>
        <v>0.1345313212832317</v>
      </c>
      <c r="G168" s="215">
        <f>0.98275*WorkerTrips!L132+0.98275*WorkerTrips!N132</f>
        <v>4.417403718936936E-2</v>
      </c>
      <c r="H168" s="215">
        <f>0.98275*WorkerTrips!O132</f>
        <v>511.07569997153558</v>
      </c>
      <c r="I168" s="215">
        <f>0.98275*WorkerTrips!P132</f>
        <v>2.4951268271976197E-2</v>
      </c>
      <c r="J168" s="215">
        <f>0.98275*WorkerTrips!Q132</f>
        <v>4.5383540779711601E-2</v>
      </c>
      <c r="K168" s="215">
        <f>0.98275*WorkerTrips!S132</f>
        <v>0.14855590241000158</v>
      </c>
      <c r="L168" s="215">
        <f>0.98275*WorkerTrips!T132</f>
        <v>1.3724653397844755E-2</v>
      </c>
      <c r="M168" s="215">
        <f>0.98275*WorkerTrips!U132</f>
        <v>1.6036424638953738E-2</v>
      </c>
      <c r="N168" s="215">
        <f>0.98275*WorkerTrips!V132</f>
        <v>1.8852230738391698E-4</v>
      </c>
      <c r="O168" s="215">
        <f>0.98275*WorkerTrips!W132+0.98275*WorkerTrips!Y132</f>
        <v>4.4395336023466464E-3</v>
      </c>
      <c r="P168" s="215">
        <f>0.98275*WorkerTrips!X132+0.98275*WorkerTrips!Z132</f>
        <v>1.4577432272491889E-3</v>
      </c>
      <c r="Q168" s="214">
        <f>0.98275*WorkerTrips!AA132</f>
        <v>16.865498099060673</v>
      </c>
      <c r="R168" s="215">
        <f>0.98275*WorkerTrips!AB132</f>
        <v>8.2339185297521447E-4</v>
      </c>
      <c r="S168" s="215">
        <f>0.98275*WorkerTrips!AC132</f>
        <v>1.4976568457304828E-3</v>
      </c>
    </row>
    <row r="169" spans="1:19" s="572" customFormat="1" x14ac:dyDescent="0.25">
      <c r="A169" s="137" t="s">
        <v>121</v>
      </c>
      <c r="B169" s="215">
        <f>0.98275*'Construction Trucks'!V131</f>
        <v>7.1499827595025503E-2</v>
      </c>
      <c r="C169" s="215">
        <f>0.98275*'Construction Trucks'!T131</f>
        <v>0.36968317675634021</v>
      </c>
      <c r="D169" s="215">
        <f>0.98275*'Construction Trucks'!U131</f>
        <v>0.39397717080726058</v>
      </c>
      <c r="E169" s="215">
        <f>0.98275*'Construction Trucks'!W131</f>
        <v>2.0709292672171707E-3</v>
      </c>
      <c r="F169" s="215">
        <f>0.98275*'Construction Trucks'!X131+0.98275*'Construction Trucks'!Z131</f>
        <v>0.11709999823166939</v>
      </c>
      <c r="G169" s="215">
        <f>0.98275*'Construction Trucks'!Y131+0.98275*'Construction Trucks'!AA131</f>
        <v>7.1969833629827021E-2</v>
      </c>
      <c r="H169" s="215">
        <f>0.98275*'Construction Trucks'!AB131</f>
        <v>184.9050823120437</v>
      </c>
      <c r="I169" s="215">
        <f>0.98275*'Construction Trucks'!AC131</f>
        <v>1.0566031118557114E-2</v>
      </c>
      <c r="J169" s="215">
        <f>0.98275*'Construction Trucks'!AD131</f>
        <v>4.7365285885053116E-3</v>
      </c>
      <c r="K169" s="215">
        <f>0.98275*'Construction Trucks'!AH131</f>
        <v>7.8649810354528048E-4</v>
      </c>
      <c r="L169" s="215">
        <f>0.98275*'Construction Trucks'!AF131</f>
        <v>4.0665149443197424E-3</v>
      </c>
      <c r="M169" s="215">
        <f>0.98275*'Construction Trucks'!AG131</f>
        <v>4.3337488788798666E-3</v>
      </c>
      <c r="N169" s="215">
        <f>0.98275*'Construction Trucks'!AI131</f>
        <v>2.278022193938888E-5</v>
      </c>
      <c r="O169" s="215">
        <f>0.98275*'Construction Trucks'!AJ131+0.98275*'Construction Trucks'!AL131</f>
        <v>1.2880999805483634E-3</v>
      </c>
      <c r="P169" s="215">
        <f>0.98275*'Construction Trucks'!AK131+0.98275*'Construction Trucks'!AM131</f>
        <v>7.9166816992809713E-4</v>
      </c>
      <c r="Q169" s="214">
        <f>0.98275*'Construction Trucks'!AN131</f>
        <v>2.0339559054324812</v>
      </c>
      <c r="R169" s="215">
        <f>0.98275*'Construction Trucks'!AO131</f>
        <v>1.1622634230412826E-4</v>
      </c>
      <c r="S169" s="215">
        <f>0.98275*'Construction Trucks'!AP131</f>
        <v>5.2101814473558429E-5</v>
      </c>
    </row>
    <row r="170" spans="1:19" s="572" customFormat="1" x14ac:dyDescent="0.25">
      <c r="A170" s="12" t="s">
        <v>123</v>
      </c>
      <c r="B170" s="22">
        <f t="shared" ref="B170:S170" si="148">SUM(B167:B169)</f>
        <v>1.4642709998044887</v>
      </c>
      <c r="C170" s="22">
        <f t="shared" si="148"/>
        <v>10.138461954008879</v>
      </c>
      <c r="D170" s="22">
        <f t="shared" si="148"/>
        <v>6.5717244571531923</v>
      </c>
      <c r="E170" s="22">
        <f t="shared" si="148"/>
        <v>2.4849338954453716E-2</v>
      </c>
      <c r="F170" s="22">
        <f t="shared" si="148"/>
        <v>0.48197892350982746</v>
      </c>
      <c r="G170" s="22">
        <f t="shared" si="148"/>
        <v>0.32115323837468085</v>
      </c>
      <c r="H170" s="22">
        <f t="shared" si="148"/>
        <v>2234.8248529991552</v>
      </c>
      <c r="I170" s="22">
        <f t="shared" si="148"/>
        <v>0.14228880145640829</v>
      </c>
      <c r="J170" s="22">
        <f t="shared" si="148"/>
        <v>0.59749569572880012</v>
      </c>
      <c r="K170" s="22">
        <f t="shared" si="148"/>
        <v>0.18697372392952555</v>
      </c>
      <c r="L170" s="22">
        <f t="shared" si="148"/>
        <v>0.25604189326504073</v>
      </c>
      <c r="M170" s="22">
        <f t="shared" si="148"/>
        <v>0.26572580928115014</v>
      </c>
      <c r="N170" s="22">
        <f t="shared" si="148"/>
        <v>8.2754499285859204E-4</v>
      </c>
      <c r="O170" s="22">
        <f t="shared" si="148"/>
        <v>1.6331728746692059E-2</v>
      </c>
      <c r="P170" s="22">
        <f t="shared" si="148"/>
        <v>1.1687056092956661E-2</v>
      </c>
      <c r="Q170" s="22">
        <f t="shared" si="148"/>
        <v>74.291506808335484</v>
      </c>
      <c r="R170" s="22">
        <f t="shared" si="148"/>
        <v>5.4542808328193765E-3</v>
      </c>
      <c r="S170" s="22">
        <f t="shared" si="148"/>
        <v>2.4858544057719107E-2</v>
      </c>
    </row>
    <row r="171" spans="1:19" s="572" customFormat="1" x14ac:dyDescent="0.25">
      <c r="A171" s="137" t="s">
        <v>124</v>
      </c>
      <c r="B171" s="216">
        <v>75</v>
      </c>
      <c r="C171" s="216">
        <v>550</v>
      </c>
      <c r="D171" s="216">
        <v>100</v>
      </c>
      <c r="E171" s="216">
        <v>150</v>
      </c>
      <c r="F171" s="216">
        <v>150</v>
      </c>
      <c r="G171" s="216">
        <v>55</v>
      </c>
      <c r="H171" s="216" t="s">
        <v>126</v>
      </c>
      <c r="I171" s="216" t="s">
        <v>126</v>
      </c>
      <c r="J171" s="216" t="s">
        <v>126</v>
      </c>
      <c r="K171" s="213"/>
      <c r="L171" s="213"/>
      <c r="M171" s="213"/>
      <c r="N171" s="213"/>
      <c r="O171" s="213"/>
      <c r="P171" s="213"/>
      <c r="Q171" s="214"/>
      <c r="R171" s="213"/>
      <c r="S171" s="213"/>
    </row>
    <row r="172" spans="1:19" s="572" customFormat="1" x14ac:dyDescent="0.25">
      <c r="A172" s="137" t="s">
        <v>125</v>
      </c>
      <c r="B172" s="27" t="str">
        <f>IF(B170&gt;B171,"Yes","No")</f>
        <v>No</v>
      </c>
      <c r="C172" s="27" t="str">
        <f t="shared" ref="C172" si="149">IF(C170&gt;C171,"Yes","No")</f>
        <v>No</v>
      </c>
      <c r="D172" s="27" t="str">
        <f t="shared" ref="D172" si="150">IF(D170&gt;D171,"Yes","No")</f>
        <v>No</v>
      </c>
      <c r="E172" s="27" t="str">
        <f t="shared" ref="E172" si="151">IF(E170&gt;E171,"Yes","No")</f>
        <v>No</v>
      </c>
      <c r="F172" s="27" t="str">
        <f t="shared" ref="F172" si="152">IF(F170&gt;F171,"Yes","No")</f>
        <v>No</v>
      </c>
      <c r="G172" s="27" t="str">
        <f t="shared" ref="G172" si="153">IF(G170&gt;G171,"Yes","No")</f>
        <v>No</v>
      </c>
      <c r="H172" s="27" t="s">
        <v>126</v>
      </c>
      <c r="I172" s="27" t="s">
        <v>126</v>
      </c>
      <c r="J172" s="27" t="s">
        <v>126</v>
      </c>
      <c r="K172" s="213"/>
      <c r="L172" s="213"/>
      <c r="M172" s="213"/>
      <c r="N172" s="213"/>
      <c r="O172" s="213"/>
      <c r="P172" s="213"/>
      <c r="Q172" s="214"/>
      <c r="R172" s="213"/>
      <c r="S172" s="213"/>
    </row>
    <row r="173" spans="1:19" s="572" customFormat="1" x14ac:dyDescent="0.25">
      <c r="A173" s="119"/>
      <c r="B173" s="97"/>
      <c r="C173" s="97"/>
      <c r="D173" s="97"/>
      <c r="E173" s="97"/>
      <c r="F173" s="97"/>
      <c r="G173" s="97"/>
      <c r="H173" s="97"/>
      <c r="I173" s="97"/>
      <c r="J173" s="107"/>
      <c r="K173"/>
      <c r="L173"/>
      <c r="M173"/>
      <c r="N173"/>
      <c r="O173"/>
      <c r="P173"/>
      <c r="Q173" s="7"/>
      <c r="R173"/>
      <c r="S173"/>
    </row>
    <row r="174" spans="1:19" s="572" customFormat="1" x14ac:dyDescent="0.25">
      <c r="A174" s="32"/>
      <c r="Q174" s="7"/>
    </row>
    <row r="175" spans="1:19" s="572" customFormat="1" x14ac:dyDescent="0.25">
      <c r="A175" s="613">
        <v>2019</v>
      </c>
      <c r="Q175" s="7"/>
    </row>
    <row r="176" spans="1:19" ht="39.6" x14ac:dyDescent="0.25">
      <c r="A176" s="12" t="str">
        <f>'Equipment Capistrano Sub 230kV'!A115</f>
        <v>Capistrano Substation Relay Testing - 230 kV</v>
      </c>
      <c r="B176" s="16" t="s">
        <v>18</v>
      </c>
      <c r="C176" s="16" t="s">
        <v>19</v>
      </c>
      <c r="D176" s="16" t="s">
        <v>20</v>
      </c>
      <c r="E176" s="16" t="s">
        <v>21</v>
      </c>
      <c r="F176" s="16" t="s">
        <v>22</v>
      </c>
      <c r="G176" s="16" t="s">
        <v>23</v>
      </c>
      <c r="H176" s="17" t="s">
        <v>24</v>
      </c>
      <c r="I176" s="16" t="s">
        <v>25</v>
      </c>
      <c r="J176" s="16" t="s">
        <v>26</v>
      </c>
      <c r="K176" s="18" t="s">
        <v>27</v>
      </c>
      <c r="L176" s="18" t="s">
        <v>28</v>
      </c>
      <c r="M176" s="18" t="s">
        <v>29</v>
      </c>
      <c r="N176" s="18" t="s">
        <v>30</v>
      </c>
      <c r="O176" s="18" t="s">
        <v>31</v>
      </c>
      <c r="P176" s="18" t="s">
        <v>32</v>
      </c>
      <c r="Q176" s="17" t="s">
        <v>33</v>
      </c>
      <c r="R176" s="18" t="s">
        <v>34</v>
      </c>
      <c r="S176" s="18" t="s">
        <v>35</v>
      </c>
    </row>
    <row r="177" spans="1:19" x14ac:dyDescent="0.25">
      <c r="A177" s="137" t="s">
        <v>75</v>
      </c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4"/>
      <c r="R177" s="213"/>
      <c r="S177" s="213"/>
    </row>
    <row r="178" spans="1:19" x14ac:dyDescent="0.25">
      <c r="A178" s="137" t="s">
        <v>119</v>
      </c>
      <c r="B178" s="215">
        <f>'Equipment Capistrano Sub 230kV'!Q54</f>
        <v>0.13417155531042665</v>
      </c>
      <c r="C178" s="215">
        <f>'Equipment Capistrano Sub 230kV'!R54</f>
        <v>0.68288452627058893</v>
      </c>
      <c r="D178" s="215">
        <f>'Equipment Capistrano Sub 230kV'!S54</f>
        <v>0.73085608589885753</v>
      </c>
      <c r="E178" s="215">
        <f>'Equipment Capistrano Sub 230kV'!T54</f>
        <v>3.7478439971739626E-3</v>
      </c>
      <c r="F178" s="215">
        <f>'Equipment Capistrano Sub 230kV'!U54</f>
        <v>2.5478352003277777E-2</v>
      </c>
      <c r="G178" s="215">
        <f>'Equipment Capistrano Sub 230kV'!V54</f>
        <v>2.2675733282917221E-2</v>
      </c>
      <c r="H178" s="215">
        <f>'Equipment Capistrano Sub 230kV'!W54</f>
        <v>333.09082264926371</v>
      </c>
      <c r="I178" s="215">
        <f>'Equipment Capistrano Sub 230kV'!X54</f>
        <v>1.7707594014364902E-2</v>
      </c>
      <c r="J178" s="215">
        <f>'Equipment Capistrano Sub 230kV'!Y54</f>
        <v>6.9431328160391464E-2</v>
      </c>
      <c r="K178" s="213">
        <f>'Equipment Capistrano Sub 230kV'!E117</f>
        <v>7.3794355420734661E-3</v>
      </c>
      <c r="L178" s="213">
        <f>'Equipment Capistrano Sub 230kV'!F117</f>
        <v>3.7558648944882395E-2</v>
      </c>
      <c r="M178" s="213">
        <f>'Equipment Capistrano Sub 230kV'!G117</f>
        <v>4.0197084724437164E-2</v>
      </c>
      <c r="N178" s="213">
        <f>'Equipment Capistrano Sub 230kV'!H117</f>
        <v>2.0613141984456796E-4</v>
      </c>
      <c r="O178" s="213">
        <f>'Equipment Capistrano Sub 230kV'!I117</f>
        <v>1.4013093601802776E-3</v>
      </c>
      <c r="P178" s="213">
        <f>'Equipment Capistrano Sub 230kV'!J117</f>
        <v>1.247165330560447E-3</v>
      </c>
      <c r="Q178" s="213">
        <f>'Equipment Capistrano Sub 230kV'!K117</f>
        <v>18.319995245709507</v>
      </c>
      <c r="R178" s="213">
        <f>'Equipment Capistrano Sub 230kV'!L117</f>
        <v>9.7391767079006968E-4</v>
      </c>
      <c r="S178" s="213">
        <f>'Equipment Capistrano Sub 230kV'!M117</f>
        <v>3.8187230488215306E-3</v>
      </c>
    </row>
    <row r="179" spans="1:19" x14ac:dyDescent="0.25">
      <c r="A179" s="137" t="s">
        <v>120</v>
      </c>
      <c r="B179" s="215">
        <f>WorkerTrips!I137</f>
        <v>0.58144275838583392</v>
      </c>
      <c r="C179" s="215">
        <f>WorkerTrips!G137</f>
        <v>5.1663631854704333</v>
      </c>
      <c r="D179" s="215">
        <f>WorkerTrips!H137</f>
        <v>0.46455842923186813</v>
      </c>
      <c r="E179" s="215">
        <f>WorkerTrips!J137</f>
        <v>8.2177036861548966E-3</v>
      </c>
      <c r="F179" s="215">
        <f>WorkerTrips!K137+WorkerTrips!M137</f>
        <v>0.18689646312803451</v>
      </c>
      <c r="G179" s="215">
        <f>WorkerTrips!L137+WorkerTrips!N137</f>
        <v>6.0647621214487732E-2</v>
      </c>
      <c r="H179" s="215">
        <f>WorkerTrips!O137</f>
        <v>579.2299418443057</v>
      </c>
      <c r="I179" s="215">
        <f>WorkerTrips!P137</f>
        <v>3.4836777343769255E-2</v>
      </c>
      <c r="J179" s="215">
        <f>WorkerTrips!Q137</f>
        <v>6.3465400075736936E-2</v>
      </c>
      <c r="K179" s="215">
        <f>WorkerTrips!S137</f>
        <v>0.1704899851205243</v>
      </c>
      <c r="L179" s="215">
        <f>WorkerTrips!T137</f>
        <v>1.5330428164651648E-2</v>
      </c>
      <c r="M179" s="215">
        <f>WorkerTrips!U137</f>
        <v>1.9187611026732519E-2</v>
      </c>
      <c r="N179" s="215">
        <f>WorkerTrips!V137</f>
        <v>2.7118422164311158E-4</v>
      </c>
      <c r="O179" s="215">
        <f>WorkerTrips!W137+WorkerTrips!Y137</f>
        <v>6.1675832832251386E-3</v>
      </c>
      <c r="P179" s="215">
        <f>WorkerTrips!X137+WorkerTrips!Z137</f>
        <v>2.0013715000780953E-3</v>
      </c>
      <c r="Q179" s="214">
        <f>WorkerTrips!AA137</f>
        <v>19.114588080862088</v>
      </c>
      <c r="R179" s="215">
        <f>WorkerTrips!AB137</f>
        <v>1.1496136523443854E-3</v>
      </c>
      <c r="S179" s="215">
        <f>WorkerTrips!AC137</f>
        <v>2.0943582024993187E-3</v>
      </c>
    </row>
    <row r="180" spans="1:19" x14ac:dyDescent="0.25">
      <c r="A180" s="137" t="s">
        <v>121</v>
      </c>
      <c r="B180" s="215">
        <f>'Construction Trucks'!V183</f>
        <v>4.974439455305666E-2</v>
      </c>
      <c r="C180" s="215">
        <f>'Construction Trucks'!T183</f>
        <v>0.26197248885183483</v>
      </c>
      <c r="D180" s="215">
        <f>'Construction Trucks'!U183</f>
        <v>0.29225624550947454</v>
      </c>
      <c r="E180" s="215">
        <f>'Construction Trucks'!W183</f>
        <v>1.6858238756283252E-3</v>
      </c>
      <c r="F180" s="215">
        <f>'Construction Trucks'!X183+'Construction Trucks'!Z183</f>
        <v>8.8073060366655131E-2</v>
      </c>
      <c r="G180" s="215">
        <f>'Construction Trucks'!Y183+'Construction Trucks'!AA183</f>
        <v>5.1915304104480628E-2</v>
      </c>
      <c r="H180" s="215">
        <f>'Construction Trucks'!AB183</f>
        <v>144.73384378520498</v>
      </c>
      <c r="I180" s="215">
        <f>'Construction Trucks'!AC183</f>
        <v>8.2705260354179674E-3</v>
      </c>
      <c r="J180" s="215">
        <f>'Construction Trucks'!AD183</f>
        <v>3.7075021424018105E-3</v>
      </c>
      <c r="K180" s="215">
        <f>'Construction Trucks'!AH183</f>
        <v>2.7359417004181163E-3</v>
      </c>
      <c r="L180" s="215">
        <f>'Construction Trucks'!AF183</f>
        <v>1.4408486886850915E-2</v>
      </c>
      <c r="M180" s="215">
        <f>'Construction Trucks'!AG183</f>
        <v>1.6074093503021102E-2</v>
      </c>
      <c r="N180" s="215">
        <f>'Construction Trucks'!AI183</f>
        <v>9.2720313159557876E-5</v>
      </c>
      <c r="O180" s="215">
        <f>'Construction Trucks'!AJ183+'Construction Trucks'!AL183</f>
        <v>4.844018320166032E-3</v>
      </c>
      <c r="P180" s="215">
        <f>'Construction Trucks'!AK183+'Construction Trucks'!AM183</f>
        <v>2.8553417257464343E-3</v>
      </c>
      <c r="Q180" s="214">
        <f>'Construction Trucks'!AN183</f>
        <v>7.9603614081862739</v>
      </c>
      <c r="R180" s="215">
        <f>'Construction Trucks'!AO183</f>
        <v>4.5487893194798821E-4</v>
      </c>
      <c r="S180" s="215">
        <f>'Construction Trucks'!AP183</f>
        <v>2.0391261783209958E-4</v>
      </c>
    </row>
    <row r="181" spans="1:19" x14ac:dyDescent="0.25">
      <c r="A181" s="12" t="s">
        <v>123</v>
      </c>
      <c r="B181" s="22">
        <f t="shared" ref="B181:S181" si="154">SUM(B178:B180)</f>
        <v>0.76535870824931729</v>
      </c>
      <c r="C181" s="22">
        <f t="shared" si="154"/>
        <v>6.1112202005928564</v>
      </c>
      <c r="D181" s="22">
        <f t="shared" si="154"/>
        <v>1.4876707606402002</v>
      </c>
      <c r="E181" s="22">
        <f t="shared" si="154"/>
        <v>1.3651371558957183E-2</v>
      </c>
      <c r="F181" s="22">
        <f t="shared" si="154"/>
        <v>0.30044787549796742</v>
      </c>
      <c r="G181" s="22">
        <f t="shared" si="154"/>
        <v>0.13523865860188558</v>
      </c>
      <c r="H181" s="22">
        <f t="shared" si="154"/>
        <v>1057.0546082787744</v>
      </c>
      <c r="I181" s="22">
        <f t="shared" si="154"/>
        <v>6.0814897393552121E-2</v>
      </c>
      <c r="J181" s="22">
        <f t="shared" si="154"/>
        <v>0.13660423037853023</v>
      </c>
      <c r="K181" s="22">
        <f t="shared" si="154"/>
        <v>0.18060536236301586</v>
      </c>
      <c r="L181" s="22">
        <f t="shared" si="154"/>
        <v>6.7297563996384951E-2</v>
      </c>
      <c r="M181" s="22">
        <f t="shared" si="154"/>
        <v>7.5458789254190778E-2</v>
      </c>
      <c r="N181" s="22">
        <f t="shared" si="154"/>
        <v>5.7003595464723744E-4</v>
      </c>
      <c r="O181" s="22">
        <f t="shared" si="154"/>
        <v>1.2412910963571448E-2</v>
      </c>
      <c r="P181" s="22">
        <f t="shared" si="154"/>
        <v>6.1038785563849764E-3</v>
      </c>
      <c r="Q181" s="22">
        <f t="shared" si="154"/>
        <v>45.394944734757871</v>
      </c>
      <c r="R181" s="22">
        <f t="shared" si="154"/>
        <v>2.5784102550824432E-3</v>
      </c>
      <c r="S181" s="22">
        <f t="shared" si="154"/>
        <v>6.1169938691529487E-3</v>
      </c>
    </row>
    <row r="182" spans="1:19" x14ac:dyDescent="0.25">
      <c r="A182" s="137" t="s">
        <v>124</v>
      </c>
      <c r="B182" s="216">
        <v>75</v>
      </c>
      <c r="C182" s="216">
        <v>550</v>
      </c>
      <c r="D182" s="216">
        <v>100</v>
      </c>
      <c r="E182" s="216">
        <v>150</v>
      </c>
      <c r="F182" s="216">
        <v>150</v>
      </c>
      <c r="G182" s="216">
        <v>55</v>
      </c>
      <c r="H182" s="216" t="s">
        <v>126</v>
      </c>
      <c r="I182" s="216" t="s">
        <v>126</v>
      </c>
      <c r="J182" s="216" t="s">
        <v>126</v>
      </c>
      <c r="K182" s="213"/>
      <c r="L182" s="213"/>
      <c r="M182" s="213"/>
      <c r="N182" s="213"/>
      <c r="O182" s="213"/>
      <c r="P182" s="213"/>
      <c r="Q182" s="214"/>
      <c r="R182" s="213"/>
      <c r="S182" s="213"/>
    </row>
    <row r="183" spans="1:19" x14ac:dyDescent="0.25">
      <c r="A183" s="137" t="s">
        <v>125</v>
      </c>
      <c r="B183" s="27" t="str">
        <f>IF(B181&gt;B182,"Yes","No")</f>
        <v>No</v>
      </c>
      <c r="C183" s="27" t="str">
        <f t="shared" ref="C183" si="155">IF(C181&gt;C182,"Yes","No")</f>
        <v>No</v>
      </c>
      <c r="D183" s="27" t="str">
        <f t="shared" ref="D183" si="156">IF(D181&gt;D182,"Yes","No")</f>
        <v>No</v>
      </c>
      <c r="E183" s="27" t="str">
        <f t="shared" ref="E183" si="157">IF(E181&gt;E182,"Yes","No")</f>
        <v>No</v>
      </c>
      <c r="F183" s="27" t="str">
        <f t="shared" ref="F183" si="158">IF(F181&gt;F182,"Yes","No")</f>
        <v>No</v>
      </c>
      <c r="G183" s="27" t="str">
        <f t="shared" ref="G183" si="159">IF(G181&gt;G182,"Yes","No")</f>
        <v>No</v>
      </c>
      <c r="H183" s="27" t="s">
        <v>126</v>
      </c>
      <c r="I183" s="27" t="s">
        <v>126</v>
      </c>
      <c r="J183" s="27" t="s">
        <v>126</v>
      </c>
      <c r="K183" s="213"/>
      <c r="L183" s="213"/>
      <c r="M183" s="213"/>
      <c r="N183" s="213"/>
      <c r="O183" s="213"/>
      <c r="P183" s="213"/>
      <c r="Q183" s="214"/>
      <c r="R183" s="213"/>
      <c r="S183" s="213"/>
    </row>
    <row r="186" spans="1:19" ht="39.6" x14ac:dyDescent="0.25">
      <c r="A186" s="12" t="str">
        <f>'Equipment Capistrano Sub 230kV'!A56</f>
        <v>Capistrano Substation DeEnergize Temporary TL 13835 - 230 kV</v>
      </c>
      <c r="B186" s="16" t="s">
        <v>18</v>
      </c>
      <c r="C186" s="16" t="s">
        <v>19</v>
      </c>
      <c r="D186" s="16" t="s">
        <v>20</v>
      </c>
      <c r="E186" s="16" t="s">
        <v>21</v>
      </c>
      <c r="F186" s="16" t="s">
        <v>22</v>
      </c>
      <c r="G186" s="16" t="s">
        <v>23</v>
      </c>
      <c r="H186" s="17" t="s">
        <v>24</v>
      </c>
      <c r="I186" s="16" t="s">
        <v>25</v>
      </c>
      <c r="J186" s="16" t="s">
        <v>26</v>
      </c>
      <c r="K186" s="18" t="s">
        <v>27</v>
      </c>
      <c r="L186" s="18" t="s">
        <v>28</v>
      </c>
      <c r="M186" s="18" t="s">
        <v>29</v>
      </c>
      <c r="N186" s="18" t="s">
        <v>30</v>
      </c>
      <c r="O186" s="18" t="s">
        <v>31</v>
      </c>
      <c r="P186" s="18" t="s">
        <v>32</v>
      </c>
      <c r="Q186" s="17" t="s">
        <v>33</v>
      </c>
      <c r="R186" s="18" t="s">
        <v>34</v>
      </c>
      <c r="S186" s="18" t="s">
        <v>35</v>
      </c>
    </row>
    <row r="187" spans="1:19" x14ac:dyDescent="0.25">
      <c r="A187" s="137" t="s">
        <v>75</v>
      </c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4"/>
      <c r="R187" s="213"/>
      <c r="S187" s="213"/>
    </row>
    <row r="188" spans="1:19" x14ac:dyDescent="0.25">
      <c r="A188" s="137" t="s">
        <v>119</v>
      </c>
      <c r="B188" s="215">
        <f>'Equipment Capistrano Sub 230kV'!Q61</f>
        <v>1.699662959898852</v>
      </c>
      <c r="C188" s="215">
        <f>'Equipment Capistrano Sub 230kV'!R61</f>
        <v>8.8899190122447962</v>
      </c>
      <c r="D188" s="215">
        <f>'Equipment Capistrano Sub 230kV'!S61</f>
        <v>9.1839550419896874</v>
      </c>
      <c r="E188" s="215">
        <f>'Equipment Capistrano Sub 230kV'!T61</f>
        <v>4.684804996467453E-2</v>
      </c>
      <c r="F188" s="215">
        <f>'Equipment Capistrano Sub 230kV'!U61</f>
        <v>0.32089209845367062</v>
      </c>
      <c r="G188" s="215">
        <f>'Equipment Capistrano Sub 230kV'!V61</f>
        <v>0.28559396762376688</v>
      </c>
      <c r="H188" s="215">
        <f>'Equipment Capistrano Sub 230kV'!W61</f>
        <v>4163.6352831157965</v>
      </c>
      <c r="I188" s="215">
        <f>'Equipment Capistrano Sub 230kV'!X61</f>
        <v>0.22134492517956128</v>
      </c>
      <c r="J188" s="215">
        <f>'Equipment Capistrano Sub 230kV'!Y61</f>
        <v>0.87247572898902037</v>
      </c>
      <c r="K188" s="213">
        <f>'Equipment Capistrano Sub 230kV'!E124</f>
        <v>8.7779171693743718E-3</v>
      </c>
      <c r="L188" s="213">
        <f>'Equipment Capistrano Sub 230kV'!F124</f>
        <v>4.5992295330696376E-2</v>
      </c>
      <c r="M188" s="213">
        <f>'Equipment Capistrano Sub 230kV'!G124</f>
        <v>4.7405614365873136E-2</v>
      </c>
      <c r="N188" s="213">
        <f>'Equipment Capistrano Sub 230kV'!H124</f>
        <v>2.4173593781772059E-4</v>
      </c>
      <c r="O188" s="213">
        <f>'Equipment Capistrano Sub 230kV'!I124</f>
        <v>1.6566235454812579E-3</v>
      </c>
      <c r="P188" s="213">
        <f>'Equipment Capistrano Sub 230kV'!J124</f>
        <v>1.4743949554783197E-3</v>
      </c>
      <c r="Q188" s="213">
        <f>'Equipment Capistrano Sub 230kV'!K124</f>
        <v>21.484358060877511</v>
      </c>
      <c r="R188" s="213">
        <f>'Equipment Capistrano Sub 230kV'!L124</f>
        <v>1.1421398139265363E-3</v>
      </c>
      <c r="S188" s="213">
        <f>'Equipment Capistrano Sub 230kV'!M124</f>
        <v>4.5035333647579475E-3</v>
      </c>
    </row>
    <row r="189" spans="1:19" x14ac:dyDescent="0.25">
      <c r="A189" s="137" t="s">
        <v>120</v>
      </c>
      <c r="B189" s="215">
        <f>WorkerTrips!I137</f>
        <v>0.58144275838583392</v>
      </c>
      <c r="C189" s="215">
        <f>WorkerTrips!G137</f>
        <v>5.1663631854704333</v>
      </c>
      <c r="D189" s="215">
        <f>WorkerTrips!H137</f>
        <v>0.46455842923186813</v>
      </c>
      <c r="E189" s="215">
        <f>WorkerTrips!J137</f>
        <v>8.2177036861548966E-3</v>
      </c>
      <c r="F189" s="215">
        <f>WorkerTrips!K137+WorkerTrips!M137</f>
        <v>0.18689646312803451</v>
      </c>
      <c r="G189" s="215">
        <f>WorkerTrips!L137+WorkerTrips!N137</f>
        <v>6.0647621214487732E-2</v>
      </c>
      <c r="H189" s="215">
        <f>WorkerTrips!O137</f>
        <v>579.2299418443057</v>
      </c>
      <c r="I189" s="215">
        <f>WorkerTrips!P137</f>
        <v>3.4836777343769255E-2</v>
      </c>
      <c r="J189" s="215">
        <f>WorkerTrips!Q137</f>
        <v>6.3465400075736936E-2</v>
      </c>
      <c r="K189" s="215">
        <f>WorkerTrips!S137</f>
        <v>0.1704899851205243</v>
      </c>
      <c r="L189" s="215">
        <f>WorkerTrips!T137</f>
        <v>1.5330428164651648E-2</v>
      </c>
      <c r="M189" s="215">
        <f>WorkerTrips!U137</f>
        <v>1.9187611026732519E-2</v>
      </c>
      <c r="N189" s="215">
        <f>WorkerTrips!V137</f>
        <v>2.7118422164311158E-4</v>
      </c>
      <c r="O189" s="215">
        <f>WorkerTrips!W137+WorkerTrips!Y137</f>
        <v>6.1675832832251386E-3</v>
      </c>
      <c r="P189" s="215">
        <f>WorkerTrips!X137+WorkerTrips!Z137</f>
        <v>2.0013715000780953E-3</v>
      </c>
      <c r="Q189" s="214">
        <f>WorkerTrips!AA137</f>
        <v>19.114588080862088</v>
      </c>
      <c r="R189" s="215">
        <f>WorkerTrips!AB137</f>
        <v>1.1496136523443854E-3</v>
      </c>
      <c r="S189" s="215">
        <f>WorkerTrips!AC137</f>
        <v>2.0943582024993187E-3</v>
      </c>
    </row>
    <row r="190" spans="1:19" x14ac:dyDescent="0.25">
      <c r="A190" s="137" t="s">
        <v>121</v>
      </c>
      <c r="B190" s="215">
        <f>'Construction Trucks'!V187</f>
        <v>4.974439455305666E-2</v>
      </c>
      <c r="C190" s="215">
        <f>'Construction Trucks'!T187</f>
        <v>0.26197248885183483</v>
      </c>
      <c r="D190" s="215">
        <f>'Construction Trucks'!U187</f>
        <v>0.29225624550947454</v>
      </c>
      <c r="E190" s="215">
        <f>'Construction Trucks'!W187</f>
        <v>1.6858238756283252E-3</v>
      </c>
      <c r="F190" s="215">
        <f>'Construction Trucks'!X187+'Construction Trucks'!Z187</f>
        <v>8.8073060366655131E-2</v>
      </c>
      <c r="G190" s="215">
        <f>'Construction Trucks'!Y187+'Construction Trucks'!AA187</f>
        <v>5.1915304104480628E-2</v>
      </c>
      <c r="H190" s="215">
        <f>'Construction Trucks'!AB187</f>
        <v>144.73384378520498</v>
      </c>
      <c r="I190" s="215">
        <f>'Construction Trucks'!AC187</f>
        <v>8.2705260354179674E-3</v>
      </c>
      <c r="J190" s="215">
        <f>'Construction Trucks'!AD187</f>
        <v>3.7075021424018105E-3</v>
      </c>
      <c r="K190" s="215">
        <f>'Construction Trucks'!AH187</f>
        <v>2.4872197276528329E-4</v>
      </c>
      <c r="L190" s="215">
        <f>'Construction Trucks'!AF187</f>
        <v>1.3098624442591741E-3</v>
      </c>
      <c r="M190" s="215">
        <f>'Construction Trucks'!AG187</f>
        <v>1.4612812275473727E-3</v>
      </c>
      <c r="N190" s="215">
        <f>'Construction Trucks'!AI187</f>
        <v>8.4291193781416257E-6</v>
      </c>
      <c r="O190" s="215">
        <f>'Construction Trucks'!AJ187+'Construction Trucks'!AL187</f>
        <v>4.4036530183327567E-4</v>
      </c>
      <c r="P190" s="215">
        <f>'Construction Trucks'!AK187+'Construction Trucks'!AM187</f>
        <v>2.5957652052240314E-4</v>
      </c>
      <c r="Q190" s="214">
        <f>'Construction Trucks'!AN187</f>
        <v>0.72366921892602487</v>
      </c>
      <c r="R190" s="215">
        <f>'Construction Trucks'!AO187</f>
        <v>4.1352630177089839E-5</v>
      </c>
      <c r="S190" s="215">
        <f>'Construction Trucks'!AP187</f>
        <v>1.8537510712009052E-5</v>
      </c>
    </row>
    <row r="191" spans="1:19" x14ac:dyDescent="0.25">
      <c r="A191" s="12" t="s">
        <v>123</v>
      </c>
      <c r="B191" s="22">
        <f t="shared" ref="B191:S191" si="160">SUM(B188:B190)</f>
        <v>2.3308501128377426</v>
      </c>
      <c r="C191" s="22">
        <f t="shared" si="160"/>
        <v>14.318254686567066</v>
      </c>
      <c r="D191" s="22">
        <f t="shared" si="160"/>
        <v>9.9407697167310296</v>
      </c>
      <c r="E191" s="22">
        <f t="shared" si="160"/>
        <v>5.675157752645775E-2</v>
      </c>
      <c r="F191" s="22">
        <f t="shared" si="160"/>
        <v>0.59586162194836034</v>
      </c>
      <c r="G191" s="22">
        <f t="shared" si="160"/>
        <v>0.39815689294273526</v>
      </c>
      <c r="H191" s="22">
        <f t="shared" si="160"/>
        <v>4887.5990687453068</v>
      </c>
      <c r="I191" s="22">
        <f t="shared" si="160"/>
        <v>0.2644522285587485</v>
      </c>
      <c r="J191" s="22">
        <f t="shared" si="160"/>
        <v>0.93964863120715914</v>
      </c>
      <c r="K191" s="22">
        <f t="shared" si="160"/>
        <v>0.17951662426266396</v>
      </c>
      <c r="L191" s="22">
        <f t="shared" si="160"/>
        <v>6.2632585939607202E-2</v>
      </c>
      <c r="M191" s="22">
        <f t="shared" si="160"/>
        <v>6.8054506620153027E-2</v>
      </c>
      <c r="N191" s="22">
        <f t="shared" si="160"/>
        <v>5.2134927883897377E-4</v>
      </c>
      <c r="O191" s="22">
        <f t="shared" si="160"/>
        <v>8.2645721305396724E-3</v>
      </c>
      <c r="P191" s="22">
        <f t="shared" si="160"/>
        <v>3.735342976078818E-3</v>
      </c>
      <c r="Q191" s="22">
        <f t="shared" si="160"/>
        <v>41.32261536066563</v>
      </c>
      <c r="R191" s="22">
        <f t="shared" si="160"/>
        <v>2.3331060964480116E-3</v>
      </c>
      <c r="S191" s="22">
        <f t="shared" si="160"/>
        <v>6.6164290779692752E-3</v>
      </c>
    </row>
    <row r="192" spans="1:19" x14ac:dyDescent="0.25">
      <c r="A192" s="137" t="s">
        <v>124</v>
      </c>
      <c r="B192" s="216">
        <v>75</v>
      </c>
      <c r="C192" s="216">
        <v>550</v>
      </c>
      <c r="D192" s="216">
        <v>100</v>
      </c>
      <c r="E192" s="216">
        <v>150</v>
      </c>
      <c r="F192" s="216">
        <v>150</v>
      </c>
      <c r="G192" s="216">
        <v>55</v>
      </c>
      <c r="H192" s="216" t="s">
        <v>126</v>
      </c>
      <c r="I192" s="216" t="s">
        <v>126</v>
      </c>
      <c r="J192" s="216" t="s">
        <v>126</v>
      </c>
      <c r="K192" s="213"/>
      <c r="L192" s="213"/>
      <c r="M192" s="213"/>
      <c r="N192" s="213"/>
      <c r="O192" s="213"/>
      <c r="P192" s="213"/>
      <c r="Q192" s="214"/>
      <c r="R192" s="213"/>
      <c r="S192" s="213"/>
    </row>
    <row r="193" spans="1:19 16384:16384" x14ac:dyDescent="0.25">
      <c r="A193" s="137" t="s">
        <v>125</v>
      </c>
      <c r="B193" s="27" t="str">
        <f>IF(B191&gt;B192,"Yes","No")</f>
        <v>No</v>
      </c>
      <c r="C193" s="27" t="str">
        <f t="shared" ref="C193" si="161">IF(C191&gt;C192,"Yes","No")</f>
        <v>No</v>
      </c>
      <c r="D193" s="27" t="str">
        <f t="shared" ref="D193" si="162">IF(D191&gt;D192,"Yes","No")</f>
        <v>No</v>
      </c>
      <c r="E193" s="27" t="str">
        <f t="shared" ref="E193" si="163">IF(E191&gt;E192,"Yes","No")</f>
        <v>No</v>
      </c>
      <c r="F193" s="27" t="str">
        <f t="shared" ref="F193" si="164">IF(F191&gt;F192,"Yes","No")</f>
        <v>No</v>
      </c>
      <c r="G193" s="27" t="str">
        <f t="shared" ref="G193" si="165">IF(G191&gt;G192,"Yes","No")</f>
        <v>No</v>
      </c>
      <c r="H193" s="27" t="s">
        <v>126</v>
      </c>
      <c r="I193" s="27" t="s">
        <v>126</v>
      </c>
      <c r="J193" s="27" t="s">
        <v>126</v>
      </c>
      <c r="K193" s="213"/>
      <c r="L193" s="213"/>
      <c r="M193" s="213"/>
      <c r="N193" s="213"/>
      <c r="O193" s="213"/>
      <c r="P193" s="213"/>
      <c r="Q193" s="214"/>
      <c r="R193" s="213"/>
      <c r="S193" s="213"/>
    </row>
    <row r="196" spans="1:19 16384:16384" s="572" customFormat="1" x14ac:dyDescent="0.25">
      <c r="A196" s="613">
        <v>2020</v>
      </c>
      <c r="Q196" s="7"/>
    </row>
    <row r="197" spans="1:19 16384:16384" ht="39.6" x14ac:dyDescent="0.25">
      <c r="A197" s="12" t="str">
        <f>'Equipment Capistrano Sub 230kV'!A126</f>
        <v>Capistrano Substation Energization - 230 kV</v>
      </c>
      <c r="B197" s="16" t="s">
        <v>18</v>
      </c>
      <c r="C197" s="16" t="s">
        <v>19</v>
      </c>
      <c r="D197" s="16" t="s">
        <v>20</v>
      </c>
      <c r="E197" s="16" t="s">
        <v>21</v>
      </c>
      <c r="F197" s="16" t="s">
        <v>22</v>
      </c>
      <c r="G197" s="16" t="s">
        <v>23</v>
      </c>
      <c r="H197" s="17" t="s">
        <v>24</v>
      </c>
      <c r="I197" s="16" t="s">
        <v>25</v>
      </c>
      <c r="J197" s="16" t="s">
        <v>26</v>
      </c>
      <c r="K197" s="18" t="s">
        <v>27</v>
      </c>
      <c r="L197" s="18" t="s">
        <v>28</v>
      </c>
      <c r="M197" s="18" t="s">
        <v>29</v>
      </c>
      <c r="N197" s="18" t="s">
        <v>30</v>
      </c>
      <c r="O197" s="18" t="s">
        <v>31</v>
      </c>
      <c r="P197" s="18" t="s">
        <v>32</v>
      </c>
      <c r="Q197" s="17" t="s">
        <v>33</v>
      </c>
      <c r="R197" s="18" t="s">
        <v>34</v>
      </c>
      <c r="S197" s="18" t="s">
        <v>35</v>
      </c>
    </row>
    <row r="198" spans="1:19 16384:16384" x14ac:dyDescent="0.25">
      <c r="A198" s="137" t="s">
        <v>75</v>
      </c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4"/>
      <c r="R198" s="213"/>
      <c r="S198" s="213"/>
    </row>
    <row r="199" spans="1:19 16384:16384" x14ac:dyDescent="0.25">
      <c r="A199" s="137" t="s">
        <v>119</v>
      </c>
      <c r="B199" s="215">
        <f>'Equipment Capistrano Sub 230kV'!Q66</f>
        <v>0.22649987494060561</v>
      </c>
      <c r="C199" s="215">
        <f>'Equipment Capistrano Sub 230kV'!R66</f>
        <v>1.3479301666254559</v>
      </c>
      <c r="D199" s="215">
        <f>'Equipment Capistrano Sub 230kV'!S66</f>
        <v>1.0964447707546205</v>
      </c>
      <c r="E199" s="215">
        <f>'Equipment Capistrano Sub 230kV'!T66</f>
        <v>7.4956851479941293E-3</v>
      </c>
      <c r="F199" s="215">
        <f>'Equipment Capistrano Sub 230kV'!U66</f>
        <v>3.9012895705384104E-2</v>
      </c>
      <c r="G199" s="215">
        <f>'Equipment Capistrano Sub 230kV'!V66</f>
        <v>3.4721477177791851E-2</v>
      </c>
      <c r="H199" s="215">
        <f>'Equipment Capistrano Sub 230kV'!W66</f>
        <v>666.18162982668218</v>
      </c>
      <c r="I199" s="215">
        <f>'Equipment Capistrano Sub 230kV'!X66</f>
        <v>3.34657987200205E-2</v>
      </c>
      <c r="J199" s="215">
        <f>'Equipment Capistrano Sub 230kV'!Y66</f>
        <v>0.10416225322168896</v>
      </c>
      <c r="K199" s="213">
        <f>'Equipment Capistrano Sub 230kV'!E129</f>
        <v>2.491498624346662E-3</v>
      </c>
      <c r="L199" s="213">
        <f>'Equipment Capistrano Sub 230kV'!F129</f>
        <v>1.4827231832880015E-2</v>
      </c>
      <c r="M199" s="213">
        <f>'Equipment Capistrano Sub 230kV'!G129</f>
        <v>1.2060892478300826E-2</v>
      </c>
      <c r="N199" s="213">
        <f>'Equipment Capistrano Sub 230kV'!H129</f>
        <v>8.2452536627935423E-5</v>
      </c>
      <c r="O199" s="213">
        <f>'Equipment Capistrano Sub 230kV'!I129</f>
        <v>4.2914185275922512E-4</v>
      </c>
      <c r="P199" s="213">
        <f>'Equipment Capistrano Sub 230kV'!J129</f>
        <v>3.8193624895571036E-4</v>
      </c>
      <c r="Q199" s="213">
        <f>'Equipment Capistrano Sub 230kV'!K129</f>
        <v>7.3279979280935041</v>
      </c>
      <c r="R199" s="213">
        <f>'Equipment Capistrano Sub 230kV'!L129</f>
        <v>3.6812378592022548E-4</v>
      </c>
      <c r="S199" s="213">
        <f>'Equipment Capistrano Sub 230kV'!M129</f>
        <v>1.1457847854385785E-3</v>
      </c>
    </row>
    <row r="200" spans="1:19 16384:16384" x14ac:dyDescent="0.25">
      <c r="A200" s="137" t="s">
        <v>120</v>
      </c>
      <c r="B200" s="215">
        <f>WorkerTrips!I137</f>
        <v>0.58144275838583392</v>
      </c>
      <c r="C200" s="215">
        <f>WorkerTrips!G137</f>
        <v>5.1663631854704333</v>
      </c>
      <c r="D200" s="215">
        <f>WorkerTrips!H137</f>
        <v>0.46455842923186813</v>
      </c>
      <c r="E200" s="215">
        <f>WorkerTrips!J137</f>
        <v>8.2177036861548966E-3</v>
      </c>
      <c r="F200" s="215">
        <f>WorkerTrips!K137+WorkerTrips!M137</f>
        <v>0.18689646312803451</v>
      </c>
      <c r="G200" s="215">
        <f>WorkerTrips!L137+WorkerTrips!N137</f>
        <v>6.0647621214487732E-2</v>
      </c>
      <c r="H200" s="215">
        <f>WorkerTrips!O137</f>
        <v>579.2299418443057</v>
      </c>
      <c r="I200" s="215">
        <f>WorkerTrips!P137</f>
        <v>3.4836777343769255E-2</v>
      </c>
      <c r="J200" s="215">
        <f>WorkerTrips!Q137</f>
        <v>6.3465400075736936E-2</v>
      </c>
      <c r="K200" s="215">
        <f>WorkerTrips!S137</f>
        <v>0.1704899851205243</v>
      </c>
      <c r="L200" s="215">
        <f>WorkerTrips!T137</f>
        <v>1.5330428164651648E-2</v>
      </c>
      <c r="M200" s="215">
        <f>WorkerTrips!U137</f>
        <v>1.9187611026732519E-2</v>
      </c>
      <c r="N200" s="215">
        <f>WorkerTrips!V137</f>
        <v>2.7118422164311158E-4</v>
      </c>
      <c r="O200" s="215">
        <f>WorkerTrips!W137+WorkerTrips!Y137</f>
        <v>6.1675832832251386E-3</v>
      </c>
      <c r="P200" s="215">
        <f>WorkerTrips!X137+WorkerTrips!Z137</f>
        <v>2.0013715000780953E-3</v>
      </c>
      <c r="Q200" s="214">
        <f>WorkerTrips!AA137</f>
        <v>19.114588080862088</v>
      </c>
      <c r="R200" s="215">
        <f>WorkerTrips!AB137</f>
        <v>1.1496136523443854E-3</v>
      </c>
      <c r="S200" s="215">
        <f>WorkerTrips!AC137</f>
        <v>2.0943582024993187E-3</v>
      </c>
    </row>
    <row r="201" spans="1:19 16384:16384" x14ac:dyDescent="0.25">
      <c r="A201" s="137" t="s">
        <v>121</v>
      </c>
      <c r="B201" s="215">
        <f>'Construction Trucks'!V191</f>
        <v>4.4379586567412921E-2</v>
      </c>
      <c r="C201" s="215">
        <f>'Construction Trucks'!T191</f>
        <v>0.23609914226645456</v>
      </c>
      <c r="D201" s="215">
        <f>'Construction Trucks'!U191</f>
        <v>0.27443099614017152</v>
      </c>
      <c r="E201" s="215">
        <f>'Construction Trucks'!W191</f>
        <v>1.6858238756283252E-3</v>
      </c>
      <c r="F201" s="215">
        <f>'Construction Trucks'!X191+'Construction Trucks'!Z191</f>
        <v>8.3170060114131764E-2</v>
      </c>
      <c r="G201" s="215">
        <f>'Construction Trucks'!Y191+'Construction Trucks'!AA191</f>
        <v>4.7404544506392969E-2</v>
      </c>
      <c r="H201" s="215">
        <f>'Construction Trucks'!AB191</f>
        <v>139.21035048229845</v>
      </c>
      <c r="I201" s="215">
        <f>'Construction Trucks'!AC191</f>
        <v>7.9548970576099817E-3</v>
      </c>
      <c r="J201" s="215">
        <f>'Construction Trucks'!AD191</f>
        <v>3.566012337954557E-3</v>
      </c>
      <c r="K201" s="215">
        <f>'Construction Trucks'!AH191</f>
        <v>4.8817545224154216E-4</v>
      </c>
      <c r="L201" s="215">
        <f>'Construction Trucks'!AF191</f>
        <v>2.5970905649310002E-3</v>
      </c>
      <c r="M201" s="215">
        <f>'Construction Trucks'!AG191</f>
        <v>3.0187409575418867E-3</v>
      </c>
      <c r="N201" s="215">
        <f>'Construction Trucks'!AI191</f>
        <v>1.854406263191158E-5</v>
      </c>
      <c r="O201" s="215">
        <f>'Construction Trucks'!AJ191+'Construction Trucks'!AL191</f>
        <v>9.1487066125544951E-4</v>
      </c>
      <c r="P201" s="215">
        <f>'Construction Trucks'!AK191+'Construction Trucks'!AM191</f>
        <v>5.214499895703226E-4</v>
      </c>
      <c r="Q201" s="214">
        <f>'Construction Trucks'!AN191</f>
        <v>1.531313855305283</v>
      </c>
      <c r="R201" s="215">
        <f>'Construction Trucks'!AO191</f>
        <v>8.7503867633709797E-5</v>
      </c>
      <c r="S201" s="215">
        <f>'Construction Trucks'!AP191</f>
        <v>3.9226135717500125E-5</v>
      </c>
    </row>
    <row r="202" spans="1:19 16384:16384" x14ac:dyDescent="0.25">
      <c r="A202" s="12" t="s">
        <v>123</v>
      </c>
      <c r="B202" s="22">
        <f t="shared" ref="B202:S202" si="166">SUM(B199:B201)</f>
        <v>0.85232221989385248</v>
      </c>
      <c r="C202" s="22">
        <f t="shared" si="166"/>
        <v>6.7503924943623437</v>
      </c>
      <c r="D202" s="22">
        <f t="shared" si="166"/>
        <v>1.83543419612666</v>
      </c>
      <c r="E202" s="22">
        <f t="shared" si="166"/>
        <v>1.7399212709777352E-2</v>
      </c>
      <c r="F202" s="22">
        <f t="shared" si="166"/>
        <v>0.30907941894755037</v>
      </c>
      <c r="G202" s="22">
        <f t="shared" si="166"/>
        <v>0.14277364289867256</v>
      </c>
      <c r="H202" s="22">
        <f t="shared" si="166"/>
        <v>1384.6219221532865</v>
      </c>
      <c r="I202" s="22">
        <f t="shared" si="166"/>
        <v>7.6257473121399744E-2</v>
      </c>
      <c r="J202" s="22">
        <f t="shared" si="166"/>
        <v>0.17119366563538047</v>
      </c>
      <c r="K202" s="22">
        <f t="shared" si="166"/>
        <v>0.17346965919711249</v>
      </c>
      <c r="L202" s="22">
        <f t="shared" si="166"/>
        <v>3.2754750562462666E-2</v>
      </c>
      <c r="M202" s="22">
        <f t="shared" si="166"/>
        <v>3.426724446257523E-2</v>
      </c>
      <c r="N202" s="22">
        <f t="shared" si="166"/>
        <v>3.7218082090295862E-4</v>
      </c>
      <c r="O202" s="22">
        <f t="shared" si="166"/>
        <v>7.5115957972398135E-3</v>
      </c>
      <c r="P202" s="22">
        <f t="shared" si="166"/>
        <v>2.9047577386041284E-3</v>
      </c>
      <c r="Q202" s="22">
        <f t="shared" si="166"/>
        <v>27.973899864260876</v>
      </c>
      <c r="R202" s="22">
        <f t="shared" si="166"/>
        <v>1.6052413058983207E-3</v>
      </c>
      <c r="S202" s="22">
        <f t="shared" si="166"/>
        <v>3.279369123655397E-3</v>
      </c>
    </row>
    <row r="203" spans="1:19 16384:16384" x14ac:dyDescent="0.25">
      <c r="A203" s="137" t="s">
        <v>124</v>
      </c>
      <c r="B203" s="216">
        <v>75</v>
      </c>
      <c r="C203" s="216">
        <v>550</v>
      </c>
      <c r="D203" s="216">
        <v>100</v>
      </c>
      <c r="E203" s="216">
        <v>150</v>
      </c>
      <c r="F203" s="216">
        <v>150</v>
      </c>
      <c r="G203" s="216">
        <v>55</v>
      </c>
      <c r="H203" s="216" t="s">
        <v>126</v>
      </c>
      <c r="I203" s="216" t="s">
        <v>126</v>
      </c>
      <c r="J203" s="216" t="s">
        <v>126</v>
      </c>
      <c r="K203" s="213"/>
      <c r="L203" s="213"/>
      <c r="M203" s="213"/>
      <c r="N203" s="213"/>
      <c r="O203" s="213"/>
      <c r="P203" s="213"/>
      <c r="Q203" s="214"/>
      <c r="R203" s="213"/>
      <c r="S203" s="213"/>
    </row>
    <row r="204" spans="1:19 16384:16384" x14ac:dyDescent="0.25">
      <c r="A204" s="137" t="s">
        <v>125</v>
      </c>
      <c r="B204" s="27" t="str">
        <f>IF(B202&gt;B203,"Yes","No")</f>
        <v>No</v>
      </c>
      <c r="C204" s="27" t="str">
        <f t="shared" ref="C204" si="167">IF(C202&gt;C203,"Yes","No")</f>
        <v>No</v>
      </c>
      <c r="D204" s="27" t="str">
        <f t="shared" ref="D204" si="168">IF(D202&gt;D203,"Yes","No")</f>
        <v>No</v>
      </c>
      <c r="E204" s="27" t="str">
        <f t="shared" ref="E204" si="169">IF(E202&gt;E203,"Yes","No")</f>
        <v>No</v>
      </c>
      <c r="F204" s="27" t="str">
        <f t="shared" ref="F204" si="170">IF(F202&gt;F203,"Yes","No")</f>
        <v>No</v>
      </c>
      <c r="G204" s="27" t="str">
        <f t="shared" ref="G204" si="171">IF(G202&gt;G203,"Yes","No")</f>
        <v>No</v>
      </c>
      <c r="H204" s="27" t="s">
        <v>126</v>
      </c>
      <c r="I204" s="27" t="s">
        <v>126</v>
      </c>
      <c r="J204" s="27" t="s">
        <v>126</v>
      </c>
      <c r="K204" s="213"/>
      <c r="L204" s="213"/>
      <c r="M204" s="213"/>
      <c r="N204" s="213"/>
      <c r="O204" s="213"/>
      <c r="P204" s="213"/>
      <c r="Q204" s="214"/>
      <c r="R204" s="213"/>
      <c r="S204" s="213"/>
    </row>
    <row r="207" spans="1:19 16384:16384" x14ac:dyDescent="0.25">
      <c r="K207" s="3" t="s">
        <v>627</v>
      </c>
      <c r="Q207" s="212">
        <f>(Q44+Q170+Q21+Q32+Q55+Q65+Q86+Q96+Q106+Q116+Q127+Q150+Q160+Q181+Q191+Q202)/1.1023</f>
        <v>7024.7308621193833</v>
      </c>
      <c r="R207" s="103">
        <f>(R44+R170+R21+R32+R55+R65+R86+R96+R106+R116+R127+R150+R160+R181+R191+R202)/1.1023</f>
        <v>0.46209948296268494</v>
      </c>
      <c r="S207" s="103">
        <f>(S44+S170+S21+S32+S55+S65+S86+S96+S106+S116+S127+S150+S160+S181+S191+S202)/1.1023</f>
        <v>2.8962923258586573</v>
      </c>
    </row>
    <row r="208" spans="1:19 16384:16384" x14ac:dyDescent="0.25">
      <c r="K208" s="3" t="s">
        <v>349</v>
      </c>
      <c r="Q208" s="212">
        <f>Q207</f>
        <v>7024.7308621193833</v>
      </c>
      <c r="R208" s="212">
        <f>21*R207</f>
        <v>9.7040891422163842</v>
      </c>
      <c r="S208" s="212">
        <f>310*S207</f>
        <v>897.85062101618371</v>
      </c>
      <c r="XFD208" s="7"/>
    </row>
    <row r="209" spans="11:17" x14ac:dyDescent="0.25">
      <c r="K209" s="3" t="s">
        <v>348</v>
      </c>
      <c r="Q209" s="212">
        <f>Q208+R208+S208</f>
        <v>7932.285572277784</v>
      </c>
    </row>
    <row r="260" spans="10:10" x14ac:dyDescent="0.25">
      <c r="J260" s="105"/>
    </row>
    <row r="270" spans="10:10" x14ac:dyDescent="0.25">
      <c r="J270" s="105"/>
    </row>
  </sheetData>
  <mergeCells count="2">
    <mergeCell ref="B2:I2"/>
    <mergeCell ref="K2:S2"/>
  </mergeCells>
  <pageMargins left="0.7" right="0.7" top="0.75" bottom="0.75" header="0.3" footer="0.3"/>
  <pageSetup scale="27" orientation="portrait" r:id="rId1"/>
  <headerFooter>
    <oddHeader>&amp;CTable A-17
Construction Emission Summary
South Orange County Reliability Project
Substation Construction</oddHeader>
    <oddFooter>&amp;CA-17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0"/>
  <sheetViews>
    <sheetView workbookViewId="0">
      <selection activeCell="B37" sqref="B37"/>
    </sheetView>
  </sheetViews>
  <sheetFormatPr defaultColWidth="9.109375" defaultRowHeight="13.2" x14ac:dyDescent="0.25"/>
  <cols>
    <col min="1" max="1" width="49.6640625" style="611" customWidth="1"/>
    <col min="2" max="16" width="9.109375" style="611"/>
    <col min="17" max="17" width="9.109375" style="7"/>
    <col min="18" max="16384" width="9.109375" style="611"/>
  </cols>
  <sheetData>
    <row r="1" spans="1:19" x14ac:dyDescent="0.25">
      <c r="A1" s="97" t="s">
        <v>647</v>
      </c>
    </row>
    <row r="2" spans="1:19" x14ac:dyDescent="0.25">
      <c r="A2" s="3" t="s">
        <v>118</v>
      </c>
      <c r="B2" s="622" t="s">
        <v>1</v>
      </c>
      <c r="C2" s="621"/>
      <c r="D2" s="621"/>
      <c r="E2" s="621"/>
      <c r="F2" s="621"/>
      <c r="G2" s="621"/>
      <c r="H2" s="621"/>
      <c r="I2" s="621"/>
      <c r="J2" s="11"/>
      <c r="K2" s="623" t="s">
        <v>2</v>
      </c>
      <c r="L2" s="750"/>
      <c r="M2" s="750"/>
      <c r="N2" s="750"/>
      <c r="O2" s="750"/>
      <c r="P2" s="750"/>
      <c r="Q2" s="750"/>
      <c r="R2" s="750"/>
      <c r="S2" s="751"/>
    </row>
    <row r="3" spans="1:19" ht="39.6" hidden="1" x14ac:dyDescent="0.25">
      <c r="A3" s="19" t="str">
        <f>'Equipment Talega Substation'!A7</f>
        <v>Talega Substation Site Development</v>
      </c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7" t="s">
        <v>24</v>
      </c>
      <c r="I3" s="16" t="s">
        <v>25</v>
      </c>
      <c r="J3" s="16" t="s">
        <v>26</v>
      </c>
      <c r="K3" s="18" t="s">
        <v>27</v>
      </c>
      <c r="L3" s="18" t="s">
        <v>28</v>
      </c>
      <c r="M3" s="18" t="s">
        <v>29</v>
      </c>
      <c r="N3" s="18" t="s">
        <v>30</v>
      </c>
      <c r="O3" s="18" t="s">
        <v>31</v>
      </c>
      <c r="P3" s="18" t="s">
        <v>32</v>
      </c>
      <c r="Q3" s="17" t="s">
        <v>33</v>
      </c>
      <c r="R3" s="18" t="s">
        <v>34</v>
      </c>
      <c r="S3" s="18" t="s">
        <v>35</v>
      </c>
    </row>
    <row r="4" spans="1:19" hidden="1" x14ac:dyDescent="0.25">
      <c r="A4" s="27" t="s">
        <v>75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4"/>
      <c r="R4" s="213"/>
      <c r="S4" s="213"/>
    </row>
    <row r="5" spans="1:19" hidden="1" x14ac:dyDescent="0.25">
      <c r="A5" s="27" t="s">
        <v>119</v>
      </c>
      <c r="B5" s="215">
        <f>'Equipment Talega Substation'!Q17</f>
        <v>0</v>
      </c>
      <c r="C5" s="215">
        <f>'Equipment Talega Substation'!R17</f>
        <v>0</v>
      </c>
      <c r="D5" s="215">
        <f>'Equipment Talega Substation'!S17</f>
        <v>0</v>
      </c>
      <c r="E5" s="215">
        <f>'Equipment Talega Substation'!T17</f>
        <v>0</v>
      </c>
      <c r="F5" s="215">
        <f>'Equipment Talega Substation'!U17</f>
        <v>0</v>
      </c>
      <c r="G5" s="215">
        <f>'Equipment Talega Substation'!V17</f>
        <v>0</v>
      </c>
      <c r="H5" s="215">
        <f>'Equipment Talega Substation'!W17</f>
        <v>0</v>
      </c>
      <c r="I5" s="215">
        <f>'Equipment Talega Substation'!X17</f>
        <v>0</v>
      </c>
      <c r="J5" s="215">
        <f>'Equipment Talega Substation'!Y17</f>
        <v>0</v>
      </c>
      <c r="K5" s="213">
        <f>'Equipment Talega Substation'!E54</f>
        <v>0</v>
      </c>
      <c r="L5" s="213">
        <f>'Equipment Talega Substation'!F54</f>
        <v>0</v>
      </c>
      <c r="M5" s="213">
        <f>'Equipment Talega Substation'!G54</f>
        <v>0</v>
      </c>
      <c r="N5" s="213">
        <f>'Equipment Talega Substation'!H54</f>
        <v>0</v>
      </c>
      <c r="O5" s="213">
        <f>'Equipment Talega Substation'!I54</f>
        <v>0</v>
      </c>
      <c r="P5" s="213">
        <f>'Equipment Talega Substation'!J54</f>
        <v>0</v>
      </c>
      <c r="Q5" s="213">
        <f>'Equipment Talega Substation'!K54</f>
        <v>0</v>
      </c>
      <c r="R5" s="213">
        <f>'Equipment Talega Substation'!L54</f>
        <v>0</v>
      </c>
      <c r="S5" s="213">
        <f>'Equipment Talega Substation'!M54</f>
        <v>0</v>
      </c>
    </row>
    <row r="6" spans="1:19" hidden="1" x14ac:dyDescent="0.25">
      <c r="A6" s="27" t="s">
        <v>120</v>
      </c>
      <c r="B6" s="215">
        <f>WorkerTrips!I131</f>
        <v>0.44227708816422323</v>
      </c>
      <c r="C6" s="215">
        <f>WorkerTrips!G131</f>
        <v>4.4528537292995702</v>
      </c>
      <c r="D6" s="215">
        <f>WorkerTrips!H131</f>
        <v>0.40213863762342417</v>
      </c>
      <c r="E6" s="215">
        <f>WorkerTrips!J131</f>
        <v>5.8013799246015123E-3</v>
      </c>
      <c r="F6" s="215">
        <f>WorkerTrips!K131+WorkerTrips!M131</f>
        <v>0.13652609336323754</v>
      </c>
      <c r="G6" s="215">
        <f>WorkerTrips!L131+WorkerTrips!N131</f>
        <v>4.4632297224538653E-2</v>
      </c>
      <c r="H6" s="215">
        <f>WorkerTrips!O131</f>
        <v>452.63951672693457</v>
      </c>
      <c r="I6" s="215">
        <f>WorkerTrips!P131</f>
        <v>2.5365049583897924E-2</v>
      </c>
      <c r="J6" s="215">
        <f>WorkerTrips!Q131</f>
        <v>4.6169507762324036E-2</v>
      </c>
      <c r="K6" s="215">
        <f>WorkerTrips!S131</f>
        <v>0.14694417306688581</v>
      </c>
      <c r="L6" s="215">
        <f>WorkerTrips!T131</f>
        <v>1.3270575041572997E-2</v>
      </c>
      <c r="M6" s="215">
        <f>WorkerTrips!U131</f>
        <v>1.4595143909419366E-2</v>
      </c>
      <c r="N6" s="215">
        <f>WorkerTrips!V131</f>
        <v>1.9144553751184988E-4</v>
      </c>
      <c r="O6" s="215">
        <f>WorkerTrips!W131+WorkerTrips!Y131</f>
        <v>4.5053610809868382E-3</v>
      </c>
      <c r="P6" s="215">
        <f>WorkerTrips!X131+WorkerTrips!Z131</f>
        <v>1.4728658084097756E-3</v>
      </c>
      <c r="Q6" s="214">
        <f>WorkerTrips!AA131</f>
        <v>14.937104051988841</v>
      </c>
      <c r="R6" s="215">
        <f>WorkerTrips!AB131</f>
        <v>8.3704663626863157E-4</v>
      </c>
      <c r="S6" s="215">
        <f>WorkerTrips!AC131</f>
        <v>1.5235937561566932E-3</v>
      </c>
    </row>
    <row r="7" spans="1:19" hidden="1" x14ac:dyDescent="0.25">
      <c r="A7" s="27" t="s">
        <v>121</v>
      </c>
      <c r="B7" s="215">
        <f>0.01725*'Construction Trucks'!V122</f>
        <v>9.0276488542516387E-4</v>
      </c>
      <c r="C7" s="215">
        <f>0.01725*'Construction Trucks'!T122</f>
        <v>3.4061566311867552E-3</v>
      </c>
      <c r="D7" s="215">
        <f>0.01725*'Construction Trucks'!U122</f>
        <v>2.3815952266452087E-2</v>
      </c>
      <c r="E7" s="215">
        <f>0.01725*'Construction Trucks'!W122</f>
        <v>3.2589582750942482E-5</v>
      </c>
      <c r="F7" s="215">
        <f>0.01725*'Construction Trucks'!X122+0.01725*'Construction Trucks'!Z122</f>
        <v>1.2520659468961909E-3</v>
      </c>
      <c r="G7" s="215">
        <f>0.01725*'Construction Trucks'!Y122+0.01725*'Construction Trucks'!AA122</f>
        <v>8.3642606529319287E-4</v>
      </c>
      <c r="H7" s="215">
        <f>0.01725*'Construction Trucks'!AB122</f>
        <v>3.3817720929473758</v>
      </c>
      <c r="I7" s="215">
        <f>0.01725*'Construction Trucks'!AC122</f>
        <v>1.9324460270729192E-4</v>
      </c>
      <c r="J7" s="215">
        <f>0.01725*'Construction Trucks'!AD122</f>
        <v>8.6627473932939981E-5</v>
      </c>
      <c r="K7" s="215">
        <f>0.01725*'Construction Trucks'!AH122</f>
        <v>2.9791241219030407E-5</v>
      </c>
      <c r="L7" s="215">
        <f>0.01725*'Construction Trucks'!AF122</f>
        <v>1.1240316882916293E-4</v>
      </c>
      <c r="M7" s="215">
        <f>0.01725*'Construction Trucks'!AG122</f>
        <v>7.8592642479291888E-4</v>
      </c>
      <c r="N7" s="215">
        <f>0.01725*'Construction Trucks'!AI122</f>
        <v>1.075456230781102E-6</v>
      </c>
      <c r="O7" s="215">
        <f>0.01725*'Construction Trucks'!AJ122+0.01725*'Construction Trucks'!AL122</f>
        <v>4.1318176247574294E-5</v>
      </c>
      <c r="P7" s="215">
        <f>0.01725*'Construction Trucks'!AK122+0.01725*'Construction Trucks'!AM122</f>
        <v>2.7602060154675364E-5</v>
      </c>
      <c r="Q7" s="214">
        <f>0.01725*'Construction Trucks'!AN122</f>
        <v>0.11159847906726339</v>
      </c>
      <c r="R7" s="215">
        <f>0.01725*'Construction Trucks'!AO122</f>
        <v>6.3770718893406338E-6</v>
      </c>
      <c r="S7" s="215">
        <f>0.01725*'Construction Trucks'!AP122</f>
        <v>2.8587066397870197E-6</v>
      </c>
    </row>
    <row r="8" spans="1:19" hidden="1" x14ac:dyDescent="0.25">
      <c r="A8" s="137" t="s">
        <v>122</v>
      </c>
      <c r="B8" s="215"/>
      <c r="C8" s="215"/>
      <c r="D8" s="215"/>
      <c r="E8" s="215"/>
      <c r="F8" s="215">
        <f>'Fugitive Dust Substation'!$C$88</f>
        <v>61.930973023881435</v>
      </c>
      <c r="G8" s="215">
        <f>'Fugitive Dust Substation'!$D$88</f>
        <v>18.217424021291603</v>
      </c>
      <c r="H8" s="215"/>
      <c r="I8" s="215"/>
      <c r="J8" s="215"/>
      <c r="K8" s="215"/>
      <c r="L8" s="215"/>
      <c r="M8" s="215"/>
      <c r="N8" s="215"/>
      <c r="O8" s="215">
        <f>'Fugitive Dust Substation'!C89</f>
        <v>4.0874442195761747</v>
      </c>
      <c r="P8" s="215">
        <f>'Fugitive Dust Substation'!D89</f>
        <v>1.2023499854052457</v>
      </c>
      <c r="Q8" s="214"/>
      <c r="R8" s="215"/>
      <c r="S8" s="215"/>
    </row>
    <row r="9" spans="1:19" hidden="1" x14ac:dyDescent="0.25">
      <c r="A9" s="19" t="s">
        <v>123</v>
      </c>
      <c r="B9" s="22">
        <f>SUM(B5:B8)</f>
        <v>0.44317985304964841</v>
      </c>
      <c r="C9" s="22">
        <f t="shared" ref="C9:S9" si="0">SUM(C5:C8)</f>
        <v>4.4562598859307574</v>
      </c>
      <c r="D9" s="22">
        <f t="shared" si="0"/>
        <v>0.42595458988987628</v>
      </c>
      <c r="E9" s="22">
        <f t="shared" si="0"/>
        <v>5.8339695073524548E-3</v>
      </c>
      <c r="F9" s="22">
        <f t="shared" si="0"/>
        <v>62.068751183191566</v>
      </c>
      <c r="G9" s="22">
        <f t="shared" si="0"/>
        <v>18.262892744581436</v>
      </c>
      <c r="H9" s="22">
        <f t="shared" si="0"/>
        <v>456.02128881988193</v>
      </c>
      <c r="I9" s="22">
        <f t="shared" si="0"/>
        <v>2.5558294186605216E-2</v>
      </c>
      <c r="J9" s="22">
        <f t="shared" si="0"/>
        <v>4.6256135236256976E-2</v>
      </c>
      <c r="K9" s="22">
        <f t="shared" si="0"/>
        <v>0.14697396430810483</v>
      </c>
      <c r="L9" s="22">
        <f t="shared" si="0"/>
        <v>1.3382978210402159E-2</v>
      </c>
      <c r="M9" s="22">
        <f t="shared" si="0"/>
        <v>1.5381070334212285E-2</v>
      </c>
      <c r="N9" s="22">
        <f t="shared" si="0"/>
        <v>1.92520993742631E-4</v>
      </c>
      <c r="O9" s="22">
        <f t="shared" si="0"/>
        <v>4.0919908988334095</v>
      </c>
      <c r="P9" s="22">
        <f t="shared" si="0"/>
        <v>1.2038504532738101</v>
      </c>
      <c r="Q9" s="22">
        <f t="shared" si="0"/>
        <v>15.048702531056104</v>
      </c>
      <c r="R9" s="22">
        <f t="shared" si="0"/>
        <v>8.434237081579722E-4</v>
      </c>
      <c r="S9" s="22">
        <f t="shared" si="0"/>
        <v>1.5264524627964801E-3</v>
      </c>
    </row>
    <row r="10" spans="1:19" hidden="1" x14ac:dyDescent="0.25">
      <c r="A10" s="216" t="s">
        <v>124</v>
      </c>
      <c r="B10" s="216">
        <v>75</v>
      </c>
      <c r="C10" s="216">
        <v>550</v>
      </c>
      <c r="D10" s="216">
        <v>100</v>
      </c>
      <c r="E10" s="216">
        <v>150</v>
      </c>
      <c r="F10" s="216">
        <v>150</v>
      </c>
      <c r="G10" s="216">
        <v>55</v>
      </c>
      <c r="H10" s="216" t="s">
        <v>126</v>
      </c>
      <c r="I10" s="216" t="s">
        <v>126</v>
      </c>
      <c r="J10" s="216" t="s">
        <v>126</v>
      </c>
      <c r="K10" s="216"/>
      <c r="L10" s="216"/>
      <c r="M10" s="216"/>
      <c r="N10" s="216"/>
      <c r="O10" s="216"/>
      <c r="P10" s="216"/>
      <c r="Q10" s="217"/>
      <c r="R10" s="216"/>
      <c r="S10" s="216"/>
    </row>
    <row r="11" spans="1:19" hidden="1" x14ac:dyDescent="0.25">
      <c r="A11" s="27" t="s">
        <v>125</v>
      </c>
      <c r="B11" s="27" t="s">
        <v>127</v>
      </c>
      <c r="C11" s="27" t="s">
        <v>127</v>
      </c>
      <c r="D11" s="27" t="s">
        <v>127</v>
      </c>
      <c r="E11" s="27" t="s">
        <v>127</v>
      </c>
      <c r="F11" s="27" t="s">
        <v>127</v>
      </c>
      <c r="G11" s="27" t="s">
        <v>127</v>
      </c>
      <c r="H11" s="27" t="s">
        <v>126</v>
      </c>
      <c r="I11" s="27" t="s">
        <v>126</v>
      </c>
      <c r="J11" s="27" t="s">
        <v>126</v>
      </c>
      <c r="K11" s="27"/>
      <c r="L11" s="27"/>
      <c r="M11" s="27"/>
      <c r="N11" s="27"/>
      <c r="O11" s="27"/>
      <c r="P11" s="27"/>
      <c r="Q11" s="218"/>
      <c r="R11" s="27"/>
      <c r="S11" s="27"/>
    </row>
    <row r="12" spans="1:19" hidden="1" x14ac:dyDescent="0.25">
      <c r="A12" s="97"/>
      <c r="J12" s="105"/>
    </row>
    <row r="13" spans="1:19" hidden="1" x14ac:dyDescent="0.25">
      <c r="J13" s="105"/>
      <c r="O13" s="97"/>
      <c r="R13" s="98"/>
      <c r="S13" s="98"/>
    </row>
    <row r="14" spans="1:19" x14ac:dyDescent="0.25">
      <c r="A14" s="585">
        <v>2016</v>
      </c>
    </row>
    <row r="15" spans="1:19" ht="39.6" x14ac:dyDescent="0.25">
      <c r="A15" s="19" t="str">
        <f>'Equipment Talega Substation'!A19</f>
        <v>Talega Substation Below Grade</v>
      </c>
      <c r="B15" s="16" t="s">
        <v>18</v>
      </c>
      <c r="C15" s="16" t="s">
        <v>19</v>
      </c>
      <c r="D15" s="16" t="s">
        <v>20</v>
      </c>
      <c r="E15" s="16" t="s">
        <v>21</v>
      </c>
      <c r="F15" s="16" t="s">
        <v>22</v>
      </c>
      <c r="G15" s="16" t="s">
        <v>23</v>
      </c>
      <c r="H15" s="17" t="s">
        <v>24</v>
      </c>
      <c r="I15" s="16" t="s">
        <v>25</v>
      </c>
      <c r="J15" s="16" t="s">
        <v>26</v>
      </c>
      <c r="K15" s="18" t="s">
        <v>27</v>
      </c>
      <c r="L15" s="18" t="s">
        <v>28</v>
      </c>
      <c r="M15" s="18" t="s">
        <v>29</v>
      </c>
      <c r="N15" s="18" t="s">
        <v>30</v>
      </c>
      <c r="O15" s="18" t="s">
        <v>31</v>
      </c>
      <c r="P15" s="18" t="s">
        <v>32</v>
      </c>
      <c r="Q15" s="17" t="s">
        <v>33</v>
      </c>
      <c r="R15" s="18" t="s">
        <v>34</v>
      </c>
      <c r="S15" s="18" t="s">
        <v>35</v>
      </c>
    </row>
    <row r="16" spans="1:19" x14ac:dyDescent="0.25">
      <c r="A16" s="27" t="s">
        <v>75</v>
      </c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4"/>
      <c r="R16" s="213"/>
      <c r="S16" s="213"/>
    </row>
    <row r="17" spans="1:19" x14ac:dyDescent="0.25">
      <c r="A17" s="27" t="s">
        <v>119</v>
      </c>
      <c r="B17" s="215">
        <f>0.36*'Equipment Talega Substation'!Q29</f>
        <v>1.0905785557853163</v>
      </c>
      <c r="C17" s="215">
        <f>0.36*'Equipment Talega Substation'!R29</f>
        <v>5.6813481001979991</v>
      </c>
      <c r="D17" s="215">
        <f>0.36*'Equipment Talega Substation'!S29</f>
        <v>8.0550334336737333</v>
      </c>
      <c r="E17" s="215">
        <f>0.36*'Equipment Talega Substation'!T29</f>
        <v>1.8005012085844801E-2</v>
      </c>
      <c r="F17" s="215">
        <f>0.36*'Equipment Talega Substation'!U29</f>
        <v>0.34071525444196998</v>
      </c>
      <c r="G17" s="215">
        <f>0.36*'Equipment Talega Substation'!V29</f>
        <v>0.30323657645335333</v>
      </c>
      <c r="H17" s="215">
        <f>0.36*'Equipment Talega Substation'!W29</f>
        <v>1571.0766135371844</v>
      </c>
      <c r="I17" s="215">
        <f>0.36*'Equipment Talega Substation'!X29</f>
        <v>0.10603667209755958</v>
      </c>
      <c r="J17" s="215">
        <f>0.36*'Equipment Talega Substation'!Y29</f>
        <v>0.76522817619900485</v>
      </c>
      <c r="K17" s="213">
        <f>0.36*'Equipment Talega Substation'!E66</f>
        <v>1.8553716392014773E-2</v>
      </c>
      <c r="L17" s="213">
        <f>0.36*'Equipment Talega Substation'!F66</f>
        <v>9.810260950223168E-2</v>
      </c>
      <c r="M17" s="213">
        <f>0.36*'Equipment Talega Substation'!G66</f>
        <v>0.13847627250912961</v>
      </c>
      <c r="N17" s="213">
        <f>0.36*'Equipment Talega Substation'!H66</f>
        <v>3.061523184189696E-4</v>
      </c>
      <c r="O17" s="213">
        <f>0.36*'Equipment Talega Substation'!I66</f>
        <v>5.665866137836561E-3</v>
      </c>
      <c r="P17" s="213">
        <f>0.36*'Equipment Talega Substation'!J66</f>
        <v>5.0426208626745397E-3</v>
      </c>
      <c r="Q17" s="213">
        <f>0.36*'Equipment Talega Substation'!K66</f>
        <v>26.714749933338584</v>
      </c>
      <c r="R17" s="213">
        <f>0.36*'Equipment Talega Substation'!L66</f>
        <v>1.7953222311097704E-3</v>
      </c>
      <c r="S17" s="213">
        <f>0.36*'Equipment Talega Substation'!M66</f>
        <v>1.3155245888367315E-2</v>
      </c>
    </row>
    <row r="18" spans="1:19" x14ac:dyDescent="0.25">
      <c r="A18" s="27" t="s">
        <v>120</v>
      </c>
      <c r="B18" s="215">
        <f>0.01725*WorkerTrips!I131</f>
        <v>7.6292797708328516E-3</v>
      </c>
      <c r="C18" s="215">
        <f>0.01725*WorkerTrips!G131</f>
        <v>7.6811726830417593E-2</v>
      </c>
      <c r="D18" s="215">
        <f>0.01725*WorkerTrips!H131</f>
        <v>6.9368914990040678E-3</v>
      </c>
      <c r="E18" s="215">
        <f>0.01725*WorkerTrips!J131</f>
        <v>1.000738036993761E-4</v>
      </c>
      <c r="F18" s="215">
        <f>0.01725*WorkerTrips!K131+0.01725*WorkerTrips!M131</f>
        <v>2.3550751105158477E-3</v>
      </c>
      <c r="G18" s="215">
        <f>0.01725*WorkerTrips!L131+0.01725*WorkerTrips!N131</f>
        <v>7.6990712712329183E-4</v>
      </c>
      <c r="H18" s="215">
        <f>0.01725*WorkerTrips!O131</f>
        <v>7.8080316635396221</v>
      </c>
      <c r="I18" s="215">
        <f>0.01725*WorkerTrips!P131</f>
        <v>4.375471053222392E-4</v>
      </c>
      <c r="J18" s="215">
        <f>0.01725*WorkerTrips!Q131</f>
        <v>7.9642400890008965E-4</v>
      </c>
      <c r="K18" s="215">
        <f>0.01725*WorkerTrips!S131</f>
        <v>2.5347869854037805E-3</v>
      </c>
      <c r="L18" s="215">
        <f>0.01725*WorkerTrips!T131</f>
        <v>2.2891741946713421E-4</v>
      </c>
      <c r="M18" s="215">
        <f>0.01725*WorkerTrips!U131</f>
        <v>2.5176623243748408E-4</v>
      </c>
      <c r="N18" s="215">
        <f>0.01725*WorkerTrips!V131</f>
        <v>3.3024355220794109E-6</v>
      </c>
      <c r="O18" s="215">
        <f>0.01725*WorkerTrips!W131+0.01725*WorkerTrips!Y131</f>
        <v>7.7717478647022965E-5</v>
      </c>
      <c r="P18" s="215">
        <f>0.01725*WorkerTrips!X131+0.01725*WorkerTrips!Z131</f>
        <v>2.540693519506863E-5</v>
      </c>
      <c r="Q18" s="214">
        <f>0.01725*WorkerTrips!AA131</f>
        <v>0.25766504489680753</v>
      </c>
      <c r="R18" s="215">
        <f>0.01725*WorkerTrips!AB131</f>
        <v>1.4439054475633895E-5</v>
      </c>
      <c r="S18" s="215">
        <f>0.01725*WorkerTrips!AC131</f>
        <v>2.628199229370296E-5</v>
      </c>
    </row>
    <row r="19" spans="1:19" x14ac:dyDescent="0.25">
      <c r="A19" s="27" t="s">
        <v>121</v>
      </c>
      <c r="B19" s="215">
        <f>0.01725*'Construction Trucks'!V127</f>
        <v>6.3885460179044914E-3</v>
      </c>
      <c r="C19" s="215">
        <f>0.01725*'Construction Trucks'!T127</f>
        <v>2.6350543485601643E-2</v>
      </c>
      <c r="D19" s="215">
        <f>0.01725*'Construction Trucks'!U127</f>
        <v>0.12087675573910045</v>
      </c>
      <c r="E19" s="215">
        <f>0.01725*'Construction Trucks'!W127</f>
        <v>2.6071666200753985E-4</v>
      </c>
      <c r="F19" s="215">
        <f>0.01725*'Construction Trucks'!X127+0.01725*'Construction Trucks'!Z127</f>
        <v>5.2068043059695221E-3</v>
      </c>
      <c r="G19" s="215">
        <f>0.01725*'Construction Trucks'!Y127+0.01725*'Construction Trucks'!AA127</f>
        <v>2.6956089850522433E-3</v>
      </c>
      <c r="H19" s="215">
        <f>0.01725*'Construction Trucks'!AB127</f>
        <v>41.637637341849342</v>
      </c>
      <c r="I19" s="215">
        <f>0.01725*'Construction Trucks'!AC127</f>
        <v>2.3792995106252969E-3</v>
      </c>
      <c r="J19" s="215">
        <f>0.01725*'Construction Trucks'!AD127</f>
        <v>1.0665897181488125E-3</v>
      </c>
      <c r="K19" s="215">
        <f>0.01725*'Construction Trucks'!AH127</f>
        <v>7.0274006196949419E-5</v>
      </c>
      <c r="L19" s="215">
        <f>0.01725*'Construction Trucks'!AF127</f>
        <v>2.8985597834161805E-4</v>
      </c>
      <c r="M19" s="215">
        <f>0.01725*'Construction Trucks'!AG127</f>
        <v>1.3296443131301052E-3</v>
      </c>
      <c r="N19" s="215">
        <f>0.01725*'Construction Trucks'!AI127</f>
        <v>2.8678832820829383E-6</v>
      </c>
      <c r="O19" s="215">
        <f>0.01725*'Construction Trucks'!AJ127+0.01725*'Construction Trucks'!AL127</f>
        <v>5.7274847365664745E-5</v>
      </c>
      <c r="P19" s="215">
        <f>0.01725*'Construction Trucks'!AK127+0.01725*'Construction Trucks'!AM127</f>
        <v>2.9651698835574676E-5</v>
      </c>
      <c r="Q19" s="214">
        <f>0.01725*'Construction Trucks'!AN127</f>
        <v>0.45801401076034276</v>
      </c>
      <c r="R19" s="215">
        <f>0.01725*'Construction Trucks'!AO127</f>
        <v>2.6172294616878263E-5</v>
      </c>
      <c r="S19" s="215">
        <f>0.01725*'Construction Trucks'!AP127</f>
        <v>1.1732486899636939E-5</v>
      </c>
    </row>
    <row r="20" spans="1:19" x14ac:dyDescent="0.25">
      <c r="A20" s="137" t="s">
        <v>122</v>
      </c>
      <c r="B20" s="215"/>
      <c r="C20" s="215"/>
      <c r="D20" s="215"/>
      <c r="E20" s="215"/>
      <c r="F20" s="215">
        <f>0.36*'Fugitive Dust Substation'!B7</f>
        <v>9.4904595789109969</v>
      </c>
      <c r="G20" s="215">
        <f>0.36*'Fugitive Dust Substation'!C7</f>
        <v>2.9827158676577423</v>
      </c>
      <c r="H20" s="215"/>
      <c r="I20" s="215"/>
      <c r="J20" s="215"/>
      <c r="K20" s="215"/>
      <c r="L20" s="215"/>
      <c r="M20" s="215"/>
      <c r="N20" s="215"/>
      <c r="O20" s="215">
        <f>0.36*'Fugitive Dust Substation'!B9</f>
        <v>5.3941401280421346E-3</v>
      </c>
      <c r="P20" s="215">
        <f>0.36*'Fugitive Dust Substation'!C9</f>
        <v>1.695301183098957E-3</v>
      </c>
      <c r="Q20" s="214"/>
      <c r="R20" s="215"/>
      <c r="S20" s="215"/>
    </row>
    <row r="21" spans="1:19" x14ac:dyDescent="0.25">
      <c r="A21" s="19" t="s">
        <v>123</v>
      </c>
      <c r="B21" s="22">
        <f>SUM(B17:B20)</f>
        <v>1.1045963815740536</v>
      </c>
      <c r="C21" s="22">
        <f t="shared" ref="C21:S21" si="1">SUM(C17:C20)</f>
        <v>5.7845103705140177</v>
      </c>
      <c r="D21" s="22">
        <f t="shared" si="1"/>
        <v>8.1828470809118379</v>
      </c>
      <c r="E21" s="22">
        <f t="shared" si="1"/>
        <v>1.8365802551551718E-2</v>
      </c>
      <c r="F21" s="22">
        <f t="shared" si="1"/>
        <v>9.8387367127694532</v>
      </c>
      <c r="G21" s="22">
        <f t="shared" si="1"/>
        <v>3.2894179602232709</v>
      </c>
      <c r="H21" s="22">
        <f t="shared" si="1"/>
        <v>1620.5222825425733</v>
      </c>
      <c r="I21" s="22">
        <f t="shared" si="1"/>
        <v>0.10885351871350711</v>
      </c>
      <c r="J21" s="22">
        <f t="shared" si="1"/>
        <v>0.76709118992605374</v>
      </c>
      <c r="K21" s="22">
        <f t="shared" si="1"/>
        <v>2.1158777383615501E-2</v>
      </c>
      <c r="L21" s="22">
        <f t="shared" si="1"/>
        <v>9.8621382900040439E-2</v>
      </c>
      <c r="M21" s="22">
        <f t="shared" si="1"/>
        <v>0.14005768305469718</v>
      </c>
      <c r="N21" s="22">
        <f t="shared" si="1"/>
        <v>3.1232263722313192E-4</v>
      </c>
      <c r="O21" s="22">
        <f t="shared" si="1"/>
        <v>1.1194998591891384E-2</v>
      </c>
      <c r="P21" s="22">
        <f t="shared" si="1"/>
        <v>6.7929806798041397E-3</v>
      </c>
      <c r="Q21" s="22">
        <f t="shared" si="1"/>
        <v>27.430428988995736</v>
      </c>
      <c r="R21" s="22">
        <f t="shared" si="1"/>
        <v>1.8359335802022826E-3</v>
      </c>
      <c r="S21" s="22">
        <f t="shared" si="1"/>
        <v>1.3193260367560656E-2</v>
      </c>
    </row>
    <row r="22" spans="1:19" x14ac:dyDescent="0.25">
      <c r="A22" s="27" t="s">
        <v>124</v>
      </c>
      <c r="B22" s="216">
        <v>75</v>
      </c>
      <c r="C22" s="216">
        <v>550</v>
      </c>
      <c r="D22" s="216">
        <v>250</v>
      </c>
      <c r="E22" s="216">
        <v>150</v>
      </c>
      <c r="F22" s="216">
        <v>150</v>
      </c>
      <c r="G22" s="216">
        <v>55</v>
      </c>
      <c r="H22" s="216" t="s">
        <v>126</v>
      </c>
      <c r="I22" s="216" t="s">
        <v>126</v>
      </c>
      <c r="J22" s="216" t="s">
        <v>126</v>
      </c>
      <c r="K22" s="213"/>
      <c r="L22" s="213"/>
      <c r="M22" s="213"/>
      <c r="N22" s="213"/>
      <c r="O22" s="213"/>
      <c r="P22" s="213"/>
      <c r="Q22" s="214"/>
      <c r="R22" s="213"/>
      <c r="S22" s="213"/>
    </row>
    <row r="23" spans="1:19" x14ac:dyDescent="0.25">
      <c r="A23" s="27" t="s">
        <v>125</v>
      </c>
      <c r="B23" s="27" t="str">
        <f>IF(B21&gt;B22,"Yes","No")</f>
        <v>No</v>
      </c>
      <c r="C23" s="27" t="str">
        <f t="shared" ref="C23:G23" si="2">IF(C21&gt;C22,"Yes","No")</f>
        <v>No</v>
      </c>
      <c r="D23" s="27" t="str">
        <f t="shared" si="2"/>
        <v>No</v>
      </c>
      <c r="E23" s="27" t="str">
        <f t="shared" si="2"/>
        <v>No</v>
      </c>
      <c r="F23" s="27" t="str">
        <f t="shared" si="2"/>
        <v>No</v>
      </c>
      <c r="G23" s="27" t="str">
        <f t="shared" si="2"/>
        <v>No</v>
      </c>
      <c r="H23" s="27" t="s">
        <v>126</v>
      </c>
      <c r="I23" s="27" t="s">
        <v>126</v>
      </c>
      <c r="J23" s="27" t="s">
        <v>126</v>
      </c>
      <c r="K23" s="213"/>
      <c r="L23" s="213"/>
      <c r="M23" s="213"/>
      <c r="N23" s="213"/>
      <c r="O23" s="213"/>
      <c r="P23" s="213"/>
      <c r="Q23" s="214"/>
      <c r="R23" s="213"/>
      <c r="S23" s="213"/>
    </row>
    <row r="25" spans="1:19" x14ac:dyDescent="0.25">
      <c r="J25" s="105"/>
      <c r="O25" s="97"/>
      <c r="R25" s="98"/>
      <c r="S25" s="98"/>
    </row>
    <row r="26" spans="1:19" x14ac:dyDescent="0.25">
      <c r="A26" s="585">
        <v>2018</v>
      </c>
    </row>
    <row r="27" spans="1:19" ht="39.6" x14ac:dyDescent="0.25">
      <c r="A27" s="19" t="str">
        <f>'Equipment Talega Substation'!A31</f>
        <v>Talega Substation Construction</v>
      </c>
      <c r="B27" s="16" t="s">
        <v>18</v>
      </c>
      <c r="C27" s="16" t="s">
        <v>19</v>
      </c>
      <c r="D27" s="16" t="s">
        <v>20</v>
      </c>
      <c r="E27" s="16" t="s">
        <v>21</v>
      </c>
      <c r="F27" s="16" t="s">
        <v>22</v>
      </c>
      <c r="G27" s="16" t="s">
        <v>23</v>
      </c>
      <c r="H27" s="17" t="s">
        <v>24</v>
      </c>
      <c r="I27" s="16" t="s">
        <v>25</v>
      </c>
      <c r="J27" s="16" t="s">
        <v>26</v>
      </c>
      <c r="K27" s="18" t="s">
        <v>27</v>
      </c>
      <c r="L27" s="18" t="s">
        <v>28</v>
      </c>
      <c r="M27" s="18" t="s">
        <v>29</v>
      </c>
      <c r="N27" s="18" t="s">
        <v>30</v>
      </c>
      <c r="O27" s="18" t="s">
        <v>31</v>
      </c>
      <c r="P27" s="18" t="s">
        <v>32</v>
      </c>
      <c r="Q27" s="17" t="s">
        <v>33</v>
      </c>
      <c r="R27" s="18" t="s">
        <v>34</v>
      </c>
      <c r="S27" s="18" t="s">
        <v>35</v>
      </c>
    </row>
    <row r="28" spans="1:19" x14ac:dyDescent="0.25">
      <c r="A28" s="27" t="s">
        <v>75</v>
      </c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4"/>
      <c r="R28" s="213"/>
      <c r="S28" s="213"/>
    </row>
    <row r="29" spans="1:19" x14ac:dyDescent="0.25">
      <c r="A29" s="27" t="s">
        <v>119</v>
      </c>
      <c r="B29" s="215">
        <f>0.36*'Equipment Talega Substation'!Q40</f>
        <v>0.51008563711292965</v>
      </c>
      <c r="C29" s="215">
        <f>0.36*'Equipment Talega Substation'!R40</f>
        <v>2.9627351802158897</v>
      </c>
      <c r="D29" s="215">
        <f>0.36*'Equipment Talega Substation'!S40</f>
        <v>3.2410398929245057</v>
      </c>
      <c r="E29" s="215">
        <f>0.36*'Equipment Talega Substation'!T40</f>
        <v>9.5994070277537896E-3</v>
      </c>
      <c r="F29" s="215">
        <f>0.36*'Equipment Talega Substation'!U40</f>
        <v>0.12957052724714607</v>
      </c>
      <c r="G29" s="215">
        <f>0.36*'Equipment Talega Substation'!V40</f>
        <v>0.11531776924996</v>
      </c>
      <c r="H29" s="215">
        <f>0.36*'Equipment Talega Substation'!W40</f>
        <v>865.59978977751143</v>
      </c>
      <c r="I29" s="215">
        <f>0.36*'Equipment Talega Substation'!X40</f>
        <v>6.0058969912054679E-2</v>
      </c>
      <c r="J29" s="215">
        <f>0.36*'Equipment Talega Substation'!Y40</f>
        <v>0.30789878982782803</v>
      </c>
      <c r="K29" s="213">
        <f>0.36*'Equipment Talega Substation'!E76</f>
        <v>2.1167619421488006E-2</v>
      </c>
      <c r="L29" s="213">
        <f>0.36*'Equipment Talega Substation'!F76</f>
        <v>0.13401603276911789</v>
      </c>
      <c r="M29" s="213">
        <f>0.36*'Equipment Talega Substation'!G76</f>
        <v>0.13801254511686553</v>
      </c>
      <c r="N29" s="213">
        <f>0.36*'Equipment Talega Substation'!H76</f>
        <v>3.4663638573859844E-4</v>
      </c>
      <c r="O29" s="213">
        <f>0.36*'Equipment Talega Substation'!I76</f>
        <v>5.9648035296358398E-3</v>
      </c>
      <c r="P29" s="213">
        <f>0.36*'Equipment Talega Substation'!J76</f>
        <v>5.3086751413758976E-3</v>
      </c>
      <c r="Q29" s="213">
        <f>0.36*'Equipment Talega Substation'!K76</f>
        <v>31.158029702161311</v>
      </c>
      <c r="R29" s="213">
        <f>0.36*'Equipment Talega Substation'!L76</f>
        <v>2.5394977336162688E-3</v>
      </c>
      <c r="S29" s="213">
        <f>0.36*'Equipment Talega Substation'!M76</f>
        <v>1.3111191786102226E-2</v>
      </c>
    </row>
    <row r="30" spans="1:19" x14ac:dyDescent="0.25">
      <c r="A30" s="27" t="s">
        <v>120</v>
      </c>
      <c r="B30" s="215">
        <f>0.01725*WorkerTrips!I132</f>
        <v>8.5298158390401686E-3</v>
      </c>
      <c r="C30" s="215">
        <f>0.01725*WorkerTrips!G132</f>
        <v>7.901726961518088E-2</v>
      </c>
      <c r="D30" s="215">
        <f>0.01725*WorkerTrips!H132</f>
        <v>7.3001787227499225E-3</v>
      </c>
      <c r="E30" s="215">
        <f>0.01725*WorkerTrips!J132</f>
        <v>1.0027550403159249E-4</v>
      </c>
      <c r="F30" s="215">
        <f>0.01725*WorkerTrips!K132+0.01725*WorkerTrips!M132</f>
        <v>2.3613994323436758E-3</v>
      </c>
      <c r="G30" s="215">
        <f>0.01725*WorkerTrips!L132+0.01725*WorkerTrips!N132</f>
        <v>7.7537740169587529E-4</v>
      </c>
      <c r="H30" s="215">
        <f>0.01725*WorkerTrips!O132</f>
        <v>8.9708021618000391</v>
      </c>
      <c r="I30" s="215">
        <f>0.01725*WorkerTrips!P132</f>
        <v>4.3796426119724184E-4</v>
      </c>
      <c r="J30" s="215">
        <f>0.01725*WorkerTrips!Q132</f>
        <v>7.9660755884001545E-4</v>
      </c>
      <c r="K30" s="215">
        <f>0.01725*WorkerTrips!S132</f>
        <v>2.6075698973009689E-3</v>
      </c>
      <c r="L30" s="215">
        <f>0.01725*WorkerTrips!T132</f>
        <v>2.4090589785074742E-4</v>
      </c>
      <c r="M30" s="215">
        <f>0.01725*WorkerTrips!U132</f>
        <v>2.8148392268832561E-4</v>
      </c>
      <c r="N30" s="215">
        <f>0.01725*WorkerTrips!V132</f>
        <v>3.3090916330425522E-6</v>
      </c>
      <c r="O30" s="215">
        <f>0.01725*WorkerTrips!W132+0.01725*WorkerTrips!Y132</f>
        <v>7.7926181267341292E-5</v>
      </c>
      <c r="P30" s="215">
        <f>0.01725*WorkerTrips!X132+0.01725*WorkerTrips!Z132</f>
        <v>2.558745425596389E-5</v>
      </c>
      <c r="Q30" s="214">
        <f>0.01725*WorkerTrips!AA132</f>
        <v>0.29603647133940131</v>
      </c>
      <c r="R30" s="215">
        <f>0.01725*WorkerTrips!AB132</f>
        <v>1.4452820619508981E-5</v>
      </c>
      <c r="S30" s="215">
        <f>0.01725*WorkerTrips!AC132</f>
        <v>2.628804944172051E-5</v>
      </c>
    </row>
    <row r="31" spans="1:19" x14ac:dyDescent="0.25">
      <c r="A31" s="27" t="s">
        <v>121</v>
      </c>
      <c r="B31" s="215">
        <f>0.01725*'Construction Trucks'!V131</f>
        <v>1.2550211406911116E-3</v>
      </c>
      <c r="C31" s="215">
        <f>0.01725*'Construction Trucks'!T131</f>
        <v>6.4889695233242119E-3</v>
      </c>
      <c r="D31" s="215">
        <f>0.01725*'Construction Trucks'!U131</f>
        <v>6.915396791071224E-3</v>
      </c>
      <c r="E31" s="215">
        <f>0.01725*'Construction Trucks'!W131</f>
        <v>3.6350577318235768E-5</v>
      </c>
      <c r="F31" s="215">
        <f>0.01725*'Construction Trucks'!X131+0.01725*'Construction Trucks'!Z131</f>
        <v>2.0554311569537494E-3</v>
      </c>
      <c r="G31" s="215">
        <f>0.01725*'Construction Trucks'!Y131+0.01725*'Construction Trucks'!AA131</f>
        <v>1.2632710558275412E-3</v>
      </c>
      <c r="H31" s="215">
        <f>0.01725*'Construction Trucks'!AB131</f>
        <v>3.245599257067163</v>
      </c>
      <c r="I31" s="215">
        <f>0.01725*'Construction Trucks'!AC131</f>
        <v>1.8546327834658888E-4</v>
      </c>
      <c r="J31" s="215">
        <f>0.01725*'Construction Trucks'!AD131</f>
        <v>8.3139270569032448E-5</v>
      </c>
      <c r="K31" s="215">
        <f>0.01725*'Construction Trucks'!AH131</f>
        <v>1.3805232547602229E-5</v>
      </c>
      <c r="L31" s="215">
        <f>0.01725*'Construction Trucks'!AF131</f>
        <v>7.1378664756566328E-5</v>
      </c>
      <c r="M31" s="215">
        <f>0.01725*'Construction Trucks'!AG131</f>
        <v>7.6069364701783468E-5</v>
      </c>
      <c r="N31" s="215">
        <f>0.01725*'Construction Trucks'!AI131</f>
        <v>3.9985635050059343E-7</v>
      </c>
      <c r="O31" s="215">
        <f>0.01725*'Construction Trucks'!AJ131+0.01725*'Construction Trucks'!AL131</f>
        <v>2.2609742726491244E-5</v>
      </c>
      <c r="P31" s="215">
        <f>0.01725*'Construction Trucks'!AK131+0.01725*'Construction Trucks'!AM131</f>
        <v>1.3895981614102954E-5</v>
      </c>
      <c r="Q31" s="214">
        <f>0.01725*'Construction Trucks'!AN131</f>
        <v>3.5701591827738799E-2</v>
      </c>
      <c r="R31" s="215">
        <f>0.01725*'Construction Trucks'!AO131</f>
        <v>2.040096061812478E-6</v>
      </c>
      <c r="S31" s="215">
        <f>0.01725*'Construction Trucks'!AP131</f>
        <v>9.1453197625935687E-7</v>
      </c>
    </row>
    <row r="32" spans="1:19" x14ac:dyDescent="0.25">
      <c r="A32" s="19" t="s">
        <v>123</v>
      </c>
      <c r="B32" s="22">
        <f t="shared" ref="B32:S32" si="3">SUM(B29:B31)</f>
        <v>0.51987047409266096</v>
      </c>
      <c r="C32" s="22">
        <f t="shared" si="3"/>
        <v>3.0482414193543947</v>
      </c>
      <c r="D32" s="22">
        <f t="shared" si="3"/>
        <v>3.2552554684383268</v>
      </c>
      <c r="E32" s="22">
        <f t="shared" si="3"/>
        <v>9.7360331091036183E-3</v>
      </c>
      <c r="F32" s="22">
        <f t="shared" si="3"/>
        <v>0.1339873578364435</v>
      </c>
      <c r="G32" s="22">
        <f t="shared" si="3"/>
        <v>0.11735641770748342</v>
      </c>
      <c r="H32" s="22">
        <f t="shared" si="3"/>
        <v>877.81619119637867</v>
      </c>
      <c r="I32" s="22">
        <f t="shared" si="3"/>
        <v>6.0682397451598508E-2</v>
      </c>
      <c r="J32" s="22">
        <f t="shared" si="3"/>
        <v>0.30877853665723709</v>
      </c>
      <c r="K32" s="22">
        <f t="shared" si="3"/>
        <v>2.3788994551336578E-2</v>
      </c>
      <c r="L32" s="22">
        <f t="shared" si="3"/>
        <v>0.13432831733172521</v>
      </c>
      <c r="M32" s="22">
        <f t="shared" si="3"/>
        <v>0.13837009840425563</v>
      </c>
      <c r="N32" s="22">
        <f t="shared" si="3"/>
        <v>3.5034533372214162E-4</v>
      </c>
      <c r="O32" s="22">
        <f t="shared" si="3"/>
        <v>6.0653394536296723E-3</v>
      </c>
      <c r="P32" s="22">
        <f t="shared" si="3"/>
        <v>5.348158577245965E-3</v>
      </c>
      <c r="Q32" s="22">
        <f t="shared" si="3"/>
        <v>31.489767765328452</v>
      </c>
      <c r="R32" s="22">
        <f t="shared" si="3"/>
        <v>2.5559906502975903E-3</v>
      </c>
      <c r="S32" s="22">
        <f t="shared" si="3"/>
        <v>1.3138394367520206E-2</v>
      </c>
    </row>
    <row r="33" spans="1:19 16384:16384" x14ac:dyDescent="0.25">
      <c r="A33" s="27" t="s">
        <v>124</v>
      </c>
      <c r="B33" s="216">
        <v>75</v>
      </c>
      <c r="C33" s="216">
        <v>550</v>
      </c>
      <c r="D33" s="216">
        <v>250</v>
      </c>
      <c r="E33" s="216">
        <v>150</v>
      </c>
      <c r="F33" s="216">
        <v>150</v>
      </c>
      <c r="G33" s="216">
        <v>55</v>
      </c>
      <c r="H33" s="216" t="s">
        <v>126</v>
      </c>
      <c r="I33" s="216" t="s">
        <v>126</v>
      </c>
      <c r="J33" s="216" t="s">
        <v>126</v>
      </c>
      <c r="K33" s="213"/>
      <c r="L33" s="213"/>
      <c r="M33" s="213"/>
      <c r="N33" s="213"/>
      <c r="O33" s="213"/>
      <c r="P33" s="213"/>
      <c r="Q33" s="214"/>
      <c r="R33" s="213"/>
      <c r="S33" s="213"/>
    </row>
    <row r="34" spans="1:19 16384:16384" x14ac:dyDescent="0.25">
      <c r="A34" s="27" t="s">
        <v>125</v>
      </c>
      <c r="B34" s="27" t="str">
        <f>IF(B32&gt;B33,"Yes","No")</f>
        <v>No</v>
      </c>
      <c r="C34" s="27" t="str">
        <f t="shared" ref="C34:G34" si="4">IF(C32&gt;C33,"Yes","No")</f>
        <v>No</v>
      </c>
      <c r="D34" s="27" t="str">
        <f t="shared" si="4"/>
        <v>No</v>
      </c>
      <c r="E34" s="27" t="str">
        <f t="shared" si="4"/>
        <v>No</v>
      </c>
      <c r="F34" s="27" t="str">
        <f t="shared" si="4"/>
        <v>No</v>
      </c>
      <c r="G34" s="27" t="str">
        <f t="shared" si="4"/>
        <v>No</v>
      </c>
      <c r="H34" s="27" t="s">
        <v>126</v>
      </c>
      <c r="I34" s="27" t="s">
        <v>126</v>
      </c>
      <c r="J34" s="27" t="s">
        <v>126</v>
      </c>
      <c r="K34" s="213"/>
      <c r="L34" s="213"/>
      <c r="M34" s="213"/>
      <c r="N34" s="213"/>
      <c r="O34" s="213"/>
      <c r="P34" s="213"/>
      <c r="Q34" s="214"/>
      <c r="R34" s="213"/>
      <c r="S34" s="213"/>
    </row>
    <row r="35" spans="1:19 16384:16384" x14ac:dyDescent="0.25">
      <c r="A35" s="97"/>
      <c r="B35" s="97"/>
      <c r="C35" s="97"/>
      <c r="D35" s="97"/>
      <c r="E35" s="97"/>
      <c r="F35" s="97"/>
      <c r="G35" s="97"/>
      <c r="H35" s="97"/>
      <c r="I35" s="97"/>
      <c r="J35" s="107"/>
    </row>
    <row r="37" spans="1:19 16384:16384" x14ac:dyDescent="0.25">
      <c r="K37" s="3" t="s">
        <v>627</v>
      </c>
      <c r="Q37" s="212">
        <f>(Q21+Q32)/1.1023</f>
        <v>53.452051850062766</v>
      </c>
      <c r="R37" s="212">
        <f>(R21+R32)/1.1023</f>
        <v>3.9843275247209223E-3</v>
      </c>
      <c r="S37" s="212">
        <f>(S21+S32)/1.1023</f>
        <v>2.3887920470907067E-2</v>
      </c>
    </row>
    <row r="38" spans="1:19 16384:16384" x14ac:dyDescent="0.25">
      <c r="K38" s="3" t="s">
        <v>349</v>
      </c>
      <c r="Q38" s="212">
        <f>Q37</f>
        <v>53.452051850062766</v>
      </c>
      <c r="R38" s="212">
        <f>21*R37</f>
        <v>8.3670878019139361E-2</v>
      </c>
      <c r="S38" s="212">
        <f>310*S37</f>
        <v>7.4052553459811907</v>
      </c>
      <c r="XFD38" s="7"/>
    </row>
    <row r="39" spans="1:19 16384:16384" x14ac:dyDescent="0.25">
      <c r="K39" s="3" t="s">
        <v>348</v>
      </c>
      <c r="Q39" s="212">
        <f>Q38+R38+S38</f>
        <v>60.940978074063096</v>
      </c>
    </row>
    <row r="90" spans="10:10" x14ac:dyDescent="0.25">
      <c r="J90" s="105"/>
    </row>
    <row r="100" spans="10:10" x14ac:dyDescent="0.25">
      <c r="J100" s="105"/>
    </row>
  </sheetData>
  <mergeCells count="2">
    <mergeCell ref="B2:I2"/>
    <mergeCell ref="K2:S2"/>
  </mergeCells>
  <pageMargins left="0.7" right="0.7" top="0.75" bottom="0.75" header="0.3" footer="0.3"/>
  <pageSetup scale="27" orientation="portrait" r:id="rId1"/>
  <headerFooter>
    <oddHeader>&amp;CTable A-17
Construction Emission Summary
South Orange County Reliability Project
Substation Construction</oddHeader>
    <oddFooter>&amp;CA-17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18"/>
  <sheetViews>
    <sheetView topLeftCell="A79" zoomScale="75" zoomScaleNormal="75" workbookViewId="0">
      <selection activeCell="E118" sqref="E118"/>
    </sheetView>
  </sheetViews>
  <sheetFormatPr defaultRowHeight="13.2" x14ac:dyDescent="0.25"/>
  <cols>
    <col min="1" max="1" width="68.332031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616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247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193</v>
      </c>
      <c r="B8" s="34">
        <v>2015</v>
      </c>
      <c r="C8" s="25">
        <v>350</v>
      </c>
      <c r="D8" s="134">
        <v>0.4</v>
      </c>
      <c r="E8" s="546">
        <f>VLOOKUP($A8,EFROGS!$A$1:$J$44,(IF($B8=2015,4,IF($B8=2016,5,IF($B8=2017,6,IF($B8=2018,7,IF($B8=2019,8,IF($B8=2020,9,0))))))),FALSE)</f>
        <v>0.28066021184881418</v>
      </c>
      <c r="F8" s="546">
        <f>VLOOKUP($A8,EFCOS!$A$1:$J$44,(IF($B8=2015,4,IF($B8=2016,5,IF($B8=2017,6,IF($B8=2018,7,IF($B8=2019,8,IF($B8=2020,9,0))))))),FALSE)</f>
        <v>1.2234716378508228</v>
      </c>
      <c r="G8" s="546">
        <f>VLOOKUP($A8,EFNOXS!$A$1:$J$44,(IF($B8=2015,4,IF($B8=2016,5,IF($B8=2017,6,IF($B8=2018,7,IF($B8=2019,8,IF($B8=2020,9,0))))))),FALSE)</f>
        <v>2.2984677151643464</v>
      </c>
      <c r="H8" s="546">
        <f>VLOOKUP($A8,EFSOXS!$A$1:$J$44,(IF($B8=2015,4,IF($B8=2016,5,IF($B8=2017,6,IF($B8=2018,7,IF($B8=2019,8,IF($B8=2020,9,0))))))),FALSE)</f>
        <v>2.5998102444893035E-3</v>
      </c>
      <c r="I8" s="546">
        <f>VLOOKUP($A8,EFPMS!$A$1:$J$44,(IF($B8=2015,4,IF($B8=2016,5,IF($B8=2017,6,IF($B8=2018,7,IF($B8=2019,8,IF($B8=2020,9,0))))))),FALSE)</f>
        <v>9.3824024160305358E-2</v>
      </c>
      <c r="J8" s="536">
        <f t="shared" ref="J8" si="0">0.89*I8</f>
        <v>8.3503381502671767E-2</v>
      </c>
      <c r="K8" s="549">
        <f>VLOOKUP($A8,EFCO2S!$A$1:$J$44,(IF($B8=2015,4,IF($B8=2016,5,IF($B8=2017,6,IF($B8=2018,7,IF($B8=2019,8,IF($B8=2020,9,0))))))),FALSE)</f>
        <v>264.8725636721183</v>
      </c>
      <c r="L8" s="546">
        <f>VLOOKUP($A8,EFCH4S!$A$1:$J$44,(IF($B8=2015,4,IF($B8=2016,5,IF($B8=2017,6,IF($B8=2018,7,IF($B8=2019,8,IF($B8=2020,9,0))))))),FALSE)</f>
        <v>2.6451144743432839E-2</v>
      </c>
      <c r="M8" s="540">
        <f t="shared" ref="M8" si="1">0.095*G8</f>
        <v>0.21835443294061291</v>
      </c>
      <c r="N8" s="135">
        <v>1</v>
      </c>
      <c r="O8" s="135">
        <v>6</v>
      </c>
      <c r="P8" s="136">
        <f>0.5*22</f>
        <v>11</v>
      </c>
      <c r="Q8" s="39">
        <f t="shared" ref="Q8:Y13" si="2">(E8*$N8*$O8)</f>
        <v>1.6839612710928851</v>
      </c>
      <c r="R8" s="29">
        <f t="shared" si="2"/>
        <v>7.3408298271049368</v>
      </c>
      <c r="S8" s="29">
        <f t="shared" si="2"/>
        <v>13.79080629098608</v>
      </c>
      <c r="T8" s="29">
        <f t="shared" si="2"/>
        <v>1.5598861466935822E-2</v>
      </c>
      <c r="U8" s="29">
        <f t="shared" si="2"/>
        <v>0.5629441449618322</v>
      </c>
      <c r="V8" s="29">
        <f t="shared" si="2"/>
        <v>0.50102028901603057</v>
      </c>
      <c r="W8" s="29">
        <f t="shared" si="2"/>
        <v>1589.2353820327098</v>
      </c>
      <c r="X8" s="29">
        <f t="shared" si="2"/>
        <v>0.15870686846059703</v>
      </c>
      <c r="Y8" s="29">
        <f t="shared" si="2"/>
        <v>1.3101265976436776</v>
      </c>
    </row>
    <row r="9" spans="1:25" s="3" customFormat="1" x14ac:dyDescent="0.25">
      <c r="A9" s="27" t="s">
        <v>196</v>
      </c>
      <c r="B9" s="34">
        <v>2015</v>
      </c>
      <c r="C9" s="25">
        <v>250</v>
      </c>
      <c r="D9" s="134">
        <v>0.48</v>
      </c>
      <c r="E9" s="546">
        <f>VLOOKUP($A9,EFROGS!$A$1:$J$44,(IF($B9=2015,4,IF($B9=2016,5,IF($B9=2017,6,IF($B9=2018,7,IF($B9=2019,8,IF($B9=2020,9,0))))))),FALSE)</f>
        <v>0.10659360197116201</v>
      </c>
      <c r="F9" s="546">
        <f>VLOOKUP($A9,EFCOS!$A$1:$J$44,(IF($B9=2015,4,IF($B9=2016,5,IF($B9=2017,6,IF($B9=2018,7,IF($B9=2019,8,IF($B9=2020,9,0))))))),FALSE)</f>
        <v>0.36686319474726009</v>
      </c>
      <c r="G9" s="546">
        <f>VLOOKUP($A9,EFNOXS!$A$1:$J$44,(IF($B9=2015,4,IF($B9=2016,5,IF($B9=2017,6,IF($B9=2018,7,IF($B9=2019,8,IF($B9=2020,9,0))))))),FALSE)</f>
        <v>1.0557516810303123</v>
      </c>
      <c r="H9" s="546">
        <f>VLOOKUP($A9,EFSOXS!$A$1:$J$44,(IF($B9=2015,4,IF($B9=2016,5,IF($B9=2017,6,IF($B9=2018,7,IF($B9=2019,8,IF($B9=2020,9,0))))))),FALSE)</f>
        <v>1.7225234988951081E-3</v>
      </c>
      <c r="I9" s="546">
        <f>VLOOKUP($A9,EFPMS!$A$1:$J$44,(IF($B9=2015,4,IF($B9=2016,5,IF($B9=2017,6,IF($B9=2018,7,IF($B9=2019,8,IF($B9=2020,9,0))))))),FALSE)</f>
        <v>3.5131941225937512E-2</v>
      </c>
      <c r="J9" s="536">
        <f t="shared" ref="J9:J13" si="3">0.89*I9</f>
        <v>3.1267427691084385E-2</v>
      </c>
      <c r="K9" s="549">
        <f>VLOOKUP($A9,EFCO2S!$A$1:$J$44,(IF($B9=2015,4,IF($B9=2016,5,IF($B9=2017,6,IF($B9=2018,7,IF($B9=2019,8,IF($B9=2020,9,0))))))),FALSE)</f>
        <v>153.0897857268109</v>
      </c>
      <c r="L9" s="546">
        <f>VLOOKUP($A9,EFCH4S!$A$1:$J$44,(IF($B9=2015,4,IF($B9=2016,5,IF($B9=2017,6,IF($B9=2018,7,IF($B9=2019,8,IF($B9=2020,9,0))))))),FALSE)</f>
        <v>9.9847277011502044E-3</v>
      </c>
      <c r="M9" s="540">
        <f t="shared" ref="M9:M13" si="4">0.095*G9</f>
        <v>0.10029640969787966</v>
      </c>
      <c r="N9" s="135">
        <v>1</v>
      </c>
      <c r="O9" s="135">
        <v>4</v>
      </c>
      <c r="P9" s="136">
        <f>2*22</f>
        <v>44</v>
      </c>
      <c r="Q9" s="39">
        <f t="shared" si="2"/>
        <v>0.42637440788464803</v>
      </c>
      <c r="R9" s="29">
        <f t="shared" si="2"/>
        <v>1.4674527789890404</v>
      </c>
      <c r="S9" s="29">
        <f t="shared" si="2"/>
        <v>4.223006724121249</v>
      </c>
      <c r="T9" s="29">
        <f t="shared" si="2"/>
        <v>6.8900939955804322E-3</v>
      </c>
      <c r="U9" s="29">
        <f t="shared" si="2"/>
        <v>0.14052776490375005</v>
      </c>
      <c r="V9" s="29">
        <f t="shared" si="2"/>
        <v>0.12506971076433754</v>
      </c>
      <c r="W9" s="29">
        <f t="shared" si="2"/>
        <v>612.35914290724361</v>
      </c>
      <c r="X9" s="29">
        <f t="shared" si="2"/>
        <v>3.9938910804600818E-2</v>
      </c>
      <c r="Y9" s="29">
        <f t="shared" si="2"/>
        <v>0.40118563879151864</v>
      </c>
    </row>
    <row r="10" spans="1:25" s="3" customFormat="1" x14ac:dyDescent="0.25">
      <c r="A10" s="27" t="s">
        <v>197</v>
      </c>
      <c r="B10" s="34">
        <v>2015</v>
      </c>
      <c r="C10" s="134">
        <v>200</v>
      </c>
      <c r="D10" s="134">
        <v>0.38</v>
      </c>
      <c r="E10" s="546">
        <f>VLOOKUP($A10,EFROGS!$A$1:$J$44,(IF($B10=2015,4,IF($B10=2016,5,IF($B10=2017,6,IF($B10=2018,7,IF($B10=2019,8,IF($B10=2020,9,0))))))),FALSE)</f>
        <v>0.10736823912786365</v>
      </c>
      <c r="F10" s="546">
        <f>VLOOKUP($A10,EFCOS!$A$1:$J$44,(IF($B10=2015,4,IF($B10=2016,5,IF($B10=2017,6,IF($B10=2018,7,IF($B10=2019,8,IF($B10=2020,9,0))))))),FALSE)</f>
        <v>0.34779590495709528</v>
      </c>
      <c r="G10" s="546">
        <f>VLOOKUP($A10,EFNOXS!$A$1:$J$44,(IF($B10=2015,4,IF($B10=2016,5,IF($B10=2017,6,IF($B10=2018,7,IF($B10=2019,8,IF($B10=2020,9,0))))))),FALSE)</f>
        <v>0.95148079591778234</v>
      </c>
      <c r="H10" s="546">
        <f>VLOOKUP($A10,EFSOXS!$A$1:$J$44,(IF($B10=2015,4,IF($B10=2016,5,IF($B10=2017,6,IF($B10=2018,7,IF($B10=2019,8,IF($B10=2020,9,0))))))),FALSE)</f>
        <v>1.676243123421701E-3</v>
      </c>
      <c r="I10" s="546">
        <f>VLOOKUP($A10,EFPMS!$A$1:$J$44,(IF($B10=2015,4,IF($B10=2016,5,IF($B10=2017,6,IF($B10=2018,7,IF($B10=2019,8,IF($B10=2020,9,0))))))),FALSE)</f>
        <v>3.2120532550839874E-2</v>
      </c>
      <c r="J10" s="536">
        <f t="shared" si="3"/>
        <v>2.858727397024749E-2</v>
      </c>
      <c r="K10" s="549">
        <f>VLOOKUP($A10,EFCO2S!$A$1:$J$44,(IF($B10=2015,4,IF($B10=2016,5,IF($B10=2017,6,IF($B10=2018,7,IF($B10=2019,8,IF($B10=2020,9,0))))))),FALSE)</f>
        <v>148.97664453593197</v>
      </c>
      <c r="L10" s="546">
        <f>VLOOKUP($A10,EFCH4S!$A$1:$J$44,(IF($B10=2015,4,IF($B10=2016,5,IF($B10=2017,6,IF($B10=2018,7,IF($B10=2019,8,IF($B10=2020,9,0))))))),FALSE)</f>
        <v>1.0092011106863865E-2</v>
      </c>
      <c r="M10" s="540">
        <f t="shared" si="4"/>
        <v>9.0390675612189317E-2</v>
      </c>
      <c r="N10" s="135">
        <v>1</v>
      </c>
      <c r="O10" s="135">
        <v>4</v>
      </c>
      <c r="P10" s="136">
        <f>4*22</f>
        <v>88</v>
      </c>
      <c r="Q10" s="39">
        <f t="shared" si="2"/>
        <v>0.42947295651145462</v>
      </c>
      <c r="R10" s="29">
        <f t="shared" si="2"/>
        <v>1.3911836198283811</v>
      </c>
      <c r="S10" s="29">
        <f t="shared" si="2"/>
        <v>3.8059231836711294</v>
      </c>
      <c r="T10" s="29">
        <f t="shared" si="2"/>
        <v>6.7049724936868041E-3</v>
      </c>
      <c r="U10" s="29">
        <f t="shared" si="2"/>
        <v>0.1284821302033595</v>
      </c>
      <c r="V10" s="29">
        <f t="shared" si="2"/>
        <v>0.11434909588098996</v>
      </c>
      <c r="W10" s="29">
        <f t="shared" si="2"/>
        <v>595.90657814372787</v>
      </c>
      <c r="X10" s="29">
        <f t="shared" si="2"/>
        <v>4.0368044427455459E-2</v>
      </c>
      <c r="Y10" s="29">
        <f t="shared" si="2"/>
        <v>0.36156270244875727</v>
      </c>
    </row>
    <row r="11" spans="1:25" s="3" customFormat="1" x14ac:dyDescent="0.25">
      <c r="A11" s="37" t="s">
        <v>62</v>
      </c>
      <c r="B11" s="34">
        <v>2015</v>
      </c>
      <c r="C11" s="25">
        <v>85</v>
      </c>
      <c r="D11" s="134">
        <v>0.36</v>
      </c>
      <c r="E11" s="546">
        <f>VLOOKUP($A11,EFROGS!$A$1:$J$44,(IF($B11=2015,4,IF($B11=2016,5,IF($B11=2017,6,IF($B11=2018,7,IF($B11=2019,8,IF($B11=2020,9,0))))))),FALSE)</f>
        <v>7.9801484832556724E-2</v>
      </c>
      <c r="F11" s="546">
        <f>VLOOKUP($A11,EFCOS!$A$1:$J$44,(IF($B11=2015,4,IF($B11=2016,5,IF($B11=2017,6,IF($B11=2018,7,IF($B11=2019,8,IF($B11=2020,9,0))))))),FALSE)</f>
        <v>0.40100742191945721</v>
      </c>
      <c r="G11" s="546">
        <f>VLOOKUP($A11,EFNOXS!$A$1:$J$44,(IF($B11=2015,4,IF($B11=2016,5,IF($B11=2017,6,IF($B11=2018,7,IF($B11=2019,8,IF($B11=2020,9,0))))))),FALSE)</f>
        <v>0.50491905800089187</v>
      </c>
      <c r="H11" s="546">
        <f>VLOOKUP($A11,EFSOXS!$A$1:$J$44,(IF($B11=2015,4,IF($B11=2016,5,IF($B11=2017,6,IF($B11=2018,7,IF($B11=2019,8,IF($B11=2020,9,0))))))),FALSE)</f>
        <v>6.9108572612879135E-4</v>
      </c>
      <c r="I11" s="546">
        <f>VLOOKUP($A11,EFPMS!$A$1:$J$44,(IF($B11=2015,4,IF($B11=2016,5,IF($B11=2017,6,IF($B11=2018,7,IF($B11=2019,8,IF($B11=2020,9,0))))))),FALSE)</f>
        <v>4.0955217982968535E-2</v>
      </c>
      <c r="J11" s="536">
        <f t="shared" si="3"/>
        <v>3.6450144004841999E-2</v>
      </c>
      <c r="K11" s="549">
        <f>VLOOKUP($A11,EFCO2S!$A$1:$J$44,(IF($B11=2015,4,IF($B11=2016,5,IF($B11=2017,6,IF($B11=2018,7,IF($B11=2019,8,IF($B11=2020,9,0))))))),FALSE)</f>
        <v>58.913512015277149</v>
      </c>
      <c r="L11" s="546">
        <f>VLOOKUP($A11,EFCH4S!$A$1:$J$44,(IF($B11=2015,4,IF($B11=2016,5,IF($B11=2017,6,IF($B11=2018,7,IF($B11=2019,8,IF($B11=2020,9,0))))))),FALSE)</f>
        <v>7.5344751889799754E-3</v>
      </c>
      <c r="M11" s="540">
        <f t="shared" si="4"/>
        <v>4.7967310510084731E-2</v>
      </c>
      <c r="N11" s="108">
        <v>1</v>
      </c>
      <c r="O11" s="108">
        <v>4</v>
      </c>
      <c r="P11" s="136">
        <f>4*22</f>
        <v>88</v>
      </c>
      <c r="Q11" s="39">
        <f t="shared" si="2"/>
        <v>0.3192059393302269</v>
      </c>
      <c r="R11" s="29">
        <f t="shared" si="2"/>
        <v>1.6040296876778288</v>
      </c>
      <c r="S11" s="29">
        <f t="shared" si="2"/>
        <v>2.0196762320035675</v>
      </c>
      <c r="T11" s="29">
        <f t="shared" si="2"/>
        <v>2.7643429045151654E-3</v>
      </c>
      <c r="U11" s="29">
        <f t="shared" si="2"/>
        <v>0.16382087193187414</v>
      </c>
      <c r="V11" s="29">
        <f t="shared" si="2"/>
        <v>0.14580057601936799</v>
      </c>
      <c r="W11" s="29">
        <f t="shared" si="2"/>
        <v>235.6540480611086</v>
      </c>
      <c r="X11" s="29">
        <f t="shared" si="2"/>
        <v>3.0137900755919902E-2</v>
      </c>
      <c r="Y11" s="29">
        <f t="shared" si="2"/>
        <v>0.19186924204033892</v>
      </c>
    </row>
    <row r="12" spans="1:25" s="3" customFormat="1" x14ac:dyDescent="0.25">
      <c r="A12" s="27" t="s">
        <v>199</v>
      </c>
      <c r="B12" s="34">
        <v>2015</v>
      </c>
      <c r="C12" s="25">
        <v>175</v>
      </c>
      <c r="D12" s="134">
        <v>0.38</v>
      </c>
      <c r="E12" s="546">
        <f>VLOOKUP($A12,EFROGS!$A$1:$J$44,(IF($B12=2015,4,IF($B12=2016,5,IF($B12=2017,6,IF($B12=2018,7,IF($B12=2019,8,IF($B12=2020,9,0))))))),FALSE)</f>
        <v>0.11992127080629632</v>
      </c>
      <c r="F12" s="546">
        <f>VLOOKUP($A12,EFCOS!$A$1:$J$44,(IF($B12=2015,4,IF($B12=2016,5,IF($B12=2017,6,IF($B12=2018,7,IF($B12=2019,8,IF($B12=2020,9,0))))))),FALSE)</f>
        <v>0.37073007054215767</v>
      </c>
      <c r="G12" s="546">
        <f>VLOOKUP($A12,EFNOXS!$A$1:$J$44,(IF($B12=2015,4,IF($B12=2016,5,IF($B12=2017,6,IF($B12=2018,7,IF($B12=2019,8,IF($B12=2020,9,0))))))),FALSE)</f>
        <v>0.94368289767104196</v>
      </c>
      <c r="H12" s="546">
        <f>VLOOKUP($A12,EFSOXS!$A$1:$J$44,(IF($B12=2015,4,IF($B12=2016,5,IF($B12=2017,6,IF($B12=2018,7,IF($B12=2019,8,IF($B12=2020,9,0))))))),FALSE)</f>
        <v>1.8739213528134147E-3</v>
      </c>
      <c r="I12" s="546">
        <f>VLOOKUP($A12,EFPMS!$A$1:$J$44,(IF($B12=2015,4,IF($B12=2016,5,IF($B12=2017,6,IF($B12=2018,7,IF($B12=2019,8,IF($B12=2020,9,0))))))),FALSE)</f>
        <v>3.1241039634901123E-2</v>
      </c>
      <c r="J12" s="536">
        <f t="shared" si="3"/>
        <v>2.7804525275062001E-2</v>
      </c>
      <c r="K12" s="549">
        <f>VLOOKUP($A12,EFCO2S!$A$1:$J$44,(IF($B12=2015,4,IF($B12=2016,5,IF($B12=2017,6,IF($B12=2018,7,IF($B12=2019,8,IF($B12=2020,9,0))))))),FALSE)</f>
        <v>166.54539483446186</v>
      </c>
      <c r="L12" s="546">
        <f>VLOOKUP($A12,EFCH4S!$A$1:$J$44,(IF($B12=2015,4,IF($B12=2016,5,IF($B12=2017,6,IF($B12=2018,7,IF($B12=2019,8,IF($B12=2020,9,0))))))),FALSE)</f>
        <v>1.1292325418869483E-2</v>
      </c>
      <c r="M12" s="540">
        <f t="shared" si="4"/>
        <v>8.9649875278748986E-2</v>
      </c>
      <c r="N12" s="135">
        <v>1</v>
      </c>
      <c r="O12" s="135">
        <v>5</v>
      </c>
      <c r="P12" s="136">
        <f>4*22</f>
        <v>88</v>
      </c>
      <c r="Q12" s="39">
        <f t="shared" si="2"/>
        <v>0.59960635403148155</v>
      </c>
      <c r="R12" s="29">
        <f t="shared" si="2"/>
        <v>1.8536503527107884</v>
      </c>
      <c r="S12" s="29">
        <f t="shared" si="2"/>
        <v>4.7184144883552097</v>
      </c>
      <c r="T12" s="29">
        <f t="shared" si="2"/>
        <v>9.3696067640670743E-3</v>
      </c>
      <c r="U12" s="29">
        <f t="shared" si="2"/>
        <v>0.15620519817450562</v>
      </c>
      <c r="V12" s="29">
        <f t="shared" si="2"/>
        <v>0.13902262637531002</v>
      </c>
      <c r="W12" s="29">
        <f t="shared" si="2"/>
        <v>832.72697417230927</v>
      </c>
      <c r="X12" s="29">
        <f t="shared" si="2"/>
        <v>5.6461627094347419E-2</v>
      </c>
      <c r="Y12" s="29">
        <f t="shared" si="2"/>
        <v>0.44824937639374496</v>
      </c>
    </row>
    <row r="13" spans="1:25" s="3" customFormat="1" x14ac:dyDescent="0.25">
      <c r="A13" s="27" t="s">
        <v>200</v>
      </c>
      <c r="B13" s="34">
        <v>2015</v>
      </c>
      <c r="C13" s="25">
        <v>235</v>
      </c>
      <c r="D13" s="134">
        <v>0.38</v>
      </c>
      <c r="E13" s="546">
        <f>VLOOKUP($A13,EFROGS!$A$1:$J$44,(IF($B13=2015,4,IF($B13=2016,5,IF($B13=2017,6,IF($B13=2018,7,IF($B13=2019,8,IF($B13=2020,9,0))))))),FALSE)</f>
        <v>0.12027312265814816</v>
      </c>
      <c r="F13" s="546">
        <f>VLOOKUP($A13,EFCOS!$A$1:$J$44,(IF($B13=2015,4,IF($B13=2016,5,IF($B13=2017,6,IF($B13=2018,7,IF($B13=2019,8,IF($B13=2020,9,0))))))),FALSE)</f>
        <v>0.37726446207654918</v>
      </c>
      <c r="G13" s="546">
        <f>VLOOKUP($A13,EFNOXS!$A$1:$J$44,(IF($B13=2015,4,IF($B13=2016,5,IF($B13=2017,6,IF($B13=2018,7,IF($B13=2019,8,IF($B13=2020,9,0))))))),FALSE)</f>
        <v>0.94745273894088322</v>
      </c>
      <c r="H13" s="546">
        <f>VLOOKUP($A13,EFSOXS!$A$1:$J$44,(IF($B13=2015,4,IF($B13=2016,5,IF($B13=2017,6,IF($B13=2018,7,IF($B13=2019,8,IF($B13=2020,9,0))))))),FALSE)</f>
        <v>1.8739213528134147E-3</v>
      </c>
      <c r="I13" s="546">
        <f>VLOOKUP($A13,EFPMS!$A$1:$J$44,(IF($B13=2015,4,IF($B13=2016,5,IF($B13=2017,6,IF($B13=2018,7,IF($B13=2019,8,IF($B13=2020,9,0))))))),FALSE)</f>
        <v>3.1278738047599536E-2</v>
      </c>
      <c r="J13" s="536">
        <f t="shared" si="3"/>
        <v>2.7838076862363587E-2</v>
      </c>
      <c r="K13" s="549">
        <f>VLOOKUP($A13,EFCO2S!$A$1:$J$44,(IF($B13=2015,4,IF($B13=2016,5,IF($B13=2017,6,IF($B13=2018,7,IF($B13=2019,8,IF($B13=2020,9,0))))))),FALSE)</f>
        <v>166.54539483446186</v>
      </c>
      <c r="L13" s="546">
        <f>VLOOKUP($A13,EFCH4S!$A$1:$J$44,(IF($B13=2015,4,IF($B13=2016,5,IF($B13=2017,6,IF($B13=2018,7,IF($B13=2019,8,IF($B13=2020,9,0))))))),FALSE)</f>
        <v>1.1292325418869483E-2</v>
      </c>
      <c r="M13" s="540">
        <f t="shared" si="4"/>
        <v>9.0008010199383912E-2</v>
      </c>
      <c r="N13" s="135">
        <v>1</v>
      </c>
      <c r="O13" s="135">
        <v>3</v>
      </c>
      <c r="P13" s="136">
        <f>4*22</f>
        <v>88</v>
      </c>
      <c r="Q13" s="39">
        <f t="shared" si="2"/>
        <v>0.36081936797444447</v>
      </c>
      <c r="R13" s="29">
        <f t="shared" si="2"/>
        <v>1.1317933862296474</v>
      </c>
      <c r="S13" s="29">
        <f t="shared" si="2"/>
        <v>2.8423582168226496</v>
      </c>
      <c r="T13" s="29">
        <f t="shared" si="2"/>
        <v>5.6217640584402444E-3</v>
      </c>
      <c r="U13" s="29">
        <f t="shared" si="2"/>
        <v>9.3836214142798607E-2</v>
      </c>
      <c r="V13" s="29">
        <f t="shared" si="2"/>
        <v>8.351423058709076E-2</v>
      </c>
      <c r="W13" s="29">
        <f t="shared" si="2"/>
        <v>499.63618450338561</v>
      </c>
      <c r="X13" s="29">
        <f t="shared" si="2"/>
        <v>3.3876976256608446E-2</v>
      </c>
      <c r="Y13" s="29">
        <f t="shared" si="2"/>
        <v>0.27002403059815172</v>
      </c>
    </row>
    <row r="14" spans="1:25" s="3" customFormat="1" x14ac:dyDescent="0.25">
      <c r="A14" s="19" t="s">
        <v>38</v>
      </c>
      <c r="B14" s="34"/>
      <c r="C14" s="25"/>
      <c r="D14" s="13"/>
      <c r="E14" s="26"/>
      <c r="F14" s="26"/>
      <c r="G14" s="26"/>
      <c r="H14" s="26"/>
      <c r="I14" s="26"/>
      <c r="J14" s="27"/>
      <c r="K14" s="28"/>
      <c r="L14" s="26"/>
      <c r="M14" s="38"/>
      <c r="N14" s="135"/>
      <c r="O14" s="135"/>
      <c r="P14" s="136"/>
      <c r="Q14" s="138">
        <f t="shared" ref="Q14:Y14" si="5">SUM(Q8:Q13)</f>
        <v>3.8194402968251406</v>
      </c>
      <c r="R14" s="138">
        <f t="shared" si="5"/>
        <v>14.788939652540622</v>
      </c>
      <c r="S14" s="138">
        <f t="shared" si="5"/>
        <v>31.400185135959884</v>
      </c>
      <c r="T14" s="138">
        <f t="shared" si="5"/>
        <v>4.6949641683225546E-2</v>
      </c>
      <c r="U14" s="138">
        <f t="shared" si="5"/>
        <v>1.2458163243181202</v>
      </c>
      <c r="V14" s="138">
        <f t="shared" si="5"/>
        <v>1.108776528643127</v>
      </c>
      <c r="W14" s="138">
        <f t="shared" si="5"/>
        <v>4365.5183098204843</v>
      </c>
      <c r="X14" s="138">
        <f t="shared" si="5"/>
        <v>0.35949032779952911</v>
      </c>
      <c r="Y14" s="138">
        <f t="shared" si="5"/>
        <v>2.9830175879161889</v>
      </c>
    </row>
    <row r="15" spans="1:25" s="3" customFormat="1" x14ac:dyDescent="0.25">
      <c r="A15" s="27"/>
      <c r="B15" s="34"/>
      <c r="C15" s="25"/>
      <c r="D15" s="13"/>
      <c r="E15" s="26"/>
      <c r="F15" s="26"/>
      <c r="G15" s="26"/>
      <c r="H15" s="26"/>
      <c r="I15" s="26"/>
      <c r="J15" s="27"/>
      <c r="K15" s="28"/>
      <c r="L15" s="26"/>
      <c r="M15" s="38"/>
      <c r="N15" s="135"/>
      <c r="O15" s="135"/>
      <c r="P15" s="136"/>
      <c r="Q15" s="39"/>
      <c r="R15" s="29"/>
      <c r="S15" s="29"/>
      <c r="T15" s="29"/>
      <c r="U15" s="29"/>
      <c r="V15" s="29"/>
      <c r="W15" s="29"/>
      <c r="X15" s="29"/>
      <c r="Y15" s="29"/>
    </row>
    <row r="16" spans="1:25" s="3" customFormat="1" x14ac:dyDescent="0.25">
      <c r="A16" s="19" t="s">
        <v>248</v>
      </c>
      <c r="B16" s="34">
        <v>2015</v>
      </c>
      <c r="C16" s="25"/>
      <c r="D16" s="13"/>
      <c r="E16" s="26"/>
      <c r="F16" s="26"/>
      <c r="G16" s="26"/>
      <c r="H16" s="26"/>
      <c r="I16" s="26"/>
      <c r="J16" s="27"/>
      <c r="K16" s="28"/>
      <c r="L16" s="26"/>
      <c r="M16" s="38"/>
      <c r="N16" s="135"/>
      <c r="O16" s="135"/>
      <c r="P16" s="136"/>
      <c r="Q16" s="39"/>
      <c r="R16" s="29"/>
      <c r="S16" s="29"/>
      <c r="T16" s="29"/>
      <c r="U16" s="29"/>
      <c r="V16" s="29"/>
      <c r="W16" s="29"/>
      <c r="X16" s="29"/>
      <c r="Y16" s="29"/>
    </row>
    <row r="17" spans="1:25" s="3" customFormat="1" x14ac:dyDescent="0.25">
      <c r="A17" s="27" t="s">
        <v>201</v>
      </c>
      <c r="B17" s="34">
        <v>2015</v>
      </c>
      <c r="C17" s="25">
        <v>300</v>
      </c>
      <c r="D17" s="134">
        <v>0.38</v>
      </c>
      <c r="E17" s="546">
        <f>VLOOKUP($A17,EFROGS!$A$1:$J$44,(IF($B17=2015,4,IF($B17=2016,5,IF($B17=2017,6,IF($B17=2018,7,IF($B17=2019,8,IF($B17=2020,9,0))))))),FALSE)</f>
        <v>0.15156273531486869</v>
      </c>
      <c r="F17" s="546">
        <f>VLOOKUP($A17,EFCOS!$A$1:$J$44,(IF($B17=2015,4,IF($B17=2016,5,IF($B17=2017,6,IF($B17=2018,7,IF($B17=2019,8,IF($B17=2020,9,0))))))),FALSE)</f>
        <v>0.5042955535817204</v>
      </c>
      <c r="G17" s="546">
        <f>VLOOKUP($A17,EFNOXS!$A$1:$J$44,(IF($B17=2015,4,IF($B17=2016,5,IF($B17=2017,6,IF($B17=2018,7,IF($B17=2019,8,IF($B17=2020,9,0))))))),FALSE)</f>
        <v>1.1226784907797649</v>
      </c>
      <c r="H17" s="546">
        <f>VLOOKUP($A17,EFSOXS!$A$1:$J$44,(IF($B17=2015,4,IF($B17=2016,5,IF($B17=2017,6,IF($B17=2018,7,IF($B17=2019,8,IF($B17=2020,9,0))))))),FALSE)</f>
        <v>2.2941891037024571E-3</v>
      </c>
      <c r="I17" s="546">
        <f>VLOOKUP($A17,EFPMS!$A$1:$J$44,(IF($B17=2015,4,IF($B17=2016,5,IF($B17=2017,6,IF($B17=2018,7,IF($B17=2019,8,IF($B17=2020,9,0))))))),FALSE)</f>
        <v>3.945202890717215E-2</v>
      </c>
      <c r="J17" s="536">
        <f t="shared" ref="J17:J19" si="6">0.89*I17</f>
        <v>3.5112305727383213E-2</v>
      </c>
      <c r="K17" s="549">
        <f>VLOOKUP($A17,EFCO2S!$A$1:$J$44,(IF($B17=2015,4,IF($B17=2016,5,IF($B17=2017,6,IF($B17=2018,7,IF($B17=2019,8,IF($B17=2020,9,0))))))),FALSE)</f>
        <v>233.73532966705815</v>
      </c>
      <c r="L17" s="546">
        <f>VLOOKUP($A17,EFCH4S!$A$1:$J$44,(IF($B17=2015,4,IF($B17=2016,5,IF($B17=2017,6,IF($B17=2018,7,IF($B17=2019,8,IF($B17=2020,9,0))))))),FALSE)</f>
        <v>1.4227923455147638E-2</v>
      </c>
      <c r="M17" s="540">
        <f t="shared" ref="M17:M19" si="7">0.095*G17</f>
        <v>0.10665445662407766</v>
      </c>
      <c r="N17" s="135">
        <v>1</v>
      </c>
      <c r="O17" s="135">
        <v>6</v>
      </c>
      <c r="P17" s="109">
        <v>22</v>
      </c>
      <c r="Q17" s="39">
        <f t="shared" ref="Q17:Y19" si="8">(E17*$N17*$O17)</f>
        <v>0.90937641188921214</v>
      </c>
      <c r="R17" s="29">
        <f t="shared" si="8"/>
        <v>3.0257733214903224</v>
      </c>
      <c r="S17" s="29">
        <f t="shared" si="8"/>
        <v>6.7360709446785894</v>
      </c>
      <c r="T17" s="29">
        <f t="shared" si="8"/>
        <v>1.3765134622214743E-2</v>
      </c>
      <c r="U17" s="29">
        <f t="shared" si="8"/>
        <v>0.23671217344303291</v>
      </c>
      <c r="V17" s="29">
        <f t="shared" si="8"/>
        <v>0.21067383436429926</v>
      </c>
      <c r="W17" s="29">
        <f t="shared" si="8"/>
        <v>1402.4119780023489</v>
      </c>
      <c r="X17" s="29">
        <f t="shared" si="8"/>
        <v>8.536754073088583E-2</v>
      </c>
      <c r="Y17" s="29">
        <f t="shared" si="8"/>
        <v>0.6399267397444659</v>
      </c>
    </row>
    <row r="18" spans="1:25" s="3" customFormat="1" x14ac:dyDescent="0.25">
      <c r="A18" s="27" t="s">
        <v>202</v>
      </c>
      <c r="B18" s="34">
        <v>2015</v>
      </c>
      <c r="C18" s="25">
        <v>399</v>
      </c>
      <c r="D18" s="134">
        <v>0.28999999999999998</v>
      </c>
      <c r="E18" s="546">
        <f>VLOOKUP($A18,EFROGS!$A$1:$J$44,(IF($B18=2015,4,IF($B18=2016,5,IF($B18=2017,6,IF($B18=2018,7,IF($B18=2019,8,IF($B18=2020,9,0))))))),FALSE)</f>
        <v>0.13409687669306566</v>
      </c>
      <c r="F18" s="546">
        <f>VLOOKUP($A18,EFCOS!$A$1:$J$44,(IF($B18=2015,4,IF($B18=2016,5,IF($B18=2017,6,IF($B18=2018,7,IF($B18=2019,8,IF($B18=2020,9,0))))))),FALSE)</f>
        <v>0.47613955125877999</v>
      </c>
      <c r="G18" s="546">
        <f>VLOOKUP($A18,EFNOXS!$A$1:$J$44,(IF($B18=2015,4,IF($B18=2016,5,IF($B18=2017,6,IF($B18=2018,7,IF($B18=2019,8,IF($B18=2020,9,0))))))),FALSE)</f>
        <v>1.1412855646229325</v>
      </c>
      <c r="H18" s="546">
        <f>VLOOKUP($A18,EFSOXS!$A$1:$J$44,(IF($B18=2015,4,IF($B18=2016,5,IF($B18=2017,6,IF($B18=2018,7,IF($B18=2019,8,IF($B18=2020,9,0))))))),FALSE)</f>
        <v>1.7677534033125378E-3</v>
      </c>
      <c r="I18" s="546">
        <f>VLOOKUP($A18,EFPMS!$A$1:$J$44,(IF($B18=2015,4,IF($B18=2016,5,IF($B18=2017,6,IF($B18=2018,7,IF($B18=2019,8,IF($B18=2020,9,0))))))),FALSE)</f>
        <v>4.0693642888068586E-2</v>
      </c>
      <c r="J18" s="536">
        <f t="shared" si="6"/>
        <v>3.6217342170381042E-2</v>
      </c>
      <c r="K18" s="549">
        <f>VLOOKUP($A18,EFCO2S!$A$1:$J$44,(IF($B18=2015,4,IF($B18=2016,5,IF($B18=2017,6,IF($B18=2018,7,IF($B18=2019,8,IF($B18=2020,9,0))))))),FALSE)</f>
        <v>180.10128501905464</v>
      </c>
      <c r="L18" s="546">
        <f>VLOOKUP($A18,EFCH4S!$A$1:$J$44,(IF($B18=2015,4,IF($B18=2016,5,IF($B18=2017,6,IF($B18=2018,7,IF($B18=2019,8,IF($B18=2020,9,0))))))),FALSE)</f>
        <v>1.256655716560515E-2</v>
      </c>
      <c r="M18" s="540">
        <f t="shared" si="7"/>
        <v>0.10842212863917859</v>
      </c>
      <c r="N18" s="108">
        <v>1</v>
      </c>
      <c r="O18" s="108">
        <v>3</v>
      </c>
      <c r="P18" s="109">
        <v>22</v>
      </c>
      <c r="Q18" s="39">
        <f t="shared" si="8"/>
        <v>0.40229063007919696</v>
      </c>
      <c r="R18" s="29">
        <f t="shared" si="8"/>
        <v>1.4284186537763399</v>
      </c>
      <c r="S18" s="29">
        <f t="shared" si="8"/>
        <v>3.4238566938687978</v>
      </c>
      <c r="T18" s="29">
        <f t="shared" si="8"/>
        <v>5.303260209937613E-3</v>
      </c>
      <c r="U18" s="29">
        <f t="shared" si="8"/>
        <v>0.12208092866420575</v>
      </c>
      <c r="V18" s="29">
        <f t="shared" si="8"/>
        <v>0.10865202651114313</v>
      </c>
      <c r="W18" s="29">
        <f t="shared" si="8"/>
        <v>540.3038550571639</v>
      </c>
      <c r="X18" s="29">
        <f t="shared" si="8"/>
        <v>3.7699671496815454E-2</v>
      </c>
      <c r="Y18" s="29">
        <f t="shared" si="8"/>
        <v>0.32526638591753576</v>
      </c>
    </row>
    <row r="19" spans="1:25" s="3" customFormat="1" x14ac:dyDescent="0.25">
      <c r="A19" s="37" t="s">
        <v>249</v>
      </c>
      <c r="B19" s="34">
        <v>2015</v>
      </c>
      <c r="C19" s="25">
        <v>300</v>
      </c>
      <c r="D19" s="134">
        <v>0.42</v>
      </c>
      <c r="E19" s="546">
        <f>VLOOKUP($A19,EFROGS!$A$1:$J$44,(IF($B19=2015,4,IF($B19=2016,5,IF($B19=2017,6,IF($B19=2018,7,IF($B19=2019,8,IF($B19=2020,9,0))))))),FALSE)</f>
        <v>0.12634860383051666</v>
      </c>
      <c r="F19" s="546">
        <f>VLOOKUP($A19,EFCOS!$A$1:$J$44,(IF($B19=2015,4,IF($B19=2016,5,IF($B19=2017,6,IF($B19=2018,7,IF($B19=2019,8,IF($B19=2020,9,0))))))),FALSE)</f>
        <v>0.50758739181396961</v>
      </c>
      <c r="G19" s="546">
        <f>VLOOKUP($A19,EFNOXS!$A$1:$J$44,(IF($B19=2015,4,IF($B19=2016,5,IF($B19=2017,6,IF($B19=2018,7,IF($B19=2019,8,IF($B19=2020,9,0))))))),FALSE)</f>
        <v>1.1481509547445321</v>
      </c>
      <c r="H19" s="546">
        <f>VLOOKUP($A19,EFSOXS!$A$1:$J$44,(IF($B19=2015,4,IF($B19=2016,5,IF($B19=2017,6,IF($B19=2018,7,IF($B19=2019,8,IF($B19=2020,9,0))))))),FALSE)</f>
        <v>2.4954346257058686E-3</v>
      </c>
      <c r="I19" s="546">
        <f>VLOOKUP($A19,EFPMS!$A$1:$J$44,(IF($B19=2015,4,IF($B19=2016,5,IF($B19=2017,6,IF($B19=2018,7,IF($B19=2019,8,IF($B19=2020,9,0))))))),FALSE)</f>
        <v>3.7613858140880155E-2</v>
      </c>
      <c r="J19" s="536">
        <f t="shared" si="6"/>
        <v>3.3476333745383335E-2</v>
      </c>
      <c r="K19" s="549">
        <f>VLOOKUP($A19,EFCO2S!$A$1:$J$44,(IF($B19=2015,4,IF($B19=2016,5,IF($B19=2017,6,IF($B19=2018,7,IF($B19=2019,8,IF($B19=2020,9,0))))))),FALSE)</f>
        <v>254.23854571385056</v>
      </c>
      <c r="L19" s="546">
        <f>VLOOKUP($A19,EFCH4S!$A$1:$J$44,(IF($B19=2015,4,IF($B19=2016,5,IF($B19=2017,6,IF($B19=2018,7,IF($B19=2019,8,IF($B19=2020,9,0))))))),FALSE)</f>
        <v>1.1815564023556229E-2</v>
      </c>
      <c r="M19" s="540">
        <f t="shared" si="7"/>
        <v>0.10907434070073055</v>
      </c>
      <c r="N19" s="135">
        <v>1</v>
      </c>
      <c r="O19" s="135">
        <v>4</v>
      </c>
      <c r="P19" s="109">
        <v>22</v>
      </c>
      <c r="Q19" s="39">
        <f t="shared" si="8"/>
        <v>0.50539441532206664</v>
      </c>
      <c r="R19" s="29">
        <f t="shared" si="8"/>
        <v>2.0303495672558785</v>
      </c>
      <c r="S19" s="29">
        <f t="shared" si="8"/>
        <v>4.5926038189781284</v>
      </c>
      <c r="T19" s="29">
        <f t="shared" si="8"/>
        <v>9.9817385028234742E-3</v>
      </c>
      <c r="U19" s="29">
        <f t="shared" si="8"/>
        <v>0.15045543256352062</v>
      </c>
      <c r="V19" s="29">
        <f t="shared" si="8"/>
        <v>0.13390533498153334</v>
      </c>
      <c r="W19" s="29">
        <f t="shared" si="8"/>
        <v>1016.9541828554022</v>
      </c>
      <c r="X19" s="29">
        <f t="shared" si="8"/>
        <v>4.7262256094224915E-2</v>
      </c>
      <c r="Y19" s="29">
        <f t="shared" si="8"/>
        <v>0.4362973628029222</v>
      </c>
    </row>
    <row r="20" spans="1:25" s="3" customFormat="1" x14ac:dyDescent="0.25">
      <c r="A20" s="19" t="s">
        <v>38</v>
      </c>
      <c r="B20" s="34"/>
      <c r="C20" s="25"/>
      <c r="D20" s="134"/>
      <c r="E20" s="26"/>
      <c r="F20" s="26"/>
      <c r="G20" s="26"/>
      <c r="H20" s="26"/>
      <c r="I20" s="26"/>
      <c r="J20" s="27"/>
      <c r="K20" s="28"/>
      <c r="L20" s="26"/>
      <c r="M20" s="38"/>
      <c r="N20" s="135"/>
      <c r="O20" s="135"/>
      <c r="P20" s="136"/>
      <c r="Q20" s="138">
        <f t="shared" ref="Q20:Y20" si="9">SUM(Q17:Q19)</f>
        <v>1.8170614572904757</v>
      </c>
      <c r="R20" s="138">
        <f t="shared" si="9"/>
        <v>6.4845415425225408</v>
      </c>
      <c r="S20" s="138">
        <f t="shared" si="9"/>
        <v>14.752531457525516</v>
      </c>
      <c r="T20" s="138">
        <f t="shared" si="9"/>
        <v>2.9050133334975831E-2</v>
      </c>
      <c r="U20" s="138">
        <f t="shared" si="9"/>
        <v>0.50924853467075937</v>
      </c>
      <c r="V20" s="138">
        <f t="shared" si="9"/>
        <v>0.45323119585697574</v>
      </c>
      <c r="W20" s="138">
        <f t="shared" si="9"/>
        <v>2959.670015914915</v>
      </c>
      <c r="X20" s="138">
        <f t="shared" si="9"/>
        <v>0.17032946832192619</v>
      </c>
      <c r="Y20" s="138">
        <f t="shared" si="9"/>
        <v>1.401490488464924</v>
      </c>
    </row>
    <row r="21" spans="1:25" s="3" customFormat="1" x14ac:dyDescent="0.25">
      <c r="A21" s="27"/>
      <c r="B21" s="34"/>
      <c r="C21" s="25"/>
      <c r="D21" s="134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19" t="s">
        <v>243</v>
      </c>
      <c r="B22" s="34">
        <v>2015</v>
      </c>
      <c r="C22" s="25"/>
      <c r="D22" s="134"/>
      <c r="E22" s="26"/>
      <c r="F22" s="26"/>
      <c r="G22" s="26"/>
      <c r="H22" s="26"/>
      <c r="I22" s="26"/>
      <c r="J22" s="27"/>
      <c r="K22" s="28"/>
      <c r="L22" s="26"/>
      <c r="M22" s="38"/>
      <c r="N22" s="135"/>
      <c r="O22" s="135"/>
      <c r="P22" s="136"/>
      <c r="Q22" s="39"/>
      <c r="R22" s="29"/>
      <c r="S22" s="29"/>
      <c r="T22" s="29"/>
      <c r="U22" s="29"/>
      <c r="V22" s="29"/>
      <c r="W22" s="29"/>
      <c r="X22" s="29"/>
      <c r="Y22" s="29"/>
    </row>
    <row r="23" spans="1:25" s="3" customFormat="1" x14ac:dyDescent="0.25">
      <c r="A23" s="37" t="s">
        <v>157</v>
      </c>
      <c r="B23" s="34">
        <v>2015</v>
      </c>
      <c r="C23" s="25">
        <v>235</v>
      </c>
      <c r="D23" s="134">
        <v>0.38</v>
      </c>
      <c r="E23" s="546">
        <f>VLOOKUP($A23,EFROGS!$A$1:$J$44,(IF($B23=2015,4,IF($B23=2016,5,IF($B23=2017,6,IF($B23=2018,7,IF($B23=2019,8,IF($B23=2020,9,0))))))),FALSE)</f>
        <v>0.12027312265814816</v>
      </c>
      <c r="F23" s="546">
        <f>VLOOKUP($A23,EFCOS!$A$1:$J$44,(IF($B23=2015,4,IF($B23=2016,5,IF($B23=2017,6,IF($B23=2018,7,IF($B23=2019,8,IF($B23=2020,9,0))))))),FALSE)</f>
        <v>0.37726446207654918</v>
      </c>
      <c r="G23" s="546">
        <f>VLOOKUP($A23,EFNOXS!$A$1:$J$44,(IF($B23=2015,4,IF($B23=2016,5,IF($B23=2017,6,IF($B23=2018,7,IF($B23=2019,8,IF($B23=2020,9,0))))))),FALSE)</f>
        <v>0.94745273894088322</v>
      </c>
      <c r="H23" s="546">
        <f>VLOOKUP($A23,EFSOXS!$A$1:$J$44,(IF($B23=2015,4,IF($B23=2016,5,IF($B23=2017,6,IF($B23=2018,7,IF($B23=2019,8,IF($B23=2020,9,0))))))),FALSE)</f>
        <v>1.8739213528134147E-3</v>
      </c>
      <c r="I23" s="546">
        <f>VLOOKUP($A23,EFPMS!$A$1:$J$44,(IF($B23=2015,4,IF($B23=2016,5,IF($B23=2017,6,IF($B23=2018,7,IF($B23=2019,8,IF($B23=2020,9,0))))))),FALSE)</f>
        <v>3.1278738047599536E-2</v>
      </c>
      <c r="J23" s="536">
        <f t="shared" ref="J23:J26" si="10">0.89*I23</f>
        <v>2.7838076862363587E-2</v>
      </c>
      <c r="K23" s="549">
        <f>VLOOKUP($A23,EFCO2S!$A$1:$J$44,(IF($B23=2015,4,IF($B23=2016,5,IF($B23=2017,6,IF($B23=2018,7,IF($B23=2019,8,IF($B23=2020,9,0))))))),FALSE)</f>
        <v>166.54539483446186</v>
      </c>
      <c r="L23" s="546">
        <f>VLOOKUP($A23,EFCH4S!$A$1:$J$44,(IF($B23=2015,4,IF($B23=2016,5,IF($B23=2017,6,IF($B23=2018,7,IF($B23=2019,8,IF($B23=2020,9,0))))))),FALSE)</f>
        <v>1.1292325418869483E-2</v>
      </c>
      <c r="M23" s="540">
        <f t="shared" ref="M23:M26" si="11">0.095*G23</f>
        <v>9.0008010199383912E-2</v>
      </c>
      <c r="N23" s="108">
        <v>1</v>
      </c>
      <c r="O23" s="108">
        <v>3</v>
      </c>
      <c r="P23" s="109">
        <v>22</v>
      </c>
      <c r="Q23" s="39">
        <f t="shared" ref="Q23:Y26" si="12">(E23*$N23*$O23)</f>
        <v>0.36081936797444447</v>
      </c>
      <c r="R23" s="29">
        <f t="shared" si="12"/>
        <v>1.1317933862296474</v>
      </c>
      <c r="S23" s="29">
        <f t="shared" si="12"/>
        <v>2.8423582168226496</v>
      </c>
      <c r="T23" s="29">
        <f t="shared" si="12"/>
        <v>5.6217640584402444E-3</v>
      </c>
      <c r="U23" s="29">
        <f t="shared" si="12"/>
        <v>9.3836214142798607E-2</v>
      </c>
      <c r="V23" s="29">
        <f t="shared" si="12"/>
        <v>8.351423058709076E-2</v>
      </c>
      <c r="W23" s="29">
        <f t="shared" si="12"/>
        <v>499.63618450338561</v>
      </c>
      <c r="X23" s="29">
        <f t="shared" si="12"/>
        <v>3.3876976256608446E-2</v>
      </c>
      <c r="Y23" s="29">
        <f t="shared" si="12"/>
        <v>0.27002403059815172</v>
      </c>
    </row>
    <row r="24" spans="1:25" s="3" customFormat="1" x14ac:dyDescent="0.25">
      <c r="A24" s="27" t="s">
        <v>155</v>
      </c>
      <c r="B24" s="34">
        <v>2015</v>
      </c>
      <c r="C24" s="134">
        <v>82</v>
      </c>
      <c r="D24" s="134">
        <v>0.5</v>
      </c>
      <c r="E24" s="546">
        <f>VLOOKUP($A24,EFROGS!$A$1:$J$44,(IF($B24=2015,4,IF($B24=2016,5,IF($B24=2017,6,IF($B24=2018,7,IF($B24=2019,8,IF($B24=2020,9,0))))))),FALSE)</f>
        <v>3.6309327217992599E-2</v>
      </c>
      <c r="F24" s="546">
        <f>VLOOKUP($A24,EFCOS!$A$1:$J$44,(IF($B24=2015,4,IF($B24=2016,5,IF($B24=2017,6,IF($B24=2018,7,IF($B24=2019,8,IF($B24=2020,9,0))))))),FALSE)</f>
        <v>0.46093801457747435</v>
      </c>
      <c r="G24" s="546">
        <f>VLOOKUP($A24,EFNOXS!$A$1:$J$44,(IF($B24=2015,4,IF($B24=2016,5,IF($B24=2017,6,IF($B24=2018,7,IF($B24=2019,8,IF($B24=2020,9,0))))))),FALSE)</f>
        <v>0.36619894798559588</v>
      </c>
      <c r="H24" s="546">
        <f>VLOOKUP($A24,EFSOXS!$A$1:$J$44,(IF($B24=2015,4,IF($B24=2016,5,IF($B24=2017,6,IF($B24=2018,7,IF($B24=2019,8,IF($B24=2020,9,0))))))),FALSE)</f>
        <v>9.0467796015684726E-4</v>
      </c>
      <c r="I24" s="546">
        <f>VLOOKUP($A24,EFPMS!$A$1:$J$44,(IF($B24=2015,4,IF($B24=2016,5,IF($B24=2017,6,IF($B24=2018,7,IF($B24=2019,8,IF($B24=2020,9,0))))))),FALSE)</f>
        <v>1.5314374699910852E-2</v>
      </c>
      <c r="J24" s="536">
        <f t="shared" si="10"/>
        <v>1.3629793482920658E-2</v>
      </c>
      <c r="K24" s="549">
        <f>VLOOKUP($A24,EFCO2S!$A$1:$J$44,(IF($B24=2015,4,IF($B24=2016,5,IF($B24=2017,6,IF($B24=2018,7,IF($B24=2019,8,IF($B24=2020,9,0))))))),FALSE)</f>
        <v>77.121767330485099</v>
      </c>
      <c r="L24" s="546">
        <f>VLOOKUP($A24,EFCH4S!$A$1:$J$44,(IF($B24=2015,4,IF($B24=2016,5,IF($B24=2017,6,IF($B24=2018,7,IF($B24=2019,8,IF($B24=2020,9,0))))))),FALSE)</f>
        <v>3.3884664579035585E-3</v>
      </c>
      <c r="M24" s="540">
        <f t="shared" si="11"/>
        <v>3.4788900058631611E-2</v>
      </c>
      <c r="N24" s="108">
        <v>1</v>
      </c>
      <c r="O24" s="108">
        <v>8</v>
      </c>
      <c r="P24" s="109">
        <v>22</v>
      </c>
      <c r="Q24" s="39">
        <f t="shared" si="12"/>
        <v>0.29047461774394079</v>
      </c>
      <c r="R24" s="29">
        <f t="shared" si="12"/>
        <v>3.6875041166197948</v>
      </c>
      <c r="S24" s="29">
        <f t="shared" si="12"/>
        <v>2.929591583884767</v>
      </c>
      <c r="T24" s="29">
        <f t="shared" si="12"/>
        <v>7.2374236812547781E-3</v>
      </c>
      <c r="U24" s="29">
        <f t="shared" si="12"/>
        <v>0.12251499759928682</v>
      </c>
      <c r="V24" s="29">
        <f t="shared" si="12"/>
        <v>0.10903834786336526</v>
      </c>
      <c r="W24" s="29">
        <f t="shared" si="12"/>
        <v>616.97413864388079</v>
      </c>
      <c r="X24" s="29">
        <f t="shared" si="12"/>
        <v>2.7107731663228468E-2</v>
      </c>
      <c r="Y24" s="29">
        <f t="shared" si="12"/>
        <v>0.27831120046905289</v>
      </c>
    </row>
    <row r="25" spans="1:25" s="3" customFormat="1" x14ac:dyDescent="0.25">
      <c r="A25" s="37" t="s">
        <v>62</v>
      </c>
      <c r="B25" s="34">
        <v>2015</v>
      </c>
      <c r="C25" s="25">
        <v>85</v>
      </c>
      <c r="D25" s="134">
        <v>0.36</v>
      </c>
      <c r="E25" s="546">
        <f>VLOOKUP($A25,EFROGS!$A$1:$J$44,(IF($B25=2015,4,IF($B25=2016,5,IF($B25=2017,6,IF($B25=2018,7,IF($B25=2019,8,IF($B25=2020,9,0))))))),FALSE)</f>
        <v>7.9801484832556724E-2</v>
      </c>
      <c r="F25" s="546">
        <f>VLOOKUP($A25,EFCOS!$A$1:$J$44,(IF($B25=2015,4,IF($B25=2016,5,IF($B25=2017,6,IF($B25=2018,7,IF($B25=2019,8,IF($B25=2020,9,0))))))),FALSE)</f>
        <v>0.40100742191945721</v>
      </c>
      <c r="G25" s="546">
        <f>VLOOKUP($A25,EFNOXS!$A$1:$J$44,(IF($B25=2015,4,IF($B25=2016,5,IF($B25=2017,6,IF($B25=2018,7,IF($B25=2019,8,IF($B25=2020,9,0))))))),FALSE)</f>
        <v>0.50491905800089187</v>
      </c>
      <c r="H25" s="546">
        <f>VLOOKUP($A25,EFSOXS!$A$1:$J$44,(IF($B25=2015,4,IF($B25=2016,5,IF($B25=2017,6,IF($B25=2018,7,IF($B25=2019,8,IF($B25=2020,9,0))))))),FALSE)</f>
        <v>6.9108572612879135E-4</v>
      </c>
      <c r="I25" s="546">
        <f>VLOOKUP($A25,EFPMS!$A$1:$J$44,(IF($B25=2015,4,IF($B25=2016,5,IF($B25=2017,6,IF($B25=2018,7,IF($B25=2019,8,IF($B25=2020,9,0))))))),FALSE)</f>
        <v>4.0955217982968535E-2</v>
      </c>
      <c r="J25" s="536">
        <f t="shared" si="10"/>
        <v>3.6450144004841999E-2</v>
      </c>
      <c r="K25" s="549">
        <f>VLOOKUP($A25,EFCO2S!$A$1:$J$44,(IF($B25=2015,4,IF($B25=2016,5,IF($B25=2017,6,IF($B25=2018,7,IF($B25=2019,8,IF($B25=2020,9,0))))))),FALSE)</f>
        <v>58.913512015277149</v>
      </c>
      <c r="L25" s="546">
        <f>VLOOKUP($A25,EFCH4S!$A$1:$J$44,(IF($B25=2015,4,IF($B25=2016,5,IF($B25=2017,6,IF($B25=2018,7,IF($B25=2019,8,IF($B25=2020,9,0))))))),FALSE)</f>
        <v>7.5344751889799754E-3</v>
      </c>
      <c r="M25" s="540">
        <f t="shared" si="11"/>
        <v>4.7967310510084731E-2</v>
      </c>
      <c r="N25" s="108">
        <v>1</v>
      </c>
      <c r="O25" s="108">
        <v>3</v>
      </c>
      <c r="P25" s="109">
        <v>22</v>
      </c>
      <c r="Q25" s="39">
        <f t="shared" si="12"/>
        <v>0.23940445449767017</v>
      </c>
      <c r="R25" s="29">
        <f t="shared" si="12"/>
        <v>1.2030222657583716</v>
      </c>
      <c r="S25" s="29">
        <f t="shared" si="12"/>
        <v>1.5147571740026757</v>
      </c>
      <c r="T25" s="29">
        <f t="shared" si="12"/>
        <v>2.073257178386374E-3</v>
      </c>
      <c r="U25" s="29">
        <f t="shared" si="12"/>
        <v>0.12286565394890561</v>
      </c>
      <c r="V25" s="29">
        <f t="shared" si="12"/>
        <v>0.10935043201452599</v>
      </c>
      <c r="W25" s="29">
        <f t="shared" si="12"/>
        <v>176.74053604583145</v>
      </c>
      <c r="X25" s="29">
        <f t="shared" si="12"/>
        <v>2.2603425566939925E-2</v>
      </c>
      <c r="Y25" s="29">
        <f t="shared" si="12"/>
        <v>0.14390193153025418</v>
      </c>
    </row>
    <row r="26" spans="1:25" s="3" customFormat="1" x14ac:dyDescent="0.25">
      <c r="A26" s="37" t="s">
        <v>61</v>
      </c>
      <c r="B26" s="34">
        <v>2015</v>
      </c>
      <c r="C26" s="25">
        <v>235</v>
      </c>
      <c r="D26" s="134">
        <v>0.38</v>
      </c>
      <c r="E26" s="546">
        <f>VLOOKUP($A26,EFROGS!$A$1:$J$44,(IF($B26=2015,4,IF($B26=2016,5,IF($B26=2017,6,IF($B26=2018,7,IF($B26=2019,8,IF($B26=2020,9,0))))))),FALSE)</f>
        <v>0.12027312265814816</v>
      </c>
      <c r="F26" s="546">
        <f>VLOOKUP($A26,EFCOS!$A$1:$J$44,(IF($B26=2015,4,IF($B26=2016,5,IF($B26=2017,6,IF($B26=2018,7,IF($B26=2019,8,IF($B26=2020,9,0))))))),FALSE)</f>
        <v>0.37726446207654918</v>
      </c>
      <c r="G26" s="546">
        <f>VLOOKUP($A26,EFNOXS!$A$1:$J$44,(IF($B26=2015,4,IF($B26=2016,5,IF($B26=2017,6,IF($B26=2018,7,IF($B26=2019,8,IF($B26=2020,9,0))))))),FALSE)</f>
        <v>0.94745273894088322</v>
      </c>
      <c r="H26" s="546">
        <f>VLOOKUP($A26,EFSOXS!$A$1:$J$44,(IF($B26=2015,4,IF($B26=2016,5,IF($B26=2017,6,IF($B26=2018,7,IF($B26=2019,8,IF($B26=2020,9,0))))))),FALSE)</f>
        <v>1.8739213528134147E-3</v>
      </c>
      <c r="I26" s="546">
        <f>VLOOKUP($A26,EFPMS!$A$1:$J$44,(IF($B26=2015,4,IF($B26=2016,5,IF($B26=2017,6,IF($B26=2018,7,IF($B26=2019,8,IF($B26=2020,9,0))))))),FALSE)</f>
        <v>3.1278738047599536E-2</v>
      </c>
      <c r="J26" s="536">
        <f t="shared" si="10"/>
        <v>2.7838076862363587E-2</v>
      </c>
      <c r="K26" s="549">
        <f>VLOOKUP($A26,EFCO2S!$A$1:$J$44,(IF($B26=2015,4,IF($B26=2016,5,IF($B26=2017,6,IF($B26=2018,7,IF($B26=2019,8,IF($B26=2020,9,0))))))),FALSE)</f>
        <v>166.54539483446186</v>
      </c>
      <c r="L26" s="546">
        <f>VLOOKUP($A26,EFCH4S!$A$1:$J$44,(IF($B26=2015,4,IF($B26=2016,5,IF($B26=2017,6,IF($B26=2018,7,IF($B26=2019,8,IF($B26=2020,9,0))))))),FALSE)</f>
        <v>1.1292325418869483E-2</v>
      </c>
      <c r="M26" s="540">
        <f t="shared" si="11"/>
        <v>9.0008010199383912E-2</v>
      </c>
      <c r="N26" s="108">
        <v>1</v>
      </c>
      <c r="O26" s="108">
        <v>2</v>
      </c>
      <c r="P26" s="109">
        <v>22</v>
      </c>
      <c r="Q26" s="39">
        <f t="shared" si="12"/>
        <v>0.24054624531629631</v>
      </c>
      <c r="R26" s="29">
        <f t="shared" si="12"/>
        <v>0.75452892415309836</v>
      </c>
      <c r="S26" s="29">
        <f t="shared" si="12"/>
        <v>1.8949054778817664</v>
      </c>
      <c r="T26" s="29">
        <f t="shared" si="12"/>
        <v>3.7478427056268295E-3</v>
      </c>
      <c r="U26" s="29">
        <f t="shared" si="12"/>
        <v>6.2557476095199072E-2</v>
      </c>
      <c r="V26" s="29">
        <f t="shared" si="12"/>
        <v>5.5676153724727173E-2</v>
      </c>
      <c r="W26" s="29">
        <f t="shared" si="12"/>
        <v>333.09078966892372</v>
      </c>
      <c r="X26" s="29">
        <f t="shared" si="12"/>
        <v>2.2584650837738966E-2</v>
      </c>
      <c r="Y26" s="29">
        <f t="shared" si="12"/>
        <v>0.18001602039876782</v>
      </c>
    </row>
    <row r="27" spans="1:25" s="3" customFormat="1" x14ac:dyDescent="0.25">
      <c r="A27" s="19" t="s">
        <v>38</v>
      </c>
      <c r="B27" s="34"/>
      <c r="C27" s="25"/>
      <c r="D27" s="134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138">
        <f>SUM(Q23:Q26)</f>
        <v>1.1312446855323517</v>
      </c>
      <c r="R27" s="138">
        <f t="shared" ref="R27:Y27" si="13">SUM(R23:R26)</f>
        <v>6.7768486927609128</v>
      </c>
      <c r="S27" s="138">
        <f t="shared" si="13"/>
        <v>9.1816124525918585</v>
      </c>
      <c r="T27" s="138">
        <f t="shared" si="13"/>
        <v>1.8680287623708224E-2</v>
      </c>
      <c r="U27" s="138">
        <f t="shared" si="13"/>
        <v>0.40177434178619015</v>
      </c>
      <c r="V27" s="138">
        <f t="shared" si="13"/>
        <v>0.3575791641897092</v>
      </c>
      <c r="W27" s="138">
        <f t="shared" si="13"/>
        <v>1626.4416488620216</v>
      </c>
      <c r="X27" s="138">
        <f t="shared" si="13"/>
        <v>0.1061727843245158</v>
      </c>
      <c r="Y27" s="138">
        <f t="shared" si="13"/>
        <v>0.87225318299622667</v>
      </c>
    </row>
    <row r="28" spans="1:25" s="3" customFormat="1" x14ac:dyDescent="0.25">
      <c r="A28" s="27"/>
      <c r="B28" s="34"/>
      <c r="C28" s="25"/>
      <c r="D28" s="134"/>
      <c r="E28" s="26"/>
      <c r="F28" s="26"/>
      <c r="G28" s="26"/>
      <c r="H28" s="26"/>
      <c r="I28" s="26"/>
      <c r="J28" s="27"/>
      <c r="K28" s="28"/>
      <c r="L28" s="26"/>
      <c r="M28" s="38"/>
      <c r="N28" s="135"/>
      <c r="O28" s="135"/>
      <c r="P28" s="136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19" t="s">
        <v>244</v>
      </c>
      <c r="B29" s="34">
        <v>2015</v>
      </c>
      <c r="C29" s="25"/>
      <c r="D29" s="134"/>
      <c r="E29" s="26"/>
      <c r="F29" s="26"/>
      <c r="G29" s="26"/>
      <c r="H29" s="26"/>
      <c r="I29" s="26"/>
      <c r="J29" s="27"/>
      <c r="K29" s="28"/>
      <c r="L29" s="26"/>
      <c r="M29" s="38"/>
      <c r="N29" s="135"/>
      <c r="O29" s="135"/>
      <c r="P29" s="136"/>
      <c r="Q29" s="39"/>
      <c r="R29" s="29"/>
      <c r="S29" s="29"/>
      <c r="T29" s="29"/>
      <c r="U29" s="29"/>
      <c r="V29" s="29"/>
      <c r="W29" s="29"/>
      <c r="X29" s="29"/>
      <c r="Y29" s="29"/>
    </row>
    <row r="30" spans="1:25" s="3" customFormat="1" x14ac:dyDescent="0.25">
      <c r="A30" s="37" t="s">
        <v>61</v>
      </c>
      <c r="B30" s="34">
        <v>2015</v>
      </c>
      <c r="C30" s="25">
        <v>235</v>
      </c>
      <c r="D30" s="134">
        <v>0.38</v>
      </c>
      <c r="E30" s="546">
        <f>VLOOKUP($A30,EFROGS!$A$1:$J$44,(IF($B30=2015,4,IF($B30=2016,5,IF($B30=2017,6,IF($B30=2018,7,IF($B30=2019,8,IF($B30=2020,9,0))))))),FALSE)</f>
        <v>0.12027312265814816</v>
      </c>
      <c r="F30" s="546">
        <f>VLOOKUP($A30,EFCOS!$A$1:$J$44,(IF($B30=2015,4,IF($B30=2016,5,IF($B30=2017,6,IF($B30=2018,7,IF($B30=2019,8,IF($B30=2020,9,0))))))),FALSE)</f>
        <v>0.37726446207654918</v>
      </c>
      <c r="G30" s="546">
        <f>VLOOKUP($A30,EFNOXS!$A$1:$J$44,(IF($B30=2015,4,IF($B30=2016,5,IF($B30=2017,6,IF($B30=2018,7,IF($B30=2019,8,IF($B30=2020,9,0))))))),FALSE)</f>
        <v>0.94745273894088322</v>
      </c>
      <c r="H30" s="546">
        <f>VLOOKUP($A30,EFSOXS!$A$1:$J$44,(IF($B30=2015,4,IF($B30=2016,5,IF($B30=2017,6,IF($B30=2018,7,IF($B30=2019,8,IF($B30=2020,9,0))))))),FALSE)</f>
        <v>1.8739213528134147E-3</v>
      </c>
      <c r="I30" s="546">
        <f>VLOOKUP($A30,EFPMS!$A$1:$J$44,(IF($B30=2015,4,IF($B30=2016,5,IF($B30=2017,6,IF($B30=2018,7,IF($B30=2019,8,IF($B30=2020,9,0))))))),FALSE)</f>
        <v>3.1278738047599536E-2</v>
      </c>
      <c r="J30" s="536">
        <f t="shared" ref="J30:J35" si="14">0.89*I30</f>
        <v>2.7838076862363587E-2</v>
      </c>
      <c r="K30" s="549">
        <f>VLOOKUP($A30,EFCO2S!$A$1:$J$44,(IF($B30=2015,4,IF($B30=2016,5,IF($B30=2017,6,IF($B30=2018,7,IF($B30=2019,8,IF($B30=2020,9,0))))))),FALSE)</f>
        <v>166.54539483446186</v>
      </c>
      <c r="L30" s="546">
        <f>VLOOKUP($A30,EFCH4S!$A$1:$J$44,(IF($B30=2015,4,IF($B30=2016,5,IF($B30=2017,6,IF($B30=2018,7,IF($B30=2019,8,IF($B30=2020,9,0))))))),FALSE)</f>
        <v>1.1292325418869483E-2</v>
      </c>
      <c r="M30" s="540">
        <f t="shared" ref="M30:M35" si="15">0.095*G30</f>
        <v>9.0008010199383912E-2</v>
      </c>
      <c r="N30" s="108">
        <v>1</v>
      </c>
      <c r="O30" s="108">
        <v>3</v>
      </c>
      <c r="P30" s="109">
        <f>3*22</f>
        <v>66</v>
      </c>
      <c r="Q30" s="39">
        <f t="shared" ref="Q30:Y35" si="16">(E30*$N30*$O30)</f>
        <v>0.36081936797444447</v>
      </c>
      <c r="R30" s="29">
        <f t="shared" si="16"/>
        <v>1.1317933862296474</v>
      </c>
      <c r="S30" s="29">
        <f t="shared" si="16"/>
        <v>2.8423582168226496</v>
      </c>
      <c r="T30" s="29">
        <f t="shared" si="16"/>
        <v>5.6217640584402444E-3</v>
      </c>
      <c r="U30" s="29">
        <f t="shared" si="16"/>
        <v>9.3836214142798607E-2</v>
      </c>
      <c r="V30" s="29">
        <f t="shared" si="16"/>
        <v>8.351423058709076E-2</v>
      </c>
      <c r="W30" s="29">
        <f t="shared" si="16"/>
        <v>499.63618450338561</v>
      </c>
      <c r="X30" s="29">
        <f t="shared" si="16"/>
        <v>3.3876976256608446E-2</v>
      </c>
      <c r="Y30" s="29">
        <f t="shared" si="16"/>
        <v>0.27002403059815172</v>
      </c>
    </row>
    <row r="31" spans="1:25" s="3" customFormat="1" x14ac:dyDescent="0.25">
      <c r="A31" s="27" t="s">
        <v>202</v>
      </c>
      <c r="B31" s="34">
        <v>2015</v>
      </c>
      <c r="C31" s="25">
        <v>399</v>
      </c>
      <c r="D31" s="134">
        <v>0.28999999999999998</v>
      </c>
      <c r="E31" s="546">
        <f>VLOOKUP($A31,EFROGS!$A$1:$J$44,(IF($B31=2015,4,IF($B31=2016,5,IF($B31=2017,6,IF($B31=2018,7,IF($B31=2019,8,IF($B31=2020,9,0))))))),FALSE)</f>
        <v>0.13409687669306566</v>
      </c>
      <c r="F31" s="546">
        <f>VLOOKUP($A31,EFCOS!$A$1:$J$44,(IF($B31=2015,4,IF($B31=2016,5,IF($B31=2017,6,IF($B31=2018,7,IF($B31=2019,8,IF($B31=2020,9,0))))))),FALSE)</f>
        <v>0.47613955125877999</v>
      </c>
      <c r="G31" s="546">
        <f>VLOOKUP($A31,EFNOXS!$A$1:$J$44,(IF($B31=2015,4,IF($B31=2016,5,IF($B31=2017,6,IF($B31=2018,7,IF($B31=2019,8,IF($B31=2020,9,0))))))),FALSE)</f>
        <v>1.1412855646229325</v>
      </c>
      <c r="H31" s="546">
        <f>VLOOKUP($A31,EFSOXS!$A$1:$J$44,(IF($B31=2015,4,IF($B31=2016,5,IF($B31=2017,6,IF($B31=2018,7,IF($B31=2019,8,IF($B31=2020,9,0))))))),FALSE)</f>
        <v>1.7677534033125378E-3</v>
      </c>
      <c r="I31" s="546">
        <f>VLOOKUP($A31,EFPMS!$A$1:$J$44,(IF($B31=2015,4,IF($B31=2016,5,IF($B31=2017,6,IF($B31=2018,7,IF($B31=2019,8,IF($B31=2020,9,0))))))),FALSE)</f>
        <v>4.0693642888068586E-2</v>
      </c>
      <c r="J31" s="536">
        <f t="shared" si="14"/>
        <v>3.6217342170381042E-2</v>
      </c>
      <c r="K31" s="549">
        <f>VLOOKUP($A31,EFCO2S!$A$1:$J$44,(IF($B31=2015,4,IF($B31=2016,5,IF($B31=2017,6,IF($B31=2018,7,IF($B31=2019,8,IF($B31=2020,9,0))))))),FALSE)</f>
        <v>180.10128501905464</v>
      </c>
      <c r="L31" s="546">
        <f>VLOOKUP($A31,EFCH4S!$A$1:$J$44,(IF($B31=2015,4,IF($B31=2016,5,IF($B31=2017,6,IF($B31=2018,7,IF($B31=2019,8,IF($B31=2020,9,0))))))),FALSE)</f>
        <v>1.256655716560515E-2</v>
      </c>
      <c r="M31" s="540">
        <f t="shared" si="15"/>
        <v>0.10842212863917859</v>
      </c>
      <c r="N31" s="108">
        <v>1</v>
      </c>
      <c r="O31" s="108">
        <v>4</v>
      </c>
      <c r="P31" s="109">
        <v>22</v>
      </c>
      <c r="Q31" s="39">
        <f t="shared" si="16"/>
        <v>0.53638750677226266</v>
      </c>
      <c r="R31" s="29">
        <f t="shared" si="16"/>
        <v>1.90455820503512</v>
      </c>
      <c r="S31" s="29">
        <f t="shared" si="16"/>
        <v>4.5651422584917301</v>
      </c>
      <c r="T31" s="29">
        <f t="shared" si="16"/>
        <v>7.0710136132501513E-3</v>
      </c>
      <c r="U31" s="29">
        <f t="shared" si="16"/>
        <v>0.16277457155227434</v>
      </c>
      <c r="V31" s="29">
        <f t="shared" si="16"/>
        <v>0.14486936868152417</v>
      </c>
      <c r="W31" s="29">
        <f t="shared" si="16"/>
        <v>720.40514007621857</v>
      </c>
      <c r="X31" s="29">
        <f t="shared" si="16"/>
        <v>5.0266228662420601E-2</v>
      </c>
      <c r="Y31" s="29">
        <f t="shared" si="16"/>
        <v>0.43368851455671437</v>
      </c>
    </row>
    <row r="32" spans="1:25" s="3" customFormat="1" x14ac:dyDescent="0.25">
      <c r="A32" s="27" t="s">
        <v>201</v>
      </c>
      <c r="B32" s="34">
        <v>2015</v>
      </c>
      <c r="C32" s="25">
        <v>300</v>
      </c>
      <c r="D32" s="25">
        <v>0.38</v>
      </c>
      <c r="E32" s="546">
        <f>VLOOKUP($A32,EFROGS!$A$1:$J$44,(IF($B32=2015,4,IF($B32=2016,5,IF($B32=2017,6,IF($B32=2018,7,IF($B32=2019,8,IF($B32=2020,9,0))))))),FALSE)</f>
        <v>0.15156273531486869</v>
      </c>
      <c r="F32" s="546">
        <f>VLOOKUP($A32,EFCOS!$A$1:$J$44,(IF($B32=2015,4,IF($B32=2016,5,IF($B32=2017,6,IF($B32=2018,7,IF($B32=2019,8,IF($B32=2020,9,0))))))),FALSE)</f>
        <v>0.5042955535817204</v>
      </c>
      <c r="G32" s="546">
        <f>VLOOKUP($A32,EFNOXS!$A$1:$J$44,(IF($B32=2015,4,IF($B32=2016,5,IF($B32=2017,6,IF($B32=2018,7,IF($B32=2019,8,IF($B32=2020,9,0))))))),FALSE)</f>
        <v>1.1226784907797649</v>
      </c>
      <c r="H32" s="546">
        <f>VLOOKUP($A32,EFSOXS!$A$1:$J$44,(IF($B32=2015,4,IF($B32=2016,5,IF($B32=2017,6,IF($B32=2018,7,IF($B32=2019,8,IF($B32=2020,9,0))))))),FALSE)</f>
        <v>2.2941891037024571E-3</v>
      </c>
      <c r="I32" s="546">
        <f>VLOOKUP($A32,EFPMS!$A$1:$J$44,(IF($B32=2015,4,IF($B32=2016,5,IF($B32=2017,6,IF($B32=2018,7,IF($B32=2019,8,IF($B32=2020,9,0))))))),FALSE)</f>
        <v>3.945202890717215E-2</v>
      </c>
      <c r="J32" s="536">
        <f t="shared" si="14"/>
        <v>3.5112305727383213E-2</v>
      </c>
      <c r="K32" s="549">
        <f>VLOOKUP($A32,EFCO2S!$A$1:$J$44,(IF($B32=2015,4,IF($B32=2016,5,IF($B32=2017,6,IF($B32=2018,7,IF($B32=2019,8,IF($B32=2020,9,0))))))),FALSE)</f>
        <v>233.73532966705815</v>
      </c>
      <c r="L32" s="546">
        <f>VLOOKUP($A32,EFCH4S!$A$1:$J$44,(IF($B32=2015,4,IF($B32=2016,5,IF($B32=2017,6,IF($B32=2018,7,IF($B32=2019,8,IF($B32=2020,9,0))))))),FALSE)</f>
        <v>1.4227923455147638E-2</v>
      </c>
      <c r="M32" s="540">
        <f t="shared" si="15"/>
        <v>0.10665445662407766</v>
      </c>
      <c r="N32" s="135">
        <v>2</v>
      </c>
      <c r="O32" s="135">
        <v>8</v>
      </c>
      <c r="P32" s="109">
        <f>3*22</f>
        <v>66</v>
      </c>
      <c r="Q32" s="39">
        <f t="shared" si="16"/>
        <v>2.4250037650378991</v>
      </c>
      <c r="R32" s="29">
        <f t="shared" si="16"/>
        <v>8.0687288573075264</v>
      </c>
      <c r="S32" s="29">
        <f t="shared" si="16"/>
        <v>17.962855852476238</v>
      </c>
      <c r="T32" s="29">
        <f t="shared" si="16"/>
        <v>3.6707025659239313E-2</v>
      </c>
      <c r="U32" s="29">
        <f t="shared" si="16"/>
        <v>0.6312324625147544</v>
      </c>
      <c r="V32" s="29">
        <f t="shared" si="16"/>
        <v>0.5617968916381314</v>
      </c>
      <c r="W32" s="29">
        <f t="shared" si="16"/>
        <v>3739.7652746729304</v>
      </c>
      <c r="X32" s="29">
        <f t="shared" si="16"/>
        <v>0.22764677528236221</v>
      </c>
      <c r="Y32" s="29">
        <f t="shared" si="16"/>
        <v>1.7064713059852425</v>
      </c>
    </row>
    <row r="33" spans="1:25" s="3" customFormat="1" x14ac:dyDescent="0.25">
      <c r="A33" s="37" t="s">
        <v>62</v>
      </c>
      <c r="B33" s="34">
        <v>2015</v>
      </c>
      <c r="C33" s="25">
        <v>85</v>
      </c>
      <c r="D33" s="25">
        <v>0.36</v>
      </c>
      <c r="E33" s="546">
        <f>VLOOKUP($A33,EFROGS!$A$1:$J$44,(IF($B33=2015,4,IF($B33=2016,5,IF($B33=2017,6,IF($B33=2018,7,IF($B33=2019,8,IF($B33=2020,9,0))))))),FALSE)</f>
        <v>7.9801484832556724E-2</v>
      </c>
      <c r="F33" s="546">
        <f>VLOOKUP($A33,EFCOS!$A$1:$J$44,(IF($B33=2015,4,IF($B33=2016,5,IF($B33=2017,6,IF($B33=2018,7,IF($B33=2019,8,IF($B33=2020,9,0))))))),FALSE)</f>
        <v>0.40100742191945721</v>
      </c>
      <c r="G33" s="546">
        <f>VLOOKUP($A33,EFNOXS!$A$1:$J$44,(IF($B33=2015,4,IF($B33=2016,5,IF($B33=2017,6,IF($B33=2018,7,IF($B33=2019,8,IF($B33=2020,9,0))))))),FALSE)</f>
        <v>0.50491905800089187</v>
      </c>
      <c r="H33" s="546">
        <f>VLOOKUP($A33,EFSOXS!$A$1:$J$44,(IF($B33=2015,4,IF($B33=2016,5,IF($B33=2017,6,IF($B33=2018,7,IF($B33=2019,8,IF($B33=2020,9,0))))))),FALSE)</f>
        <v>6.9108572612879135E-4</v>
      </c>
      <c r="I33" s="546">
        <f>VLOOKUP($A33,EFPMS!$A$1:$J$44,(IF($B33=2015,4,IF($B33=2016,5,IF($B33=2017,6,IF($B33=2018,7,IF($B33=2019,8,IF($B33=2020,9,0))))))),FALSE)</f>
        <v>4.0955217982968535E-2</v>
      </c>
      <c r="J33" s="536">
        <f t="shared" si="14"/>
        <v>3.6450144004841999E-2</v>
      </c>
      <c r="K33" s="549">
        <f>VLOOKUP($A33,EFCO2S!$A$1:$J$44,(IF($B33=2015,4,IF($B33=2016,5,IF($B33=2017,6,IF($B33=2018,7,IF($B33=2019,8,IF($B33=2020,9,0))))))),FALSE)</f>
        <v>58.913512015277149</v>
      </c>
      <c r="L33" s="546">
        <f>VLOOKUP($A33,EFCH4S!$A$1:$J$44,(IF($B33=2015,4,IF($B33=2016,5,IF($B33=2017,6,IF($B33=2018,7,IF($B33=2019,8,IF($B33=2020,9,0))))))),FALSE)</f>
        <v>7.5344751889799754E-3</v>
      </c>
      <c r="M33" s="540">
        <f t="shared" si="15"/>
        <v>4.7967310510084731E-2</v>
      </c>
      <c r="N33" s="108">
        <v>2</v>
      </c>
      <c r="O33" s="108">
        <v>8</v>
      </c>
      <c r="P33" s="109">
        <f>4*22</f>
        <v>88</v>
      </c>
      <c r="Q33" s="39">
        <f t="shared" si="16"/>
        <v>1.2768237573209076</v>
      </c>
      <c r="R33" s="29">
        <f t="shared" si="16"/>
        <v>6.4161187507113153</v>
      </c>
      <c r="S33" s="29">
        <f t="shared" si="16"/>
        <v>8.07870492801427</v>
      </c>
      <c r="T33" s="29">
        <f t="shared" si="16"/>
        <v>1.1057371618060662E-2</v>
      </c>
      <c r="U33" s="29">
        <f t="shared" si="16"/>
        <v>0.65528348772749656</v>
      </c>
      <c r="V33" s="29">
        <f t="shared" si="16"/>
        <v>0.58320230407747198</v>
      </c>
      <c r="W33" s="29">
        <f t="shared" si="16"/>
        <v>942.61619224443439</v>
      </c>
      <c r="X33" s="29">
        <f t="shared" si="16"/>
        <v>0.12055160302367961</v>
      </c>
      <c r="Y33" s="29">
        <f t="shared" si="16"/>
        <v>0.76747696816135569</v>
      </c>
    </row>
    <row r="34" spans="1:25" s="3" customFormat="1" x14ac:dyDescent="0.25">
      <c r="A34" s="37" t="s">
        <v>157</v>
      </c>
      <c r="B34" s="34">
        <v>2015</v>
      </c>
      <c r="C34" s="25">
        <v>235</v>
      </c>
      <c r="D34" s="25">
        <v>0.38</v>
      </c>
      <c r="E34" s="546">
        <f>VLOOKUP($A34,EFROGS!$A$1:$J$44,(IF($B34=2015,4,IF($B34=2016,5,IF($B34=2017,6,IF($B34=2018,7,IF($B34=2019,8,IF($B34=2020,9,0))))))),FALSE)</f>
        <v>0.12027312265814816</v>
      </c>
      <c r="F34" s="546">
        <f>VLOOKUP($A34,EFCOS!$A$1:$J$44,(IF($B34=2015,4,IF($B34=2016,5,IF($B34=2017,6,IF($B34=2018,7,IF($B34=2019,8,IF($B34=2020,9,0))))))),FALSE)</f>
        <v>0.37726446207654918</v>
      </c>
      <c r="G34" s="546">
        <f>VLOOKUP($A34,EFNOXS!$A$1:$J$44,(IF($B34=2015,4,IF($B34=2016,5,IF($B34=2017,6,IF($B34=2018,7,IF($B34=2019,8,IF($B34=2020,9,0))))))),FALSE)</f>
        <v>0.94745273894088322</v>
      </c>
      <c r="H34" s="546">
        <f>VLOOKUP($A34,EFSOXS!$A$1:$J$44,(IF($B34=2015,4,IF($B34=2016,5,IF($B34=2017,6,IF($B34=2018,7,IF($B34=2019,8,IF($B34=2020,9,0))))))),FALSE)</f>
        <v>1.8739213528134147E-3</v>
      </c>
      <c r="I34" s="546">
        <f>VLOOKUP($A34,EFPMS!$A$1:$J$44,(IF($B34=2015,4,IF($B34=2016,5,IF($B34=2017,6,IF($B34=2018,7,IF($B34=2019,8,IF($B34=2020,9,0))))))),FALSE)</f>
        <v>3.1278738047599536E-2</v>
      </c>
      <c r="J34" s="536">
        <f t="shared" si="14"/>
        <v>2.7838076862363587E-2</v>
      </c>
      <c r="K34" s="549">
        <f>VLOOKUP($A34,EFCO2S!$A$1:$J$44,(IF($B34=2015,4,IF($B34=2016,5,IF($B34=2017,6,IF($B34=2018,7,IF($B34=2019,8,IF($B34=2020,9,0))))))),FALSE)</f>
        <v>166.54539483446186</v>
      </c>
      <c r="L34" s="546">
        <f>VLOOKUP($A34,EFCH4S!$A$1:$J$44,(IF($B34=2015,4,IF($B34=2016,5,IF($B34=2017,6,IF($B34=2018,7,IF($B34=2019,8,IF($B34=2020,9,0))))))),FALSE)</f>
        <v>1.1292325418869483E-2</v>
      </c>
      <c r="M34" s="540">
        <f t="shared" si="15"/>
        <v>9.0008010199383912E-2</v>
      </c>
      <c r="N34" s="108">
        <v>1</v>
      </c>
      <c r="O34" s="108">
        <v>2</v>
      </c>
      <c r="P34" s="109">
        <f>3*22</f>
        <v>66</v>
      </c>
      <c r="Q34" s="39">
        <f t="shared" si="16"/>
        <v>0.24054624531629631</v>
      </c>
      <c r="R34" s="29">
        <f t="shared" si="16"/>
        <v>0.75452892415309836</v>
      </c>
      <c r="S34" s="29">
        <f t="shared" si="16"/>
        <v>1.8949054778817664</v>
      </c>
      <c r="T34" s="29">
        <f t="shared" si="16"/>
        <v>3.7478427056268295E-3</v>
      </c>
      <c r="U34" s="29">
        <f t="shared" si="16"/>
        <v>6.2557476095199072E-2</v>
      </c>
      <c r="V34" s="29">
        <f t="shared" si="16"/>
        <v>5.5676153724727173E-2</v>
      </c>
      <c r="W34" s="29">
        <f t="shared" si="16"/>
        <v>333.09078966892372</v>
      </c>
      <c r="X34" s="29">
        <f t="shared" si="16"/>
        <v>2.2584650837738966E-2</v>
      </c>
      <c r="Y34" s="29">
        <f t="shared" si="16"/>
        <v>0.18001602039876782</v>
      </c>
    </row>
    <row r="35" spans="1:25" s="3" customFormat="1" x14ac:dyDescent="0.25">
      <c r="A35" s="27" t="s">
        <v>196</v>
      </c>
      <c r="B35" s="34">
        <v>2015</v>
      </c>
      <c r="C35" s="25">
        <v>250</v>
      </c>
      <c r="D35" s="25">
        <v>0.38</v>
      </c>
      <c r="E35" s="546">
        <f>VLOOKUP($A35,EFROGS!$A$1:$J$44,(IF($B35=2015,4,IF($B35=2016,5,IF($B35=2017,6,IF($B35=2018,7,IF($B35=2019,8,IF($B35=2020,9,0))))))),FALSE)</f>
        <v>0.10659360197116201</v>
      </c>
      <c r="F35" s="546">
        <f>VLOOKUP($A35,EFCOS!$A$1:$J$44,(IF($B35=2015,4,IF($B35=2016,5,IF($B35=2017,6,IF($B35=2018,7,IF($B35=2019,8,IF($B35=2020,9,0))))))),FALSE)</f>
        <v>0.36686319474726009</v>
      </c>
      <c r="G35" s="546">
        <f>VLOOKUP($A35,EFNOXS!$A$1:$J$44,(IF($B35=2015,4,IF($B35=2016,5,IF($B35=2017,6,IF($B35=2018,7,IF($B35=2019,8,IF($B35=2020,9,0))))))),FALSE)</f>
        <v>1.0557516810303123</v>
      </c>
      <c r="H35" s="546">
        <f>VLOOKUP($A35,EFSOXS!$A$1:$J$44,(IF($B35=2015,4,IF($B35=2016,5,IF($B35=2017,6,IF($B35=2018,7,IF($B35=2019,8,IF($B35=2020,9,0))))))),FALSE)</f>
        <v>1.7225234988951081E-3</v>
      </c>
      <c r="I35" s="546">
        <f>VLOOKUP($A35,EFPMS!$A$1:$J$44,(IF($B35=2015,4,IF($B35=2016,5,IF($B35=2017,6,IF($B35=2018,7,IF($B35=2019,8,IF($B35=2020,9,0))))))),FALSE)</f>
        <v>3.5131941225937512E-2</v>
      </c>
      <c r="J35" s="536">
        <f t="shared" si="14"/>
        <v>3.1267427691084385E-2</v>
      </c>
      <c r="K35" s="549">
        <f>VLOOKUP($A35,EFCO2S!$A$1:$J$44,(IF($B35=2015,4,IF($B35=2016,5,IF($B35=2017,6,IF($B35=2018,7,IF($B35=2019,8,IF($B35=2020,9,0))))))),FALSE)</f>
        <v>153.0897857268109</v>
      </c>
      <c r="L35" s="546">
        <f>VLOOKUP($A35,EFCH4S!$A$1:$J$44,(IF($B35=2015,4,IF($B35=2016,5,IF($B35=2017,6,IF($B35=2018,7,IF($B35=2019,8,IF($B35=2020,9,0))))))),FALSE)</f>
        <v>9.9847277011502044E-3</v>
      </c>
      <c r="M35" s="540">
        <f t="shared" si="15"/>
        <v>0.10029640969787966</v>
      </c>
      <c r="N35" s="135">
        <v>1</v>
      </c>
      <c r="O35" s="135">
        <v>4</v>
      </c>
      <c r="P35" s="136">
        <v>22</v>
      </c>
      <c r="Q35" s="39">
        <f t="shared" si="16"/>
        <v>0.42637440788464803</v>
      </c>
      <c r="R35" s="29">
        <f t="shared" si="16"/>
        <v>1.4674527789890404</v>
      </c>
      <c r="S35" s="29">
        <f t="shared" si="16"/>
        <v>4.223006724121249</v>
      </c>
      <c r="T35" s="29">
        <f t="shared" si="16"/>
        <v>6.8900939955804322E-3</v>
      </c>
      <c r="U35" s="29">
        <f t="shared" si="16"/>
        <v>0.14052776490375005</v>
      </c>
      <c r="V35" s="29">
        <f t="shared" si="16"/>
        <v>0.12506971076433754</v>
      </c>
      <c r="W35" s="29">
        <f t="shared" si="16"/>
        <v>612.35914290724361</v>
      </c>
      <c r="X35" s="29">
        <f t="shared" si="16"/>
        <v>3.9938910804600818E-2</v>
      </c>
      <c r="Y35" s="29">
        <f t="shared" si="16"/>
        <v>0.40118563879151864</v>
      </c>
    </row>
    <row r="36" spans="1:25" s="3" customFormat="1" x14ac:dyDescent="0.25">
      <c r="A36" s="19" t="s">
        <v>38</v>
      </c>
      <c r="B36" s="34"/>
      <c r="C36" s="25"/>
      <c r="D36" s="25"/>
      <c r="E36" s="26"/>
      <c r="F36" s="26"/>
      <c r="G36" s="26"/>
      <c r="H36" s="26"/>
      <c r="I36" s="26"/>
      <c r="J36" s="27"/>
      <c r="K36" s="28"/>
      <c r="L36" s="26"/>
      <c r="M36" s="38"/>
      <c r="N36" s="135"/>
      <c r="O36" s="135"/>
      <c r="P36" s="136"/>
      <c r="Q36" s="138">
        <f t="shared" ref="Q36:Y36" si="17">SUM(Q30:Q35)</f>
        <v>5.2659550503064585</v>
      </c>
      <c r="R36" s="138">
        <f t="shared" si="17"/>
        <v>19.743180902425753</v>
      </c>
      <c r="S36" s="138">
        <f t="shared" si="17"/>
        <v>39.566973457807897</v>
      </c>
      <c r="T36" s="138">
        <f t="shared" si="17"/>
        <v>7.1095111650197634E-2</v>
      </c>
      <c r="U36" s="138">
        <f t="shared" si="17"/>
        <v>1.7462119769362729</v>
      </c>
      <c r="V36" s="138">
        <f t="shared" si="17"/>
        <v>1.554128659473283</v>
      </c>
      <c r="W36" s="138">
        <f t="shared" si="17"/>
        <v>6847.8727240731369</v>
      </c>
      <c r="X36" s="138">
        <f t="shared" si="17"/>
        <v>0.49486514486741068</v>
      </c>
      <c r="Y36" s="138">
        <f t="shared" si="17"/>
        <v>3.7588624784917508</v>
      </c>
    </row>
    <row r="37" spans="1:25" s="3" customFormat="1" x14ac:dyDescent="0.25">
      <c r="A37" s="19" t="s">
        <v>630</v>
      </c>
      <c r="B37" s="34"/>
      <c r="C37" s="25"/>
      <c r="D37" s="25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138">
        <f>Q14+Q20+Q27+Q36</f>
        <v>12.033701489954426</v>
      </c>
      <c r="R37" s="138">
        <f t="shared" ref="R37:Y37" si="18">R14+R20+R27+R36</f>
        <v>47.793510790249826</v>
      </c>
      <c r="S37" s="138">
        <f t="shared" si="18"/>
        <v>94.901302503885148</v>
      </c>
      <c r="T37" s="138">
        <f t="shared" si="18"/>
        <v>0.16577517429210725</v>
      </c>
      <c r="U37" s="138">
        <f t="shared" si="18"/>
        <v>3.9030511777113426</v>
      </c>
      <c r="V37" s="138">
        <f t="shared" si="18"/>
        <v>3.4737155481630948</v>
      </c>
      <c r="W37" s="138">
        <f t="shared" si="18"/>
        <v>15799.502698670558</v>
      </c>
      <c r="X37" s="138">
        <f t="shared" si="18"/>
        <v>1.1308577253133818</v>
      </c>
      <c r="Y37" s="138">
        <f t="shared" si="18"/>
        <v>9.0156237378690918</v>
      </c>
    </row>
    <row r="38" spans="1:25" s="3" customFormat="1" x14ac:dyDescent="0.25">
      <c r="A38" s="27"/>
      <c r="B38" s="34"/>
      <c r="C38" s="25"/>
      <c r="D38" s="25"/>
      <c r="E38" s="26"/>
      <c r="F38" s="26"/>
      <c r="G38" s="26"/>
      <c r="H38" s="26"/>
      <c r="I38" s="26"/>
      <c r="J38" s="27"/>
      <c r="K38" s="28"/>
      <c r="L38" s="26"/>
      <c r="M38" s="38"/>
      <c r="N38" s="135"/>
      <c r="O38" s="135"/>
      <c r="P38" s="136"/>
      <c r="Q38" s="39"/>
      <c r="R38" s="29"/>
      <c r="S38" s="29"/>
      <c r="T38" s="29"/>
      <c r="U38" s="29"/>
      <c r="V38" s="29"/>
      <c r="W38" s="29"/>
      <c r="X38" s="29"/>
      <c r="Y38" s="29"/>
    </row>
    <row r="39" spans="1:25" s="3" customFormat="1" x14ac:dyDescent="0.25">
      <c r="A39" s="19" t="s">
        <v>245</v>
      </c>
      <c r="B39" s="34">
        <v>2016</v>
      </c>
      <c r="C39" s="25"/>
      <c r="D39" s="25"/>
      <c r="E39" s="26"/>
      <c r="F39" s="26"/>
      <c r="G39" s="26"/>
      <c r="H39" s="26"/>
      <c r="I39" s="26"/>
      <c r="J39" s="27"/>
      <c r="K39" s="28"/>
      <c r="L39" s="26"/>
      <c r="M39" s="38"/>
      <c r="N39" s="135"/>
      <c r="O39" s="135"/>
      <c r="P39" s="136"/>
      <c r="Q39" s="39"/>
      <c r="R39" s="29"/>
      <c r="S39" s="29"/>
      <c r="T39" s="29"/>
      <c r="U39" s="29"/>
      <c r="V39" s="29"/>
      <c r="W39" s="29"/>
      <c r="X39" s="29"/>
      <c r="Y39" s="29"/>
    </row>
    <row r="40" spans="1:25" s="3" customFormat="1" x14ac:dyDescent="0.25">
      <c r="A40" s="27" t="s">
        <v>205</v>
      </c>
      <c r="B40" s="34">
        <v>2016</v>
      </c>
      <c r="C40" s="25">
        <v>235</v>
      </c>
      <c r="D40" s="25">
        <v>0.38</v>
      </c>
      <c r="E40" s="546">
        <f>VLOOKUP($A40,EFROGS!$A$1:$J$44,(IF($B40=2015,4,IF($B40=2016,5,IF($B40=2017,6,IF($B40=2018,7,IF($B40=2019,8,IF($B40=2020,9,0))))))),FALSE)</f>
        <v>0.10888615948643803</v>
      </c>
      <c r="F40" s="546">
        <f>VLOOKUP($A40,EFCOS!$A$1:$J$44,(IF($B40=2015,4,IF($B40=2016,5,IF($B40=2017,6,IF($B40=2018,7,IF($B40=2019,8,IF($B40=2020,9,0))))))),FALSE)</f>
        <v>0.37192102764732693</v>
      </c>
      <c r="G40" s="546">
        <f>VLOOKUP($A40,EFNOXS!$A$1:$J$44,(IF($B40=2015,4,IF($B40=2016,5,IF($B40=2017,6,IF($B40=2018,7,IF($B40=2019,8,IF($B40=2020,9,0))))))),FALSE)</f>
        <v>0.78693926319648355</v>
      </c>
      <c r="H40" s="546">
        <f>VLOOKUP($A40,EFSOXS!$A$1:$J$44,(IF($B40=2015,4,IF($B40=2016,5,IF($B40=2017,6,IF($B40=2018,7,IF($B40=2019,8,IF($B40=2020,9,0))))))),FALSE)</f>
        <v>1.8739217498104396E-3</v>
      </c>
      <c r="I40" s="546">
        <f>VLOOKUP($A40,EFPMS!$A$1:$J$44,(IF($B40=2015,4,IF($B40=2016,5,IF($B40=2017,6,IF($B40=2018,7,IF($B40=2019,8,IF($B40=2020,9,0))))))),FALSE)</f>
        <v>2.6432845298835113E-2</v>
      </c>
      <c r="J40" s="536">
        <f t="shared" ref="J40:J43" si="19">0.89*I40</f>
        <v>2.3525232315963252E-2</v>
      </c>
      <c r="K40" s="549">
        <f>VLOOKUP($A40,EFCO2S!$A$1:$J$44,(IF($B40=2015,4,IF($B40=2016,5,IF($B40=2017,6,IF($B40=2018,7,IF($B40=2019,8,IF($B40=2020,9,0))))))),FALSE)</f>
        <v>166.54541562452522</v>
      </c>
      <c r="L40" s="546">
        <f>VLOOKUP($A40,EFCH4S!$A$1:$J$44,(IF($B40=2015,4,IF($B40=2016,5,IF($B40=2017,6,IF($B40=2018,7,IF($B40=2019,8,IF($B40=2020,9,0))))))),FALSE)</f>
        <v>1.063993297769634E-2</v>
      </c>
      <c r="M40" s="540">
        <f t="shared" ref="M40:M43" si="20">0.095*G40</f>
        <v>7.4759230003665939E-2</v>
      </c>
      <c r="N40" s="135">
        <v>1</v>
      </c>
      <c r="O40" s="135">
        <v>4</v>
      </c>
      <c r="P40" s="109">
        <v>22</v>
      </c>
      <c r="Q40" s="39">
        <f t="shared" ref="Q40:Y43" si="21">(E40*$N40*$O40)</f>
        <v>0.4355446379457521</v>
      </c>
      <c r="R40" s="29">
        <f t="shared" si="21"/>
        <v>1.4876841105893077</v>
      </c>
      <c r="S40" s="29">
        <f t="shared" si="21"/>
        <v>3.1477570527859342</v>
      </c>
      <c r="T40" s="29">
        <f t="shared" si="21"/>
        <v>7.4956869992417584E-3</v>
      </c>
      <c r="U40" s="29">
        <f t="shared" si="21"/>
        <v>0.10573138119534045</v>
      </c>
      <c r="V40" s="29">
        <f t="shared" si="21"/>
        <v>9.4100929263853009E-2</v>
      </c>
      <c r="W40" s="29">
        <f t="shared" si="21"/>
        <v>666.18166249810088</v>
      </c>
      <c r="X40" s="29">
        <f t="shared" si="21"/>
        <v>4.255973191078536E-2</v>
      </c>
      <c r="Y40" s="29">
        <f t="shared" si="21"/>
        <v>0.29903692001466375</v>
      </c>
    </row>
    <row r="41" spans="1:25" s="3" customFormat="1" x14ac:dyDescent="0.25">
      <c r="A41" s="27" t="s">
        <v>202</v>
      </c>
      <c r="B41" s="34">
        <v>2016</v>
      </c>
      <c r="C41" s="25">
        <v>399</v>
      </c>
      <c r="D41" s="25">
        <v>0.28999999999999998</v>
      </c>
      <c r="E41" s="546">
        <f>VLOOKUP($A41,EFROGS!$A$1:$J$44,(IF($B41=2015,4,IF($B41=2016,5,IF($B41=2017,6,IF($B41=2018,7,IF($B41=2019,8,IF($B41=2020,9,0))))))),FALSE)</f>
        <v>0.1228188382407441</v>
      </c>
      <c r="F41" s="546">
        <f>VLOOKUP($A41,EFCOS!$A$1:$J$44,(IF($B41=2015,4,IF($B41=2016,5,IF($B41=2017,6,IF($B41=2018,7,IF($B41=2019,8,IF($B41=2020,9,0))))))),FALSE)</f>
        <v>0.45492412964990703</v>
      </c>
      <c r="G41" s="546">
        <f>VLOOKUP($A41,EFNOXS!$A$1:$J$44,(IF($B41=2015,4,IF($B41=2016,5,IF($B41=2017,6,IF($B41=2018,7,IF($B41=2019,8,IF($B41=2020,9,0))))))),FALSE)</f>
        <v>0.97275799069431301</v>
      </c>
      <c r="H41" s="546">
        <f>VLOOKUP($A41,EFSOXS!$A$1:$J$44,(IF($B41=2015,4,IF($B41=2016,5,IF($B41=2017,6,IF($B41=2018,7,IF($B41=2019,8,IF($B41=2020,9,0))))))),FALSE)</f>
        <v>1.7677532588218458E-3</v>
      </c>
      <c r="I41" s="546">
        <f>VLOOKUP($A41,EFPMS!$A$1:$J$44,(IF($B41=2015,4,IF($B41=2016,5,IF($B41=2017,6,IF($B41=2018,7,IF($B41=2019,8,IF($B41=2020,9,0))))))),FALSE)</f>
        <v>3.5216325713369134E-2</v>
      </c>
      <c r="J41" s="536">
        <f t="shared" si="19"/>
        <v>3.134252988489853E-2</v>
      </c>
      <c r="K41" s="549">
        <f>VLOOKUP($A41,EFCO2S!$A$1:$J$44,(IF($B41=2015,4,IF($B41=2016,5,IF($B41=2017,6,IF($B41=2018,7,IF($B41=2019,8,IF($B41=2020,9,0))))))),FALSE)</f>
        <v>180.10130637401463</v>
      </c>
      <c r="L41" s="546">
        <f>VLOOKUP($A41,EFCH4S!$A$1:$J$44,(IF($B41=2015,4,IF($B41=2016,5,IF($B41=2017,6,IF($B41=2018,7,IF($B41=2019,8,IF($B41=2020,9,0))))))),FALSE)</f>
        <v>1.1955016897318338E-2</v>
      </c>
      <c r="M41" s="540">
        <f t="shared" si="20"/>
        <v>9.2412009115959731E-2</v>
      </c>
      <c r="N41" s="108">
        <v>1</v>
      </c>
      <c r="O41" s="108">
        <v>4</v>
      </c>
      <c r="P41" s="109">
        <v>22</v>
      </c>
      <c r="Q41" s="39">
        <f t="shared" si="21"/>
        <v>0.49127535296297642</v>
      </c>
      <c r="R41" s="29">
        <f t="shared" si="21"/>
        <v>1.8196965185996281</v>
      </c>
      <c r="S41" s="29">
        <f t="shared" si="21"/>
        <v>3.8910319627772521</v>
      </c>
      <c r="T41" s="29">
        <f t="shared" si="21"/>
        <v>7.0710130352873834E-3</v>
      </c>
      <c r="U41" s="29">
        <f t="shared" si="21"/>
        <v>0.14086530285347654</v>
      </c>
      <c r="V41" s="29">
        <f t="shared" si="21"/>
        <v>0.12537011953959412</v>
      </c>
      <c r="W41" s="29">
        <f t="shared" si="21"/>
        <v>720.40522549605851</v>
      </c>
      <c r="X41" s="29">
        <f t="shared" si="21"/>
        <v>4.7820067589273353E-2</v>
      </c>
      <c r="Y41" s="29">
        <f t="shared" si="21"/>
        <v>0.36964803646383892</v>
      </c>
    </row>
    <row r="42" spans="1:25" s="3" customFormat="1" x14ac:dyDescent="0.25">
      <c r="A42" s="27" t="s">
        <v>163</v>
      </c>
      <c r="B42" s="34">
        <v>2016</v>
      </c>
      <c r="C42" s="25">
        <v>75</v>
      </c>
      <c r="D42" s="25">
        <v>0.31</v>
      </c>
      <c r="E42" s="546">
        <f>VLOOKUP($A42,EFROGS!$A$1:$J$44,(IF($B42=2015,4,IF($B42=2016,5,IF($B42=2017,6,IF($B42=2018,7,IF($B42=2019,8,IF($B42=2020,9,0))))))),FALSE)</f>
        <v>3.7848085547672369E-2</v>
      </c>
      <c r="F42" s="546">
        <f>VLOOKUP($A42,EFCOS!$A$1:$J$44,(IF($B42=2015,4,IF($B42=2016,5,IF($B42=2017,6,IF($B42=2018,7,IF($B42=2019,8,IF($B42=2020,9,0))))))),FALSE)</f>
        <v>0.23095739347567587</v>
      </c>
      <c r="G42" s="546">
        <f>VLOOKUP($A42,EFNOXS!$A$1:$J$44,(IF($B42=2015,4,IF($B42=2016,5,IF($B42=2017,6,IF($B42=2018,7,IF($B42=2019,8,IF($B42=2020,9,0))))))),FALSE)</f>
        <v>0.27347169152642881</v>
      </c>
      <c r="H42" s="546">
        <f>VLOOKUP($A42,EFSOXS!$A$1:$J$44,(IF($B42=2015,4,IF($B42=2016,5,IF($B42=2017,6,IF($B42=2018,7,IF($B42=2019,8,IF($B42=2020,9,0))))))),FALSE)</f>
        <v>4.4660184460307463E-4</v>
      </c>
      <c r="I42" s="546">
        <f>VLOOKUP($A42,EFPMS!$A$1:$J$44,(IF($B42=2015,4,IF($B42=2016,5,IF($B42=2017,6,IF($B42=2018,7,IF($B42=2019,8,IF($B42=2020,9,0))))))),FALSE)</f>
        <v>1.9787803716078484E-2</v>
      </c>
      <c r="J42" s="536">
        <f t="shared" si="19"/>
        <v>1.7611145307309853E-2</v>
      </c>
      <c r="K42" s="549">
        <f>VLOOKUP($A42,EFCO2S!$A$1:$J$44,(IF($B42=2015,4,IF($B42=2016,5,IF($B42=2017,6,IF($B42=2018,7,IF($B42=2019,8,IF($B42=2020,9,0))))))),FALSE)</f>
        <v>38.071823208441309</v>
      </c>
      <c r="L42" s="546">
        <f>VLOOKUP($A42,EFCH4S!$A$1:$J$44,(IF($B42=2015,4,IF($B42=2016,5,IF($B42=2017,6,IF($B42=2018,7,IF($B42=2019,8,IF($B42=2020,9,0))))))),FALSE)</f>
        <v>3.7224725625345937E-3</v>
      </c>
      <c r="M42" s="540">
        <f t="shared" si="20"/>
        <v>2.5979810695010735E-2</v>
      </c>
      <c r="N42" s="108">
        <v>2</v>
      </c>
      <c r="O42" s="108">
        <v>8</v>
      </c>
      <c r="P42" s="136">
        <f>2*22</f>
        <v>44</v>
      </c>
      <c r="Q42" s="39">
        <f t="shared" si="21"/>
        <v>0.60556936876275791</v>
      </c>
      <c r="R42" s="29">
        <f t="shared" si="21"/>
        <v>3.6953182956108139</v>
      </c>
      <c r="S42" s="29">
        <f t="shared" si="21"/>
        <v>4.3755470644228609</v>
      </c>
      <c r="T42" s="29">
        <f t="shared" si="21"/>
        <v>7.1456295136491941E-3</v>
      </c>
      <c r="U42" s="29">
        <f t="shared" si="21"/>
        <v>0.31660485945725575</v>
      </c>
      <c r="V42" s="29">
        <f t="shared" si="21"/>
        <v>0.28177832491695765</v>
      </c>
      <c r="W42" s="29">
        <f t="shared" si="21"/>
        <v>609.14917133506094</v>
      </c>
      <c r="X42" s="29">
        <f t="shared" si="21"/>
        <v>5.9559561000553499E-2</v>
      </c>
      <c r="Y42" s="29">
        <f t="shared" si="21"/>
        <v>0.41567697112017177</v>
      </c>
    </row>
    <row r="43" spans="1:25" s="3" customFormat="1" x14ac:dyDescent="0.25">
      <c r="A43" s="27" t="s">
        <v>192</v>
      </c>
      <c r="B43" s="34">
        <v>2016</v>
      </c>
      <c r="C43" s="25">
        <v>45</v>
      </c>
      <c r="D43" s="25">
        <v>1</v>
      </c>
      <c r="E43" s="546">
        <f>VLOOKUP($A43,EFROGS!$A$1:$J$44,(IF($B43=2015,4,IF($B43=2016,5,IF($B43=2017,6,IF($B43=2018,7,IF($B43=2019,8,IF($B43=2020,9,0))))))),FALSE)</f>
        <v>6.0031826185753062E-2</v>
      </c>
      <c r="F43" s="546">
        <f>VLOOKUP($A43,EFCOS!$A$1:$J$44,(IF($B43=2015,4,IF($B43=2016,5,IF($B43=2017,6,IF($B43=2018,7,IF($B43=2019,8,IF($B43=2020,9,0))))))),FALSE)</f>
        <v>0.24597366704095389</v>
      </c>
      <c r="G43" s="546">
        <f>VLOOKUP($A43,EFNOXS!$A$1:$J$44,(IF($B43=2015,4,IF($B43=2016,5,IF($B43=2017,6,IF($B43=2018,7,IF($B43=2019,8,IF($B43=2020,9,0))))))),FALSE)</f>
        <v>0.21311283631353706</v>
      </c>
      <c r="H43" s="546">
        <f>VLOOKUP($A43,EFSOXS!$A$1:$J$44,(IF($B43=2015,4,IF($B43=2016,5,IF($B43=2017,6,IF($B43=2018,7,IF($B43=2019,8,IF($B43=2020,9,0))))))),FALSE)</f>
        <v>2.8791175201714529E-4</v>
      </c>
      <c r="I43" s="546">
        <f>VLOOKUP($A43,EFPMS!$A$1:$J$44,(IF($B43=2015,4,IF($B43=2016,5,IF($B43=2017,6,IF($B43=2018,7,IF($B43=2019,8,IF($B43=2020,9,0))))))),FALSE)</f>
        <v>1.5037193593767375E-2</v>
      </c>
      <c r="J43" s="536">
        <f t="shared" si="19"/>
        <v>1.3383102298452963E-2</v>
      </c>
      <c r="K43" s="549">
        <f>VLOOKUP($A43,EFCO2S!$A$1:$J$44,(IF($B43=2015,4,IF($B43=2016,5,IF($B43=2017,6,IF($B43=2018,7,IF($B43=2019,8,IF($B43=2020,9,0))))))),FALSE)</f>
        <v>22.271256112007169</v>
      </c>
      <c r="L43" s="546">
        <f>VLOOKUP($A43,EFCH4S!$A$1:$J$44,(IF($B43=2015,4,IF($B43=2016,5,IF($B43=2017,6,IF($B43=2018,7,IF($B43=2019,8,IF($B43=2020,9,0))))))),FALSE)</f>
        <v>6.0184173846369749E-3</v>
      </c>
      <c r="M43" s="540">
        <f t="shared" si="20"/>
        <v>2.024571944978602E-2</v>
      </c>
      <c r="N43" s="135">
        <v>3</v>
      </c>
      <c r="O43" s="135">
        <v>8</v>
      </c>
      <c r="P43" s="136">
        <f>2*22</f>
        <v>44</v>
      </c>
      <c r="Q43" s="39">
        <f t="shared" si="21"/>
        <v>1.4407638284580735</v>
      </c>
      <c r="R43" s="29">
        <f t="shared" si="21"/>
        <v>5.903368008982893</v>
      </c>
      <c r="S43" s="29">
        <f t="shared" si="21"/>
        <v>5.1147080715248894</v>
      </c>
      <c r="T43" s="29">
        <f t="shared" si="21"/>
        <v>6.9098820484114875E-3</v>
      </c>
      <c r="U43" s="29">
        <f t="shared" si="21"/>
        <v>0.360892646250417</v>
      </c>
      <c r="V43" s="29">
        <f t="shared" si="21"/>
        <v>0.3211944551628711</v>
      </c>
      <c r="W43" s="29">
        <f t="shared" si="21"/>
        <v>534.51014668817209</v>
      </c>
      <c r="X43" s="29">
        <f t="shared" si="21"/>
        <v>0.14444201723128741</v>
      </c>
      <c r="Y43" s="29">
        <f t="shared" si="21"/>
        <v>0.48589726679486445</v>
      </c>
    </row>
    <row r="44" spans="1:25" s="3" customFormat="1" x14ac:dyDescent="0.25">
      <c r="A44" s="19" t="s">
        <v>38</v>
      </c>
      <c r="B44" s="34"/>
      <c r="C44" s="25"/>
      <c r="D44" s="25"/>
      <c r="E44" s="26"/>
      <c r="F44" s="26"/>
      <c r="G44" s="26"/>
      <c r="H44" s="26"/>
      <c r="I44" s="26"/>
      <c r="J44" s="27"/>
      <c r="K44" s="28"/>
      <c r="L44" s="26"/>
      <c r="M44" s="38"/>
      <c r="N44" s="135"/>
      <c r="O44" s="135"/>
      <c r="P44" s="136"/>
      <c r="Q44" s="138">
        <f>SUM(Q40:Q43)</f>
        <v>2.9731531881295599</v>
      </c>
      <c r="R44" s="138">
        <f t="shared" ref="R44:Y44" si="22">SUM(R40:R43)</f>
        <v>12.906066933782643</v>
      </c>
      <c r="S44" s="138">
        <f t="shared" si="22"/>
        <v>16.529044151510938</v>
      </c>
      <c r="T44" s="138">
        <f t="shared" si="22"/>
        <v>2.8622211596589821E-2</v>
      </c>
      <c r="U44" s="138">
        <f t="shared" si="22"/>
        <v>0.92409418975648983</v>
      </c>
      <c r="V44" s="138">
        <f t="shared" si="22"/>
        <v>0.82244382888327583</v>
      </c>
      <c r="W44" s="138">
        <f t="shared" si="22"/>
        <v>2530.2462060173925</v>
      </c>
      <c r="X44" s="138">
        <f t="shared" si="22"/>
        <v>0.29438137773189965</v>
      </c>
      <c r="Y44" s="138">
        <f t="shared" si="22"/>
        <v>1.5702591943935389</v>
      </c>
    </row>
    <row r="45" spans="1:25" s="3" customFormat="1" x14ac:dyDescent="0.25">
      <c r="A45" s="27"/>
      <c r="B45" s="34"/>
      <c r="C45" s="25"/>
      <c r="D45" s="25"/>
      <c r="E45" s="26"/>
      <c r="F45" s="26"/>
      <c r="G45" s="26"/>
      <c r="H45" s="26"/>
      <c r="I45" s="26"/>
      <c r="J45" s="27"/>
      <c r="K45" s="28"/>
      <c r="L45" s="26"/>
      <c r="M45" s="38"/>
      <c r="N45" s="135"/>
      <c r="O45" s="135"/>
      <c r="P45" s="136"/>
      <c r="Q45" s="39"/>
      <c r="R45" s="29"/>
      <c r="S45" s="29"/>
      <c r="T45" s="29"/>
      <c r="U45" s="29"/>
      <c r="V45" s="29"/>
      <c r="W45" s="29"/>
      <c r="X45" s="29"/>
      <c r="Y45" s="29"/>
    </row>
    <row r="46" spans="1:25" s="3" customFormat="1" x14ac:dyDescent="0.25">
      <c r="A46" s="19" t="s">
        <v>246</v>
      </c>
      <c r="B46" s="34">
        <v>2016</v>
      </c>
      <c r="C46" s="25"/>
      <c r="D46" s="25"/>
      <c r="E46" s="26"/>
      <c r="F46" s="26"/>
      <c r="G46" s="26"/>
      <c r="H46" s="26"/>
      <c r="I46" s="26"/>
      <c r="J46" s="27"/>
      <c r="K46" s="28"/>
      <c r="L46" s="26"/>
      <c r="M46" s="38"/>
      <c r="N46" s="135"/>
      <c r="O46" s="135"/>
      <c r="P46" s="136"/>
      <c r="Q46" s="39"/>
      <c r="R46" s="29"/>
      <c r="S46" s="29"/>
      <c r="T46" s="29"/>
      <c r="U46" s="29"/>
      <c r="V46" s="29"/>
      <c r="W46" s="29"/>
      <c r="X46" s="29"/>
      <c r="Y46" s="29"/>
    </row>
    <row r="47" spans="1:25" s="3" customFormat="1" x14ac:dyDescent="0.25">
      <c r="A47" s="27" t="s">
        <v>163</v>
      </c>
      <c r="B47" s="34">
        <v>2016</v>
      </c>
      <c r="C47" s="25">
        <v>75</v>
      </c>
      <c r="D47" s="25">
        <v>0.31</v>
      </c>
      <c r="E47" s="546">
        <f>VLOOKUP($A47,EFROGS!$A$1:$J$44,(IF($B47=2015,4,IF($B47=2016,5,IF($B47=2017,6,IF($B47=2018,7,IF($B47=2019,8,IF($B47=2020,9,0))))))),FALSE)</f>
        <v>3.7848085547672369E-2</v>
      </c>
      <c r="F47" s="546">
        <f>VLOOKUP($A47,EFCOS!$A$1:$J$44,(IF($B47=2015,4,IF($B47=2016,5,IF($B47=2017,6,IF($B47=2018,7,IF($B47=2019,8,IF($B47=2020,9,0))))))),FALSE)</f>
        <v>0.23095739347567587</v>
      </c>
      <c r="G47" s="546">
        <f>VLOOKUP($A47,EFNOXS!$A$1:$J$44,(IF($B47=2015,4,IF($B47=2016,5,IF($B47=2017,6,IF($B47=2018,7,IF($B47=2019,8,IF($B47=2020,9,0))))))),FALSE)</f>
        <v>0.27347169152642881</v>
      </c>
      <c r="H47" s="546">
        <f>VLOOKUP($A47,EFSOXS!$A$1:$J$44,(IF($B47=2015,4,IF($B47=2016,5,IF($B47=2017,6,IF($B47=2018,7,IF($B47=2019,8,IF($B47=2020,9,0))))))),FALSE)</f>
        <v>4.4660184460307463E-4</v>
      </c>
      <c r="I47" s="546">
        <f>VLOOKUP($A47,EFPMS!$A$1:$J$44,(IF($B47=2015,4,IF($B47=2016,5,IF($B47=2017,6,IF($B47=2018,7,IF($B47=2019,8,IF($B47=2020,9,0))))))),FALSE)</f>
        <v>1.9787803716078484E-2</v>
      </c>
      <c r="J47" s="536">
        <f t="shared" ref="J47:J50" si="23">0.89*I47</f>
        <v>1.7611145307309853E-2</v>
      </c>
      <c r="K47" s="549">
        <f>VLOOKUP($A47,EFCO2S!$A$1:$J$44,(IF($B47=2015,4,IF($B47=2016,5,IF($B47=2017,6,IF($B47=2018,7,IF($B47=2019,8,IF($B47=2020,9,0))))))),FALSE)</f>
        <v>38.071823208441309</v>
      </c>
      <c r="L47" s="546">
        <f>VLOOKUP($A47,EFCH4S!$A$1:$J$44,(IF($B47=2015,4,IF($B47=2016,5,IF($B47=2017,6,IF($B47=2018,7,IF($B47=2019,8,IF($B47=2020,9,0))))))),FALSE)</f>
        <v>3.7224725625345937E-3</v>
      </c>
      <c r="M47" s="540">
        <f t="shared" ref="M47:M50" si="24">0.095*G47</f>
        <v>2.5979810695010735E-2</v>
      </c>
      <c r="N47" s="108">
        <v>2</v>
      </c>
      <c r="O47" s="108">
        <v>6</v>
      </c>
      <c r="P47" s="109">
        <f>3*22</f>
        <v>66</v>
      </c>
      <c r="Q47" s="39">
        <f t="shared" ref="Q47:Y50" si="25">(E47*$N47*$O47)</f>
        <v>0.45417702657206843</v>
      </c>
      <c r="R47" s="29">
        <f t="shared" si="25"/>
        <v>2.7714887217081103</v>
      </c>
      <c r="S47" s="29">
        <f t="shared" si="25"/>
        <v>3.2816602983171457</v>
      </c>
      <c r="T47" s="29">
        <f t="shared" si="25"/>
        <v>5.3592221352368958E-3</v>
      </c>
      <c r="U47" s="29">
        <f t="shared" si="25"/>
        <v>0.23745364459294183</v>
      </c>
      <c r="V47" s="29">
        <f t="shared" si="25"/>
        <v>0.21133374368771823</v>
      </c>
      <c r="W47" s="29">
        <f t="shared" si="25"/>
        <v>456.86187850129568</v>
      </c>
      <c r="X47" s="29">
        <f t="shared" si="25"/>
        <v>4.4669670750415127E-2</v>
      </c>
      <c r="Y47" s="29">
        <f t="shared" si="25"/>
        <v>0.31175772834012883</v>
      </c>
    </row>
    <row r="48" spans="1:25" s="3" customFormat="1" x14ac:dyDescent="0.25">
      <c r="A48" s="27" t="s">
        <v>206</v>
      </c>
      <c r="B48" s="34">
        <v>2016</v>
      </c>
      <c r="C48" s="25">
        <v>300</v>
      </c>
      <c r="D48" s="25">
        <v>0.42</v>
      </c>
      <c r="E48" s="546">
        <f>VLOOKUP($A48,EFROGS!$A$1:$J$44,(IF($B48=2015,4,IF($B48=2016,5,IF($B48=2017,6,IF($B48=2018,7,IF($B48=2019,8,IF($B48=2020,9,0))))))),FALSE)</f>
        <v>0.11577475029587816</v>
      </c>
      <c r="F48" s="546">
        <f>VLOOKUP($A48,EFCOS!$A$1:$J$44,(IF($B48=2015,4,IF($B48=2016,5,IF($B48=2017,6,IF($B48=2018,7,IF($B48=2019,8,IF($B48=2020,9,0))))))),FALSE)</f>
        <v>0.49927069740964902</v>
      </c>
      <c r="G48" s="546">
        <f>VLOOKUP($A48,EFNOXS!$A$1:$J$44,(IF($B48=2015,4,IF($B48=2016,5,IF($B48=2017,6,IF($B48=2018,7,IF($B48=2019,8,IF($B48=2020,9,0))))))),FALSE)</f>
        <v>0.94570260397547923</v>
      </c>
      <c r="H48" s="546">
        <f>VLOOKUP($A48,EFSOXS!$A$1:$J$44,(IF($B48=2015,4,IF($B48=2016,5,IF($B48=2017,6,IF($B48=2018,7,IF($B48=2019,8,IF($B48=2020,9,0))))))),FALSE)</f>
        <v>2.4954334272364047E-3</v>
      </c>
      <c r="I48" s="546">
        <f>VLOOKUP($A48,EFPMS!$A$1:$J$44,(IF($B48=2015,4,IF($B48=2016,5,IF($B48=2017,6,IF($B48=2018,7,IF($B48=2019,8,IF($B48=2020,9,0))))))),FALSE)</f>
        <v>3.1927098880034817E-2</v>
      </c>
      <c r="J48" s="536">
        <f t="shared" si="23"/>
        <v>2.8415118003230988E-2</v>
      </c>
      <c r="K48" s="549">
        <f>VLOOKUP($A48,EFCO2S!$A$1:$J$44,(IF($B48=2015,4,IF($B48=2016,5,IF($B48=2017,6,IF($B48=2018,7,IF($B48=2019,8,IF($B48=2020,9,0))))))),FALSE)</f>
        <v>254.23851177178003</v>
      </c>
      <c r="L48" s="546">
        <f>VLOOKUP($A48,EFCH4S!$A$1:$J$44,(IF($B48=2015,4,IF($B48=2016,5,IF($B48=2017,6,IF($B48=2018,7,IF($B48=2019,8,IF($B48=2020,9,0))))))),FALSE)</f>
        <v>1.1216977037398481E-2</v>
      </c>
      <c r="M48" s="540">
        <f t="shared" si="24"/>
        <v>8.9841747377670533E-2</v>
      </c>
      <c r="N48" s="135">
        <v>1</v>
      </c>
      <c r="O48" s="135">
        <v>4</v>
      </c>
      <c r="P48" s="109">
        <f t="shared" ref="P48:P49" si="26">3*22</f>
        <v>66</v>
      </c>
      <c r="Q48" s="39">
        <f t="shared" si="25"/>
        <v>0.46309900118351266</v>
      </c>
      <c r="R48" s="29">
        <f t="shared" si="25"/>
        <v>1.9970827896385961</v>
      </c>
      <c r="S48" s="29">
        <f t="shared" si="25"/>
        <v>3.7828104159019169</v>
      </c>
      <c r="T48" s="29">
        <f t="shared" si="25"/>
        <v>9.9817337089456188E-3</v>
      </c>
      <c r="U48" s="29">
        <f t="shared" si="25"/>
        <v>0.12770839552013927</v>
      </c>
      <c r="V48" s="29">
        <f t="shared" si="25"/>
        <v>0.11366047201292395</v>
      </c>
      <c r="W48" s="29">
        <f t="shared" si="25"/>
        <v>1016.9540470871201</v>
      </c>
      <c r="X48" s="29">
        <f t="shared" si="25"/>
        <v>4.4867908149593926E-2</v>
      </c>
      <c r="Y48" s="29">
        <f t="shared" si="25"/>
        <v>0.35936698951068213</v>
      </c>
    </row>
    <row r="49" spans="1:32" s="3" customFormat="1" x14ac:dyDescent="0.25">
      <c r="A49" s="27" t="s">
        <v>207</v>
      </c>
      <c r="B49" s="34">
        <v>2016</v>
      </c>
      <c r="C49" s="25">
        <v>300</v>
      </c>
      <c r="D49" s="25">
        <v>0.42</v>
      </c>
      <c r="E49" s="546">
        <f>VLOOKUP($A49,EFROGS!$A$1:$J$44,(IF($B49=2015,4,IF($B49=2016,5,IF($B49=2017,6,IF($B49=2018,7,IF($B49=2019,8,IF($B49=2020,9,0))))))),FALSE)</f>
        <v>0.11577475029587816</v>
      </c>
      <c r="F49" s="546">
        <f>VLOOKUP($A49,EFCOS!$A$1:$J$44,(IF($B49=2015,4,IF($B49=2016,5,IF($B49=2017,6,IF($B49=2018,7,IF($B49=2019,8,IF($B49=2020,9,0))))))),FALSE)</f>
        <v>0.49927069740964902</v>
      </c>
      <c r="G49" s="546">
        <f>VLOOKUP($A49,EFNOXS!$A$1:$J$44,(IF($B49=2015,4,IF($B49=2016,5,IF($B49=2017,6,IF($B49=2018,7,IF($B49=2019,8,IF($B49=2020,9,0))))))),FALSE)</f>
        <v>0.94570260397547923</v>
      </c>
      <c r="H49" s="546">
        <f>VLOOKUP($A49,EFSOXS!$A$1:$J$44,(IF($B49=2015,4,IF($B49=2016,5,IF($B49=2017,6,IF($B49=2018,7,IF($B49=2019,8,IF($B49=2020,9,0))))))),FALSE)</f>
        <v>2.4954334272364047E-3</v>
      </c>
      <c r="I49" s="546">
        <f>VLOOKUP($A49,EFPMS!$A$1:$J$44,(IF($B49=2015,4,IF($B49=2016,5,IF($B49=2017,6,IF($B49=2018,7,IF($B49=2019,8,IF($B49=2020,9,0))))))),FALSE)</f>
        <v>3.1927098880034817E-2</v>
      </c>
      <c r="J49" s="536">
        <f t="shared" si="23"/>
        <v>2.8415118003230988E-2</v>
      </c>
      <c r="K49" s="549">
        <f>VLOOKUP($A49,EFCO2S!$A$1:$J$44,(IF($B49=2015,4,IF($B49=2016,5,IF($B49=2017,6,IF($B49=2018,7,IF($B49=2019,8,IF($B49=2020,9,0))))))),FALSE)</f>
        <v>254.23851177178003</v>
      </c>
      <c r="L49" s="546">
        <f>VLOOKUP($A49,EFCH4S!$A$1:$J$44,(IF($B49=2015,4,IF($B49=2016,5,IF($B49=2017,6,IF($B49=2018,7,IF($B49=2019,8,IF($B49=2020,9,0))))))),FALSE)</f>
        <v>1.1216977037398481E-2</v>
      </c>
      <c r="M49" s="540">
        <f t="shared" si="24"/>
        <v>8.9841747377670533E-2</v>
      </c>
      <c r="N49" s="135">
        <v>1</v>
      </c>
      <c r="O49" s="135">
        <v>4</v>
      </c>
      <c r="P49" s="109">
        <f t="shared" si="26"/>
        <v>66</v>
      </c>
      <c r="Q49" s="39">
        <f t="shared" si="25"/>
        <v>0.46309900118351266</v>
      </c>
      <c r="R49" s="29">
        <f t="shared" si="25"/>
        <v>1.9970827896385961</v>
      </c>
      <c r="S49" s="29">
        <f t="shared" si="25"/>
        <v>3.7828104159019169</v>
      </c>
      <c r="T49" s="29">
        <f t="shared" si="25"/>
        <v>9.9817337089456188E-3</v>
      </c>
      <c r="U49" s="29">
        <f t="shared" si="25"/>
        <v>0.12770839552013927</v>
      </c>
      <c r="V49" s="29">
        <f t="shared" si="25"/>
        <v>0.11366047201292395</v>
      </c>
      <c r="W49" s="29">
        <f t="shared" si="25"/>
        <v>1016.9540470871201</v>
      </c>
      <c r="X49" s="29">
        <f t="shared" si="25"/>
        <v>4.4867908149593926E-2</v>
      </c>
      <c r="Y49" s="29">
        <f t="shared" si="25"/>
        <v>0.35936698951068213</v>
      </c>
    </row>
    <row r="50" spans="1:32" s="3" customFormat="1" x14ac:dyDescent="0.25">
      <c r="A50" s="27" t="s">
        <v>208</v>
      </c>
      <c r="B50" s="34">
        <v>2016</v>
      </c>
      <c r="C50" s="25">
        <v>300</v>
      </c>
      <c r="D50" s="25">
        <v>0.42</v>
      </c>
      <c r="E50" s="546">
        <f>VLOOKUP($A50,EFROGS!$A$1:$J$44,(IF($B50=2015,4,IF($B50=2016,5,IF($B50=2017,6,IF($B50=2018,7,IF($B50=2019,8,IF($B50=2020,9,0))))))),FALSE)</f>
        <v>0.11577475029587816</v>
      </c>
      <c r="F50" s="546">
        <f>VLOOKUP($A50,EFCOS!$A$1:$J$44,(IF($B50=2015,4,IF($B50=2016,5,IF($B50=2017,6,IF($B50=2018,7,IF($B50=2019,8,IF($B50=2020,9,0))))))),FALSE)</f>
        <v>0.49927069740964902</v>
      </c>
      <c r="G50" s="546">
        <f>VLOOKUP($A50,EFNOXS!$A$1:$J$44,(IF($B50=2015,4,IF($B50=2016,5,IF($B50=2017,6,IF($B50=2018,7,IF($B50=2019,8,IF($B50=2020,9,0))))))),FALSE)</f>
        <v>0.94570260397547923</v>
      </c>
      <c r="H50" s="546">
        <f>VLOOKUP($A50,EFSOXS!$A$1:$J$44,(IF($B50=2015,4,IF($B50=2016,5,IF($B50=2017,6,IF($B50=2018,7,IF($B50=2019,8,IF($B50=2020,9,0))))))),FALSE)</f>
        <v>2.4954334272364047E-3</v>
      </c>
      <c r="I50" s="546">
        <f>VLOOKUP($A50,EFPMS!$A$1:$J$44,(IF($B50=2015,4,IF($B50=2016,5,IF($B50=2017,6,IF($B50=2018,7,IF($B50=2019,8,IF($B50=2020,9,0))))))),FALSE)</f>
        <v>3.1927098880034817E-2</v>
      </c>
      <c r="J50" s="536">
        <f t="shared" si="23"/>
        <v>2.8415118003230988E-2</v>
      </c>
      <c r="K50" s="549">
        <f>VLOOKUP($A50,EFCO2S!$A$1:$J$44,(IF($B50=2015,4,IF($B50=2016,5,IF($B50=2017,6,IF($B50=2018,7,IF($B50=2019,8,IF($B50=2020,9,0))))))),FALSE)</f>
        <v>254.23851177178003</v>
      </c>
      <c r="L50" s="546">
        <f>VLOOKUP($A50,EFCH4S!$A$1:$J$44,(IF($B50=2015,4,IF($B50=2016,5,IF($B50=2017,6,IF($B50=2018,7,IF($B50=2019,8,IF($B50=2020,9,0))))))),FALSE)</f>
        <v>1.1216977037398481E-2</v>
      </c>
      <c r="M50" s="540">
        <f t="shared" si="24"/>
        <v>8.9841747377670533E-2</v>
      </c>
      <c r="N50" s="135">
        <v>1</v>
      </c>
      <c r="O50" s="135">
        <v>4</v>
      </c>
      <c r="P50" s="109">
        <f>2*22</f>
        <v>44</v>
      </c>
      <c r="Q50" s="39">
        <f t="shared" si="25"/>
        <v>0.46309900118351266</v>
      </c>
      <c r="R50" s="29">
        <f t="shared" si="25"/>
        <v>1.9970827896385961</v>
      </c>
      <c r="S50" s="29">
        <f t="shared" si="25"/>
        <v>3.7828104159019169</v>
      </c>
      <c r="T50" s="29">
        <f t="shared" si="25"/>
        <v>9.9817337089456188E-3</v>
      </c>
      <c r="U50" s="29">
        <f t="shared" si="25"/>
        <v>0.12770839552013927</v>
      </c>
      <c r="V50" s="29">
        <f t="shared" si="25"/>
        <v>0.11366047201292395</v>
      </c>
      <c r="W50" s="29">
        <f t="shared" si="25"/>
        <v>1016.9540470871201</v>
      </c>
      <c r="X50" s="29">
        <f t="shared" si="25"/>
        <v>4.4867908149593926E-2</v>
      </c>
      <c r="Y50" s="29">
        <f t="shared" si="25"/>
        <v>0.35936698951068213</v>
      </c>
    </row>
    <row r="51" spans="1:32" s="3" customFormat="1" x14ac:dyDescent="0.25">
      <c r="A51" s="19" t="s">
        <v>38</v>
      </c>
      <c r="B51" s="34"/>
      <c r="C51" s="25"/>
      <c r="D51" s="25"/>
      <c r="E51" s="26"/>
      <c r="F51" s="26"/>
      <c r="G51" s="26"/>
      <c r="H51" s="26"/>
      <c r="I51" s="26"/>
      <c r="J51" s="27"/>
      <c r="K51" s="28"/>
      <c r="L51" s="26"/>
      <c r="M51" s="38"/>
      <c r="N51" s="135"/>
      <c r="O51" s="135"/>
      <c r="P51" s="136"/>
      <c r="Q51" s="138">
        <f>SUM(Q47:Q50)</f>
        <v>1.8434740301226062</v>
      </c>
      <c r="R51" s="138">
        <f t="shared" ref="R51:Y51" si="27">SUM(R47:R50)</f>
        <v>8.7627370906238991</v>
      </c>
      <c r="S51" s="138">
        <f t="shared" si="27"/>
        <v>14.630091546022896</v>
      </c>
      <c r="T51" s="138">
        <f t="shared" si="27"/>
        <v>3.5304423262073753E-2</v>
      </c>
      <c r="U51" s="138">
        <f t="shared" si="27"/>
        <v>0.62057883115335954</v>
      </c>
      <c r="V51" s="138">
        <f t="shared" si="27"/>
        <v>0.55231515972649015</v>
      </c>
      <c r="W51" s="138">
        <f t="shared" si="27"/>
        <v>3507.7240197626561</v>
      </c>
      <c r="X51" s="138">
        <f t="shared" si="27"/>
        <v>0.17927339519919691</v>
      </c>
      <c r="Y51" s="138">
        <f t="shared" si="27"/>
        <v>1.3898586968721751</v>
      </c>
    </row>
    <row r="52" spans="1:32" s="3" customFormat="1" x14ac:dyDescent="0.25">
      <c r="A52" s="27"/>
      <c r="B52" s="34"/>
      <c r="C52" s="25"/>
      <c r="D52" s="25"/>
      <c r="E52" s="26"/>
      <c r="F52" s="26"/>
      <c r="G52" s="26"/>
      <c r="H52" s="26"/>
      <c r="I52" s="26"/>
      <c r="J52" s="27"/>
      <c r="K52" s="28"/>
      <c r="L52" s="26"/>
      <c r="M52" s="38"/>
      <c r="N52" s="135"/>
      <c r="O52" s="135"/>
      <c r="P52" s="136"/>
      <c r="Q52" s="39"/>
      <c r="R52" s="29"/>
      <c r="S52" s="29"/>
      <c r="T52" s="29"/>
      <c r="U52" s="29"/>
      <c r="V52" s="29"/>
      <c r="W52" s="29"/>
      <c r="X52" s="29"/>
      <c r="Y52" s="29"/>
    </row>
    <row r="53" spans="1:32" s="3" customFormat="1" x14ac:dyDescent="0.25">
      <c r="A53" s="19" t="s">
        <v>250</v>
      </c>
      <c r="B53" s="34">
        <v>2016</v>
      </c>
      <c r="C53" s="25"/>
      <c r="D53" s="25"/>
      <c r="E53" s="26"/>
      <c r="F53" s="26"/>
      <c r="G53" s="26"/>
      <c r="H53" s="26"/>
      <c r="I53" s="26"/>
      <c r="J53" s="27"/>
      <c r="K53" s="28"/>
      <c r="L53" s="26"/>
      <c r="M53" s="38"/>
      <c r="N53" s="135"/>
      <c r="O53" s="135"/>
      <c r="P53" s="136"/>
      <c r="Q53" s="39"/>
      <c r="R53" s="29"/>
      <c r="S53" s="29"/>
      <c r="T53" s="29"/>
      <c r="U53" s="29"/>
      <c r="V53" s="29"/>
      <c r="W53" s="29"/>
      <c r="X53" s="29"/>
      <c r="Y53" s="29"/>
    </row>
    <row r="54" spans="1:32" s="3" customFormat="1" x14ac:dyDescent="0.25">
      <c r="A54" s="27" t="s">
        <v>205</v>
      </c>
      <c r="B54" s="34">
        <v>2016</v>
      </c>
      <c r="C54" s="25">
        <v>235</v>
      </c>
      <c r="D54" s="25">
        <v>0.38</v>
      </c>
      <c r="E54" s="140">
        <f>0.95*0.125152669724626+0.05*(IF($C54&lt;11,'Offroad Tiers EF'!$AN$4,IF($C54&lt;25,'Offroad Tiers EF'!$AN$5,IF($C54&lt;50,'Offroad Tiers EF'!$AN$6,IF($C54&lt;75,'Offroad Tiers EF'!$AN$7,IF($C54&lt;100,'Offroad Tiers EF'!$AN$8,IF($C54&lt;175,'Offroad Tiers EF'!$AN$9,IF($C54&lt;300,'Offroad Tiers EF'!$AN$10,IF($C54&lt;600,'Offroad Tiers EF'!$AN$11,"!"))))))))*$C54*$D54)</f>
        <v>0.12027312265814777</v>
      </c>
      <c r="F54" s="140">
        <f>0.95*0.370180451122999+0.05*(IF($C54&lt;11,'Offroad Tiers EF'!$AR$4,IF($C54&lt;25,'Offroad Tiers EF'!$AR$5,IF($C54&lt;50,'Offroad Tiers EF'!$AR$6,IF($C54&lt;75,'Offroad Tiers EF'!$AR$7,IF($C54&lt;100,'Offroad Tiers EF'!$AR$8,IF($C54&lt;175,'Offroad Tiers EF'!$AR$9,IF($C54&lt;300,'Offroad Tiers EF'!$AR$10,IF($C54&lt;600,'Offroad Tiers EF'!$AR$11,"!"))))))))*$C54*$D54)</f>
        <v>0.37726446207654923</v>
      </c>
      <c r="G54" s="140">
        <f>0.95*0.981776344527023+0.05*(IF($C54&lt;11,'Offroad Tiers EF'!$AP$4,IF($C54&lt;25,'Offroad Tiers EF'!$AP$5,IF($C54&lt;50,'Offroad Tiers EF'!$AP$6,IF($C54&lt;75,'Offroad Tiers EF'!$AP$7,IF($C54&lt;100,'Offroad Tiers EF'!$AP$8,IF($C54&lt;175,'Offroad Tiers EF'!$AP$9,IF($C54&lt;300,'Offroad Tiers EF'!$AP$10,IF($C54&lt;600,'Offroad Tiers EF'!$AP$11,"!"))))))))*$C54*$D54)</f>
        <v>0.94745273894088344</v>
      </c>
      <c r="H54" s="140">
        <v>1.8739213528134147E-3</v>
      </c>
      <c r="I54" s="140">
        <f>0.95*0.0327695641381026+0.05*(IF($C54&lt;11,'Offroad Tiers EF'!$AT$4,IF($C54&lt;25,'Offroad Tiers EF'!$AT$5,IF($C54&lt;50,'Offroad Tiers EF'!$AT$6,IF($C54&lt;75,'Offroad Tiers EF'!$AT$7,IF($C54&lt;100,'Offroad Tiers EF'!$AT$8,IF($C54&lt;175,'Offroad Tiers EF'!$AT$9,IF($C54&lt;300,'Offroad Tiers EF'!$AT$10,IF($C54&lt;600,'Offroad Tiers EF'!$AT$11,"!"))))))))*$C54*$D54)</f>
        <v>3.1278738047599584E-2</v>
      </c>
      <c r="J54" s="137">
        <f t="shared" ref="J54:J56" si="28">0.89*I54</f>
        <v>2.7838076862363632E-2</v>
      </c>
      <c r="K54" s="141">
        <v>166.54539483446186</v>
      </c>
      <c r="L54" s="140">
        <v>1.1292325418869483E-2</v>
      </c>
      <c r="M54" s="142">
        <f t="shared" ref="M54:M56" si="29">0.095*G54</f>
        <v>9.0008010199383925E-2</v>
      </c>
      <c r="N54" s="135">
        <v>1</v>
      </c>
      <c r="O54" s="135">
        <v>3</v>
      </c>
      <c r="P54" s="136">
        <v>22</v>
      </c>
      <c r="Q54" s="39">
        <f t="shared" ref="Q54:Y59" si="30">(E54*$N54*$O54)</f>
        <v>0.36081936797444331</v>
      </c>
      <c r="R54" s="29">
        <f t="shared" si="30"/>
        <v>1.1317933862296476</v>
      </c>
      <c r="S54" s="29">
        <f t="shared" si="30"/>
        <v>2.8423582168226504</v>
      </c>
      <c r="T54" s="29">
        <f t="shared" si="30"/>
        <v>5.6217640584402444E-3</v>
      </c>
      <c r="U54" s="29">
        <f t="shared" si="30"/>
        <v>9.3836214142798746E-2</v>
      </c>
      <c r="V54" s="29">
        <f t="shared" si="30"/>
        <v>8.3514230587090899E-2</v>
      </c>
      <c r="W54" s="29">
        <f t="shared" si="30"/>
        <v>499.63618450338561</v>
      </c>
      <c r="X54" s="29">
        <f t="shared" si="30"/>
        <v>3.3876976256608446E-2</v>
      </c>
      <c r="Y54" s="29">
        <f t="shared" si="30"/>
        <v>0.27002403059815178</v>
      </c>
    </row>
    <row r="55" spans="1:32" s="3" customFormat="1" x14ac:dyDescent="0.25">
      <c r="A55" s="27" t="s">
        <v>163</v>
      </c>
      <c r="B55" s="34">
        <v>2016</v>
      </c>
      <c r="C55" s="25">
        <v>75</v>
      </c>
      <c r="D55" s="25">
        <v>0.31</v>
      </c>
      <c r="E55" s="140">
        <f>0.95*0.046019057175505+0.05*(IF($C55&lt;11,'Offroad Tiers EF'!$AN$4,IF($C55&lt;25,'Offroad Tiers EF'!$AN$5,IF($C55&lt;50,'Offroad Tiers EF'!$AN$6,IF($C55&lt;75,'Offroad Tiers EF'!$AN$7,IF($C55&lt;100,'Offroad Tiers EF'!$AN$8,IF($C55&lt;175,'Offroad Tiers EF'!$AN$9,IF($C55&lt;300,'Offroad Tiers EF'!$AN$10,IF($C55&lt;600,'Offroad Tiers EF'!$AN$11,"!"))))))))*$C55*$D55)</f>
        <v>4.4076900613026042E-2</v>
      </c>
      <c r="F55" s="140">
        <f>0.95*0.237743324750006+0.05*(IF($C55&lt;11,'Offroad Tiers EF'!$AR$4,IF($C55&lt;25,'Offroad Tiers EF'!$AR$5,IF($C55&lt;50,'Offroad Tiers EF'!$AR$6,IF($C55&lt;75,'Offroad Tiers EF'!$AR$7,IF($C55&lt;100,'Offroad Tiers EF'!$AR$8,IF($C55&lt;175,'Offroad Tiers EF'!$AR$9,IF($C55&lt;300,'Offroad Tiers EF'!$AR$10,IF($C55&lt;600,'Offroad Tiers EF'!$AR$11,"!"))))))))*$C55*$D55)</f>
        <v>0.23533863205747926</v>
      </c>
      <c r="G55" s="140">
        <f>0.95*0.327196806475411+0.05*(IF($C55&lt;11,'Offroad Tiers EF'!$AP$4,IF($C55&lt;25,'Offroad Tiers EF'!$AP$5,IF($C55&lt;50,'Offroad Tiers EF'!$AP$6,IF($C55&lt;75,'Offroad Tiers EF'!$AP$7,IF($C55&lt;100,'Offroad Tiers EF'!$AP$8,IF($C55&lt;175,'Offroad Tiers EF'!$AP$9,IF($C55&lt;300,'Offroad Tiers EF'!$AP$10,IF($C55&lt;600,'Offroad Tiers EF'!$AP$11,"!"))))))))*$C55*$D55)</f>
        <v>0.31724404287121716</v>
      </c>
      <c r="H55" s="140">
        <v>4.4660189176329328E-4</v>
      </c>
      <c r="I55" s="140">
        <f>0.95*0.024563007972926+0.05*(IF($C55&lt;11,'Offroad Tiers EF'!$AT$4,IF($C55&lt;25,'Offroad Tiers EF'!$AT$5,IF($C55&lt;50,'Offroad Tiers EF'!$AT$6,IF($C55&lt;75,'Offroad Tiers EF'!$AT$7,IF($C55&lt;100,'Offroad Tiers EF'!$AT$8,IF($C55&lt;175,'Offroad Tiers EF'!$AT$9,IF($C55&lt;300,'Offroad Tiers EF'!$AT$10,IF($C55&lt;600,'Offroad Tiers EF'!$AT$11,"!"))))))))*$C55*$D55)</f>
        <v>2.3373300034597162E-2</v>
      </c>
      <c r="J55" s="137">
        <f t="shared" si="28"/>
        <v>2.0802237030791475E-2</v>
      </c>
      <c r="K55" s="141">
        <v>38.071821072900271</v>
      </c>
      <c r="L55" s="140">
        <v>4.1522265780973748E-3</v>
      </c>
      <c r="M55" s="142">
        <f t="shared" si="29"/>
        <v>3.0138184072765629E-2</v>
      </c>
      <c r="N55" s="108">
        <v>2</v>
      </c>
      <c r="O55" s="108">
        <v>6</v>
      </c>
      <c r="P55" s="136">
        <v>22</v>
      </c>
      <c r="Q55" s="39">
        <f t="shared" si="30"/>
        <v>0.52892280735631247</v>
      </c>
      <c r="R55" s="29">
        <f t="shared" si="30"/>
        <v>2.824063584689751</v>
      </c>
      <c r="S55" s="29">
        <f t="shared" si="30"/>
        <v>3.8069285144546061</v>
      </c>
      <c r="T55" s="29">
        <f t="shared" si="30"/>
        <v>5.3592227011595196E-3</v>
      </c>
      <c r="U55" s="29">
        <f t="shared" si="30"/>
        <v>0.28047960041516595</v>
      </c>
      <c r="V55" s="29">
        <f t="shared" si="30"/>
        <v>0.2496268443694977</v>
      </c>
      <c r="W55" s="29">
        <f t="shared" si="30"/>
        <v>456.86185287480328</v>
      </c>
      <c r="X55" s="29">
        <f t="shared" si="30"/>
        <v>4.9826718937168502E-2</v>
      </c>
      <c r="Y55" s="29">
        <f t="shared" si="30"/>
        <v>0.36165820887318756</v>
      </c>
    </row>
    <row r="56" spans="1:32" s="3" customFormat="1" x14ac:dyDescent="0.25">
      <c r="A56" s="27" t="s">
        <v>163</v>
      </c>
      <c r="B56" s="34">
        <v>2016</v>
      </c>
      <c r="C56" s="25">
        <v>75</v>
      </c>
      <c r="D56" s="25">
        <v>0.31</v>
      </c>
      <c r="E56" s="140">
        <f>0.95*0.046019057175505+0.05*(IF($C56&lt;11,'Offroad Tiers EF'!$AN$4,IF($C56&lt;25,'Offroad Tiers EF'!$AN$5,IF($C56&lt;50,'Offroad Tiers EF'!$AN$6,IF($C56&lt;75,'Offroad Tiers EF'!$AN$7,IF($C56&lt;100,'Offroad Tiers EF'!$AN$8,IF($C56&lt;175,'Offroad Tiers EF'!$AN$9,IF($C56&lt;300,'Offroad Tiers EF'!$AN$10,IF($C56&lt;600,'Offroad Tiers EF'!$AN$11,"!"))))))))*$C56*$D56)</f>
        <v>4.4076900613026042E-2</v>
      </c>
      <c r="F56" s="140">
        <f>0.95*0.237743324750006+0.05*(IF($C56&lt;11,'Offroad Tiers EF'!$AR$4,IF($C56&lt;25,'Offroad Tiers EF'!$AR$5,IF($C56&lt;50,'Offroad Tiers EF'!$AR$6,IF($C56&lt;75,'Offroad Tiers EF'!$AR$7,IF($C56&lt;100,'Offroad Tiers EF'!$AR$8,IF($C56&lt;175,'Offroad Tiers EF'!$AR$9,IF($C56&lt;300,'Offroad Tiers EF'!$AR$10,IF($C56&lt;600,'Offroad Tiers EF'!$AR$11,"!"))))))))*$C56*$D56)</f>
        <v>0.23533863205747926</v>
      </c>
      <c r="G56" s="140">
        <f>0.95*0.327196806475411+0.05*(IF($C56&lt;11,'Offroad Tiers EF'!$AP$4,IF($C56&lt;25,'Offroad Tiers EF'!$AP$5,IF($C56&lt;50,'Offroad Tiers EF'!$AP$6,IF($C56&lt;75,'Offroad Tiers EF'!$AP$7,IF($C56&lt;100,'Offroad Tiers EF'!$AP$8,IF($C56&lt;175,'Offroad Tiers EF'!$AP$9,IF($C56&lt;300,'Offroad Tiers EF'!$AP$10,IF($C56&lt;600,'Offroad Tiers EF'!$AP$11,"!"))))))))*$C56*$D56)</f>
        <v>0.31724404287121716</v>
      </c>
      <c r="H56" s="140">
        <v>4.4660189176329328E-4</v>
      </c>
      <c r="I56" s="140">
        <f>0.95*0.024563007972926+0.05*(IF($C56&lt;11,'Offroad Tiers EF'!$AT$4,IF($C56&lt;25,'Offroad Tiers EF'!$AT$5,IF($C56&lt;50,'Offroad Tiers EF'!$AT$6,IF($C56&lt;75,'Offroad Tiers EF'!$AT$7,IF($C56&lt;100,'Offroad Tiers EF'!$AT$8,IF($C56&lt;175,'Offroad Tiers EF'!$AT$9,IF($C56&lt;300,'Offroad Tiers EF'!$AT$10,IF($C56&lt;600,'Offroad Tiers EF'!$AT$11,"!"))))))))*$C56*$D56)</f>
        <v>2.3373300034597162E-2</v>
      </c>
      <c r="J56" s="137">
        <f t="shared" si="28"/>
        <v>2.0802237030791475E-2</v>
      </c>
      <c r="K56" s="141">
        <v>38.071821072900271</v>
      </c>
      <c r="L56" s="140">
        <v>4.1522265780973748E-3</v>
      </c>
      <c r="M56" s="142">
        <f t="shared" si="29"/>
        <v>3.0138184072765629E-2</v>
      </c>
      <c r="N56" s="108">
        <v>1</v>
      </c>
      <c r="O56" s="108">
        <v>4</v>
      </c>
      <c r="P56" s="136">
        <v>22</v>
      </c>
      <c r="Q56" s="39">
        <f t="shared" ref="Q56" si="31">(E56*$N56*$O56)</f>
        <v>0.17630760245210417</v>
      </c>
      <c r="R56" s="29">
        <f t="shared" ref="R56" si="32">(F56*$N56*$O56)</f>
        <v>0.94135452822991705</v>
      </c>
      <c r="S56" s="29">
        <f t="shared" ref="S56" si="33">(G56*$N56*$O56)</f>
        <v>1.2689761714848686</v>
      </c>
      <c r="T56" s="29">
        <f t="shared" ref="T56" si="34">(H56*$N56*$O56)</f>
        <v>1.7864075670531731E-3</v>
      </c>
      <c r="U56" s="29">
        <f t="shared" ref="U56" si="35">(I56*$N56*$O56)</f>
        <v>9.3493200138388646E-2</v>
      </c>
      <c r="V56" s="29">
        <f t="shared" ref="V56" si="36">(J56*$N56*$O56)</f>
        <v>8.3208948123165899E-2</v>
      </c>
      <c r="W56" s="29">
        <f t="shared" ref="W56" si="37">(K56*$N56*$O56)</f>
        <v>152.28728429160108</v>
      </c>
      <c r="X56" s="29">
        <f t="shared" ref="X56" si="38">(L56*$N56*$O56)</f>
        <v>1.6608906312389499E-2</v>
      </c>
      <c r="Y56" s="29">
        <f t="shared" ref="Y56" si="39">(M56*$N56*$O56)</f>
        <v>0.12055273629106251</v>
      </c>
    </row>
    <row r="57" spans="1:32" s="3" customFormat="1" x14ac:dyDescent="0.25">
      <c r="A57" s="27" t="s">
        <v>209</v>
      </c>
      <c r="B57" s="34">
        <v>2016</v>
      </c>
      <c r="C57" s="25">
        <v>25</v>
      </c>
      <c r="D57" s="25">
        <v>1</v>
      </c>
      <c r="E57" s="26">
        <v>1.5948887253296615E-2</v>
      </c>
      <c r="F57" s="26">
        <f>0.95*0.0544227796337584+0.05*(IF($C57&lt;11,'Offroad Tiers EF'!$AR$4,IF($C57&lt;25,'Offroad Tiers EF'!$AR$5,IF($C57&lt;50,'Offroad Tiers EF'!$AR$6,IF($C57&lt;75,'Offroad Tiers EF'!$AR$7,IF($C57&lt;100,'Offroad Tiers EF'!$AR$8,IF($C57&lt;175,'Offroad Tiers EF'!$AR$9,IF($C57&lt;300,'Offroad Tiers EF'!$AR$10,IF($C57&lt;600,'Offroad Tiers EF'!$AR$11,"!"))))))))*$C57*$D57)</f>
        <v>6.3000141533904694E-2</v>
      </c>
      <c r="G57" s="26">
        <f>0.95*0.100812267084971+0.05*(IF($C57&lt;11,'Offroad Tiers EF'!$AP$4,IF($C57&lt;25,'Offroad Tiers EF'!$AP$5,IF($C57&lt;50,'Offroad Tiers EF'!$AP$6,IF($C57&lt;75,'Offroad Tiers EF'!$AP$7,IF($C57&lt;100,'Offroad Tiers EF'!$AP$8,IF($C57&lt;175,'Offroad Tiers EF'!$AP$9,IF($C57&lt;300,'Offroad Tiers EF'!$AP$10,IF($C57&lt;600,'Offroad Tiers EF'!$AP$11,"!"))))))))*$C57*$D57)</f>
        <v>0.11120375249615454</v>
      </c>
      <c r="H57" s="26">
        <v>1.6770241908781297E-4</v>
      </c>
      <c r="I57" s="26">
        <f>0.95*0.00386316970600967+0.05*(IF($C57&lt;11,'Offroad Tiers EF'!$AT$4,IF($C57&lt;25,'Offroad Tiers EF'!$AT$5,IF($C57&lt;50,'Offroad Tiers EF'!$AT$6,IF($C57&lt;75,'Offroad Tiers EF'!$AT$7,IF($C57&lt;100,'Offroad Tiers EF'!$AT$8,IF($C57&lt;175,'Offroad Tiers EF'!$AT$9,IF($C57&lt;300,'Offroad Tiers EF'!$AT$10,IF($C57&lt;600,'Offroad Tiers EF'!$AT$11,"!"))))))))*$C57*$D57)</f>
        <v>4.2762722436368757E-3</v>
      </c>
      <c r="J57" s="137">
        <f t="shared" ref="J57:J59" si="40">0.89*I57</f>
        <v>3.8058822968368195E-3</v>
      </c>
      <c r="K57" s="28">
        <v>13.217293885230841</v>
      </c>
      <c r="L57" s="26">
        <v>1.4390426214159915E-3</v>
      </c>
      <c r="M57" s="140">
        <f t="shared" ref="M57:M59" si="41">0.095*G57</f>
        <v>1.0564356487134682E-2</v>
      </c>
      <c r="N57" s="135">
        <v>1</v>
      </c>
      <c r="O57" s="135">
        <v>4</v>
      </c>
      <c r="P57" s="136">
        <v>22</v>
      </c>
      <c r="Q57" s="39">
        <f t="shared" si="30"/>
        <v>6.3795549013186459E-2</v>
      </c>
      <c r="R57" s="29">
        <f t="shared" si="30"/>
        <v>0.25200056613561878</v>
      </c>
      <c r="S57" s="29">
        <f t="shared" si="30"/>
        <v>0.44481500998461815</v>
      </c>
      <c r="T57" s="29">
        <f t="shared" si="30"/>
        <v>6.7080967635125188E-4</v>
      </c>
      <c r="U57" s="29">
        <f t="shared" si="30"/>
        <v>1.7105088974547503E-2</v>
      </c>
      <c r="V57" s="29">
        <f t="shared" si="30"/>
        <v>1.5223529187347278E-2</v>
      </c>
      <c r="W57" s="29">
        <f t="shared" si="30"/>
        <v>52.869175540923365</v>
      </c>
      <c r="X57" s="29">
        <f t="shared" si="30"/>
        <v>5.7561704856639662E-3</v>
      </c>
      <c r="Y57" s="29">
        <f t="shared" si="30"/>
        <v>4.2257425948538728E-2</v>
      </c>
    </row>
    <row r="58" spans="1:32" s="3" customFormat="1" x14ac:dyDescent="0.25">
      <c r="A58" s="37" t="s">
        <v>61</v>
      </c>
      <c r="B58" s="34">
        <v>2016</v>
      </c>
      <c r="C58" s="25">
        <v>235</v>
      </c>
      <c r="D58" s="25">
        <v>0.38</v>
      </c>
      <c r="E58" s="140">
        <f>0.95*0.125152669724626+0.05*(IF($C58&lt;11,'Offroad Tiers EF'!$AN$4,IF($C58&lt;25,'Offroad Tiers EF'!$AN$5,IF($C58&lt;50,'Offroad Tiers EF'!$AN$6,IF($C58&lt;75,'Offroad Tiers EF'!$AN$7,IF($C58&lt;100,'Offroad Tiers EF'!$AN$8,IF($C58&lt;175,'Offroad Tiers EF'!$AN$9,IF($C58&lt;300,'Offroad Tiers EF'!$AN$10,IF($C58&lt;600,'Offroad Tiers EF'!$AN$11,"!"))))))))*$C58*$D58)</f>
        <v>0.12027312265814777</v>
      </c>
      <c r="F58" s="140">
        <f>0.95*0.370180451122999+0.05*(IF($C58&lt;11,'Offroad Tiers EF'!$AR$4,IF($C58&lt;25,'Offroad Tiers EF'!$AR$5,IF($C58&lt;50,'Offroad Tiers EF'!$AR$6,IF($C58&lt;75,'Offroad Tiers EF'!$AR$7,IF($C58&lt;100,'Offroad Tiers EF'!$AR$8,IF($C58&lt;175,'Offroad Tiers EF'!$AR$9,IF($C58&lt;300,'Offroad Tiers EF'!$AR$10,IF($C58&lt;600,'Offroad Tiers EF'!$AR$11,"!"))))))))*$C58*$D58)</f>
        <v>0.37726446207654923</v>
      </c>
      <c r="G58" s="140">
        <f>0.95*0.981776344527023+0.05*(IF($C58&lt;11,'Offroad Tiers EF'!$AP$4,IF($C58&lt;25,'Offroad Tiers EF'!$AP$5,IF($C58&lt;50,'Offroad Tiers EF'!$AP$6,IF($C58&lt;75,'Offroad Tiers EF'!$AP$7,IF($C58&lt;100,'Offroad Tiers EF'!$AP$8,IF($C58&lt;175,'Offroad Tiers EF'!$AP$9,IF($C58&lt;300,'Offroad Tiers EF'!$AP$10,IF($C58&lt;600,'Offroad Tiers EF'!$AP$11,"!"))))))))*$C58*$D58)</f>
        <v>0.94745273894088344</v>
      </c>
      <c r="H58" s="140">
        <v>1.8739213528134147E-3</v>
      </c>
      <c r="I58" s="140">
        <f>0.95*0.0327695641381026+0.05*(IF($C58&lt;11,'Offroad Tiers EF'!$AT$4,IF($C58&lt;25,'Offroad Tiers EF'!$AT$5,IF($C58&lt;50,'Offroad Tiers EF'!$AT$6,IF($C58&lt;75,'Offroad Tiers EF'!$AT$7,IF($C58&lt;100,'Offroad Tiers EF'!$AT$8,IF($C58&lt;175,'Offroad Tiers EF'!$AT$9,IF($C58&lt;300,'Offroad Tiers EF'!$AT$10,IF($C58&lt;600,'Offroad Tiers EF'!$AT$11,"!"))))))))*$C58*$D58)</f>
        <v>3.1278738047599584E-2</v>
      </c>
      <c r="J58" s="137">
        <f t="shared" si="40"/>
        <v>2.7838076862363632E-2</v>
      </c>
      <c r="K58" s="141">
        <v>166.54539483446186</v>
      </c>
      <c r="L58" s="140">
        <v>1.1292325418869483E-2</v>
      </c>
      <c r="M58" s="142">
        <f t="shared" si="41"/>
        <v>9.0008010199383925E-2</v>
      </c>
      <c r="N58" s="108">
        <v>1</v>
      </c>
      <c r="O58" s="108">
        <v>3</v>
      </c>
      <c r="P58" s="109">
        <v>22</v>
      </c>
      <c r="Q58" s="39">
        <f t="shared" si="30"/>
        <v>0.36081936797444331</v>
      </c>
      <c r="R58" s="29">
        <f t="shared" si="30"/>
        <v>1.1317933862296476</v>
      </c>
      <c r="S58" s="29">
        <f t="shared" si="30"/>
        <v>2.8423582168226504</v>
      </c>
      <c r="T58" s="29">
        <f t="shared" si="30"/>
        <v>5.6217640584402444E-3</v>
      </c>
      <c r="U58" s="29">
        <f t="shared" si="30"/>
        <v>9.3836214142798746E-2</v>
      </c>
      <c r="V58" s="29">
        <f t="shared" si="30"/>
        <v>8.3514230587090899E-2</v>
      </c>
      <c r="W58" s="29">
        <f t="shared" si="30"/>
        <v>499.63618450338561</v>
      </c>
      <c r="X58" s="29">
        <f t="shared" si="30"/>
        <v>3.3876976256608446E-2</v>
      </c>
      <c r="Y58" s="29">
        <f t="shared" si="30"/>
        <v>0.27002403059815178</v>
      </c>
    </row>
    <row r="59" spans="1:32" s="3" customFormat="1" x14ac:dyDescent="0.25">
      <c r="A59" s="27" t="s">
        <v>202</v>
      </c>
      <c r="B59" s="34">
        <v>2016</v>
      </c>
      <c r="C59" s="25">
        <v>399</v>
      </c>
      <c r="D59" s="25">
        <v>0.28999999999999998</v>
      </c>
      <c r="E59" s="151">
        <f>0.95*0.139274977415703+0.05*(IF($C59&lt;11,'Offroad Tiers EF'!$AN$4,IF($C59&lt;25,'Offroad Tiers EF'!$AN$5,IF($C59&lt;50,'Offroad Tiers EF'!$AN$6,IF($C59&lt;75,'Offroad Tiers EF'!$AN$7,IF($C59&lt;100,'Offroad Tiers EF'!$AN$8,IF($C59&lt;175,'Offroad Tiers EF'!$AN$9,IF($C59&lt;300,'Offroad Tiers EF'!$AN$10,IF($C59&lt;600,'Offroad Tiers EF'!$AN$11,"!"))))))))*$C59*$D59)</f>
        <v>0.134096876693066</v>
      </c>
      <c r="F59" s="151">
        <f>0.95*0.466292120233414+0.05*(IF($C59&lt;11,'Offroad Tiers EF'!$AR$4,IF($C59&lt;25,'Offroad Tiers EF'!$AR$5,IF($C59&lt;50,'Offroad Tiers EF'!$AR$6,IF($C59&lt;75,'Offroad Tiers EF'!$AR$7,IF($C59&lt;100,'Offroad Tiers EF'!$AR$8,IF($C59&lt;175,'Offroad Tiers EF'!$AR$9,IF($C59&lt;300,'Offroad Tiers EF'!$AR$10,IF($C59&lt;600,'Offroad Tiers EF'!$AR$11,"!"))))))))*$C59*$D59)</f>
        <v>0.47613955125878027</v>
      </c>
      <c r="G59" s="151">
        <f>0.95*1.18121433702999+0.05*(IF($C59&lt;11,'Offroad Tiers EF'!$AP$4,IF($C59&lt;25,'Offroad Tiers EF'!$AP$5,IF($C59&lt;50,'Offroad Tiers EF'!$AP$6,IF($C59&lt;75,'Offroad Tiers EF'!$AP$7,IF($C59&lt;100,'Offroad Tiers EF'!$AP$8,IF($C59&lt;175,'Offroad Tiers EF'!$AP$9,IF($C59&lt;300,'Offroad Tiers EF'!$AP$10,IF($C59&lt;600,'Offroad Tiers EF'!$AP$11,"!"))))))))*$C59*$D59)</f>
        <v>1.1412855646229347</v>
      </c>
      <c r="H59" s="151">
        <v>1.7677534033125378E-3</v>
      </c>
      <c r="I59" s="151">
        <f>0.95*0.0426340246774991+0.05*(IF($C59&lt;11,'Offroad Tiers EF'!$AT$4,IF($C59&lt;25,'Offroad Tiers EF'!$AT$5,IF($C59&lt;50,'Offroad Tiers EF'!$AT$6,IF($C59&lt;75,'Offroad Tiers EF'!$AT$7,IF($C59&lt;100,'Offroad Tiers EF'!$AT$8,IF($C59&lt;175,'Offroad Tiers EF'!$AT$9,IF($C59&lt;300,'Offroad Tiers EF'!$AT$10,IF($C59&lt;600,'Offroad Tiers EF'!$AT$11,"!"))))))))*$C59*$D59)</f>
        <v>4.0693642888068586E-2</v>
      </c>
      <c r="J59" s="137">
        <f t="shared" si="40"/>
        <v>3.6217342170381042E-2</v>
      </c>
      <c r="K59" s="141">
        <v>180.10128501905464</v>
      </c>
      <c r="L59" s="140">
        <v>1.256655716560515E-2</v>
      </c>
      <c r="M59" s="142">
        <f t="shared" si="41"/>
        <v>0.1084221286391788</v>
      </c>
      <c r="N59" s="108">
        <v>1</v>
      </c>
      <c r="O59" s="108">
        <v>4</v>
      </c>
      <c r="P59" s="136">
        <v>6</v>
      </c>
      <c r="Q59" s="39">
        <f t="shared" si="30"/>
        <v>0.53638750677226399</v>
      </c>
      <c r="R59" s="29">
        <f t="shared" si="30"/>
        <v>1.9045582050351211</v>
      </c>
      <c r="S59" s="29">
        <f t="shared" si="30"/>
        <v>4.5651422584917389</v>
      </c>
      <c r="T59" s="29">
        <f t="shared" si="30"/>
        <v>7.0710136132501513E-3</v>
      </c>
      <c r="U59" s="29">
        <f t="shared" si="30"/>
        <v>0.16277457155227434</v>
      </c>
      <c r="V59" s="29">
        <f t="shared" si="30"/>
        <v>0.14486936868152417</v>
      </c>
      <c r="W59" s="29">
        <f t="shared" si="30"/>
        <v>720.40514007621857</v>
      </c>
      <c r="X59" s="29">
        <f t="shared" si="30"/>
        <v>5.0266228662420601E-2</v>
      </c>
      <c r="Y59" s="29">
        <f t="shared" si="30"/>
        <v>0.4336885145567152</v>
      </c>
    </row>
    <row r="60" spans="1:32" s="3" customFormat="1" x14ac:dyDescent="0.25">
      <c r="A60" s="35" t="s">
        <v>38</v>
      </c>
      <c r="B60" s="181"/>
      <c r="C60" s="182"/>
      <c r="D60" s="179"/>
      <c r="E60" s="183"/>
      <c r="F60" s="183"/>
      <c r="G60" s="183"/>
      <c r="H60" s="183"/>
      <c r="I60" s="183"/>
      <c r="J60" s="162"/>
      <c r="K60" s="184"/>
      <c r="L60" s="183"/>
      <c r="M60" s="185"/>
      <c r="N60" s="135"/>
      <c r="O60" s="135"/>
      <c r="P60" s="136"/>
      <c r="Q60" s="186">
        <f>SUM(Q54:Q59)</f>
        <v>2.0270522015427539</v>
      </c>
      <c r="R60" s="186">
        <f t="shared" ref="R60:Y60" si="42">SUM(R54:R59)</f>
        <v>8.1855636565497036</v>
      </c>
      <c r="S60" s="186">
        <f t="shared" si="42"/>
        <v>15.770578388061132</v>
      </c>
      <c r="T60" s="186">
        <f t="shared" si="42"/>
        <v>2.6130981674694582E-2</v>
      </c>
      <c r="U60" s="186">
        <f t="shared" si="42"/>
        <v>0.74152488936597394</v>
      </c>
      <c r="V60" s="186">
        <f t="shared" si="42"/>
        <v>0.65995715153571677</v>
      </c>
      <c r="W60" s="186">
        <f t="shared" si="42"/>
        <v>2381.6958217903175</v>
      </c>
      <c r="X60" s="186">
        <f t="shared" si="42"/>
        <v>0.19021197691085945</v>
      </c>
      <c r="Y60" s="186">
        <f t="shared" si="42"/>
        <v>1.4982049468658074</v>
      </c>
    </row>
    <row r="61" spans="1:32" s="6" customFormat="1" x14ac:dyDescent="0.25">
      <c r="A61" s="187" t="s">
        <v>631</v>
      </c>
      <c r="B61" s="134"/>
      <c r="C61" s="25"/>
      <c r="D61" s="25"/>
      <c r="E61" s="26"/>
      <c r="F61" s="26"/>
      <c r="G61" s="26"/>
      <c r="H61" s="26"/>
      <c r="I61" s="26"/>
      <c r="J61" s="27"/>
      <c r="K61" s="28"/>
      <c r="L61" s="26"/>
      <c r="M61" s="26"/>
      <c r="N61" s="109"/>
      <c r="O61" s="109"/>
      <c r="P61" s="109"/>
      <c r="Q61" s="22">
        <f>Q44+Q51+Q60</f>
        <v>6.8436794197949204</v>
      </c>
      <c r="R61" s="22">
        <f t="shared" ref="R61:Y61" si="43">R44+R51+R60</f>
        <v>29.854367680956244</v>
      </c>
      <c r="S61" s="22">
        <f t="shared" si="43"/>
        <v>46.929714085594966</v>
      </c>
      <c r="T61" s="22">
        <f t="shared" si="43"/>
        <v>9.0057616533358142E-2</v>
      </c>
      <c r="U61" s="22">
        <f t="shared" si="43"/>
        <v>2.2861979102758232</v>
      </c>
      <c r="V61" s="22">
        <f t="shared" si="43"/>
        <v>2.0347161401454827</v>
      </c>
      <c r="W61" s="22">
        <f t="shared" si="43"/>
        <v>8419.6660475703666</v>
      </c>
      <c r="X61" s="22">
        <f t="shared" si="43"/>
        <v>0.66386674984195604</v>
      </c>
      <c r="Y61" s="22">
        <f t="shared" si="43"/>
        <v>4.4583228381315214</v>
      </c>
      <c r="AF61" s="7"/>
    </row>
    <row r="62" spans="1:32" s="6" customFormat="1" x14ac:dyDescent="0.25">
      <c r="A62"/>
      <c r="B62" s="1"/>
      <c r="C62" s="1"/>
      <c r="D62" s="1"/>
      <c r="E62" s="623" t="s">
        <v>2</v>
      </c>
      <c r="F62" s="623"/>
      <c r="G62" s="623"/>
      <c r="H62" s="623"/>
      <c r="I62" s="623"/>
      <c r="J62" s="623"/>
      <c r="K62" s="623"/>
      <c r="L62" s="623"/>
      <c r="M62"/>
      <c r="N62" s="3"/>
      <c r="O62"/>
      <c r="P62"/>
      <c r="Q62" s="4"/>
      <c r="R62" s="4"/>
      <c r="S62" s="4"/>
      <c r="T62" s="4"/>
      <c r="U62" s="4"/>
      <c r="V62" s="4"/>
      <c r="W62" s="5"/>
      <c r="X62" s="4"/>
      <c r="Y62" s="4"/>
      <c r="AF62" s="7"/>
    </row>
    <row r="63" spans="1:32" s="6" customFormat="1" ht="39.6" x14ac:dyDescent="0.25">
      <c r="A63" s="12" t="s">
        <v>131</v>
      </c>
      <c r="B63" s="13" t="s">
        <v>3</v>
      </c>
      <c r="C63" s="13" t="s">
        <v>4</v>
      </c>
      <c r="D63" s="1"/>
      <c r="E63" s="18" t="s">
        <v>27</v>
      </c>
      <c r="F63" s="18" t="s">
        <v>28</v>
      </c>
      <c r="G63" s="18" t="s">
        <v>29</v>
      </c>
      <c r="H63" s="18" t="s">
        <v>30</v>
      </c>
      <c r="I63" s="18" t="s">
        <v>31</v>
      </c>
      <c r="J63" s="18" t="s">
        <v>32</v>
      </c>
      <c r="K63" s="17" t="s">
        <v>33</v>
      </c>
      <c r="L63" s="18" t="s">
        <v>34</v>
      </c>
      <c r="M63" s="18" t="s">
        <v>35</v>
      </c>
      <c r="N63" s="3"/>
      <c r="O63"/>
      <c r="P63"/>
      <c r="Q63" s="4"/>
      <c r="R63" s="4"/>
      <c r="S63" s="4"/>
      <c r="T63" s="4"/>
      <c r="U63" s="4"/>
      <c r="V63" s="4"/>
      <c r="W63" s="5"/>
      <c r="X63" s="4"/>
      <c r="Y63" s="4"/>
      <c r="AF63" s="7"/>
    </row>
    <row r="64" spans="1:32" s="3" customFormat="1" x14ac:dyDescent="0.25">
      <c r="A64" s="12" t="str">
        <f t="shared" ref="A64:A70" si="44">A7</f>
        <v>Trans: Capistrano Substation Getaways - Site Development</v>
      </c>
      <c r="B64" s="36"/>
      <c r="C64" s="20"/>
      <c r="D64" s="1"/>
      <c r="E64" s="30"/>
      <c r="F64" s="30"/>
      <c r="G64" s="30"/>
      <c r="H64" s="30"/>
      <c r="I64" s="30"/>
      <c r="J64" s="30"/>
      <c r="K64" s="30"/>
      <c r="L64" s="30"/>
      <c r="M64" s="30"/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37" t="str">
        <f t="shared" si="44"/>
        <v>Bulldozer</v>
      </c>
      <c r="B65" s="36"/>
      <c r="C65" s="20"/>
      <c r="D65" s="1"/>
      <c r="E65" s="30">
        <f t="shared" ref="E65:M70" si="45">(Q8*$P8)/2000</f>
        <v>9.2617869910108681E-3</v>
      </c>
      <c r="F65" s="30">
        <f t="shared" si="45"/>
        <v>4.0374564049077154E-2</v>
      </c>
      <c r="G65" s="30">
        <f t="shared" si="45"/>
        <v>7.584943460042344E-2</v>
      </c>
      <c r="H65" s="30">
        <f t="shared" si="45"/>
        <v>8.5793738068147028E-5</v>
      </c>
      <c r="I65" s="30">
        <f t="shared" si="45"/>
        <v>3.0961927972900771E-3</v>
      </c>
      <c r="J65" s="30">
        <f t="shared" si="45"/>
        <v>2.755611589588168E-3</v>
      </c>
      <c r="K65" s="30">
        <f t="shared" si="45"/>
        <v>8.7407946011799034</v>
      </c>
      <c r="L65" s="30">
        <f t="shared" si="45"/>
        <v>8.7288777653328367E-4</v>
      </c>
      <c r="M65" s="30">
        <f t="shared" si="45"/>
        <v>7.2056962870402268E-3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37" t="str">
        <f t="shared" si="44"/>
        <v>Compactor</v>
      </c>
      <c r="B66" s="36"/>
      <c r="C66" s="20"/>
      <c r="D66" s="1"/>
      <c r="E66" s="30">
        <f t="shared" si="45"/>
        <v>9.3802369734622571E-3</v>
      </c>
      <c r="F66" s="30">
        <f t="shared" si="45"/>
        <v>3.2283961137758888E-2</v>
      </c>
      <c r="G66" s="30">
        <f t="shared" si="45"/>
        <v>9.2906147930667468E-2</v>
      </c>
      <c r="H66" s="30">
        <f t="shared" si="45"/>
        <v>1.5158206790276952E-4</v>
      </c>
      <c r="I66" s="30">
        <f t="shared" si="45"/>
        <v>3.0916108278825011E-3</v>
      </c>
      <c r="J66" s="30">
        <f t="shared" si="45"/>
        <v>2.7515336368154259E-3</v>
      </c>
      <c r="K66" s="30">
        <f t="shared" si="45"/>
        <v>13.471901143959359</v>
      </c>
      <c r="L66" s="30">
        <f t="shared" si="45"/>
        <v>8.7865603770121803E-4</v>
      </c>
      <c r="M66" s="30">
        <f t="shared" si="45"/>
        <v>8.8260840534134105E-3</v>
      </c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37" t="str">
        <f t="shared" si="44"/>
        <v>Loader</v>
      </c>
      <c r="B67" s="36"/>
      <c r="C67" s="20"/>
      <c r="D67" s="1"/>
      <c r="E67" s="30">
        <f t="shared" si="45"/>
        <v>1.8896810086504005E-2</v>
      </c>
      <c r="F67" s="30">
        <f t="shared" si="45"/>
        <v>6.1212079272448768E-2</v>
      </c>
      <c r="G67" s="30">
        <f t="shared" si="45"/>
        <v>0.1674606200815297</v>
      </c>
      <c r="H67" s="30">
        <f t="shared" si="45"/>
        <v>2.9501878972221939E-4</v>
      </c>
      <c r="I67" s="30">
        <f t="shared" si="45"/>
        <v>5.6532137289478177E-3</v>
      </c>
      <c r="J67" s="30">
        <f t="shared" si="45"/>
        <v>5.031360218763558E-3</v>
      </c>
      <c r="K67" s="30">
        <f t="shared" si="45"/>
        <v>26.219889438324024</v>
      </c>
      <c r="L67" s="30">
        <f t="shared" si="45"/>
        <v>1.7761939548080401E-3</v>
      </c>
      <c r="M67" s="30">
        <f t="shared" si="45"/>
        <v>1.5908758907745318E-2</v>
      </c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37" t="str">
        <f t="shared" si="44"/>
        <v>CAT 416 Rubber Tire Backhoe</v>
      </c>
      <c r="B68" s="36"/>
      <c r="C68" s="20"/>
      <c r="D68" s="1"/>
      <c r="E68" s="30">
        <f t="shared" si="45"/>
        <v>1.4045061330529983E-2</v>
      </c>
      <c r="F68" s="30">
        <f t="shared" si="45"/>
        <v>7.0577306257824476E-2</v>
      </c>
      <c r="G68" s="30">
        <f t="shared" si="45"/>
        <v>8.8865754208156969E-2</v>
      </c>
      <c r="H68" s="30">
        <f t="shared" si="45"/>
        <v>1.2163108779866726E-4</v>
      </c>
      <c r="I68" s="30">
        <f t="shared" si="45"/>
        <v>7.2081183650024618E-3</v>
      </c>
      <c r="J68" s="30">
        <f t="shared" si="45"/>
        <v>6.415225344852192E-3</v>
      </c>
      <c r="K68" s="30">
        <f t="shared" si="45"/>
        <v>10.368778114688778</v>
      </c>
      <c r="L68" s="30">
        <f t="shared" si="45"/>
        <v>1.3260676332604757E-3</v>
      </c>
      <c r="M68" s="30">
        <f t="shared" si="45"/>
        <v>8.4422466497749114E-3</v>
      </c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44"/>
        <v>Water Truck</v>
      </c>
      <c r="B69" s="36"/>
      <c r="C69" s="20"/>
      <c r="D69" s="1"/>
      <c r="E69" s="30">
        <f t="shared" si="45"/>
        <v>2.6382679577385191E-2</v>
      </c>
      <c r="F69" s="30">
        <f t="shared" si="45"/>
        <v>8.1560615519274696E-2</v>
      </c>
      <c r="G69" s="30">
        <f t="shared" si="45"/>
        <v>0.20761023748762925</v>
      </c>
      <c r="H69" s="30">
        <f t="shared" si="45"/>
        <v>4.1226269761895131E-4</v>
      </c>
      <c r="I69" s="30">
        <f t="shared" si="45"/>
        <v>6.8730287196782473E-3</v>
      </c>
      <c r="J69" s="30">
        <f t="shared" si="45"/>
        <v>6.1169955605136408E-3</v>
      </c>
      <c r="K69" s="30">
        <f t="shared" si="45"/>
        <v>36.639986863581612</v>
      </c>
      <c r="L69" s="30">
        <f t="shared" si="45"/>
        <v>2.4843115921512867E-3</v>
      </c>
      <c r="M69" s="30">
        <f t="shared" si="45"/>
        <v>1.9722972561324777E-2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44"/>
        <v>Dump/Haul Truck</v>
      </c>
      <c r="B70" s="36"/>
      <c r="C70" s="20"/>
      <c r="D70" s="1"/>
      <c r="E70" s="30">
        <f t="shared" si="45"/>
        <v>1.5876052190875557E-2</v>
      </c>
      <c r="F70" s="30">
        <f t="shared" si="45"/>
        <v>4.9798908994104489E-2</v>
      </c>
      <c r="G70" s="30">
        <f t="shared" si="45"/>
        <v>0.12506376154019658</v>
      </c>
      <c r="H70" s="30">
        <f t="shared" si="45"/>
        <v>2.4735761857137074E-4</v>
      </c>
      <c r="I70" s="30">
        <f t="shared" si="45"/>
        <v>4.1287934222831394E-3</v>
      </c>
      <c r="J70" s="30">
        <f t="shared" si="45"/>
        <v>3.6746261458319935E-3</v>
      </c>
      <c r="K70" s="30">
        <f t="shared" si="45"/>
        <v>21.983992118148965</v>
      </c>
      <c r="L70" s="30">
        <f t="shared" si="45"/>
        <v>1.4905869552907715E-3</v>
      </c>
      <c r="M70" s="30">
        <f t="shared" si="45"/>
        <v>1.1881057346318676E-2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2" t="str">
        <f t="shared" ref="A71" si="46">A14</f>
        <v>Subtotal</v>
      </c>
      <c r="B71" s="36"/>
      <c r="C71" s="20"/>
      <c r="D71" s="1"/>
      <c r="E71" s="24">
        <f t="shared" ref="E71:M71" si="47">SUM(E65:E70)</f>
        <v>9.3842627149767863E-2</v>
      </c>
      <c r="F71" s="24">
        <f t="shared" si="47"/>
        <v>0.33580743523048845</v>
      </c>
      <c r="G71" s="24">
        <f t="shared" si="47"/>
        <v>0.75775595584860345</v>
      </c>
      <c r="H71" s="24">
        <f t="shared" si="47"/>
        <v>1.3136459996821253E-3</v>
      </c>
      <c r="I71" s="24">
        <f t="shared" si="47"/>
        <v>3.0050957861084242E-2</v>
      </c>
      <c r="J71" s="24">
        <f t="shared" si="47"/>
        <v>2.6745352496364977E-2</v>
      </c>
      <c r="K71" s="24">
        <f t="shared" si="47"/>
        <v>117.42534227988264</v>
      </c>
      <c r="L71" s="24">
        <f t="shared" si="47"/>
        <v>8.8287039497450762E-3</v>
      </c>
      <c r="M71" s="24">
        <f t="shared" si="47"/>
        <v>7.1986815805617319E-2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37"/>
      <c r="B72" s="36"/>
      <c r="C72" s="20"/>
      <c r="D72" s="1"/>
      <c r="E72" s="30"/>
      <c r="F72" s="30"/>
      <c r="G72" s="30"/>
      <c r="H72" s="30"/>
      <c r="I72" s="30"/>
      <c r="J72" s="30"/>
      <c r="K72" s="30"/>
      <c r="L72" s="30"/>
      <c r="M72" s="30"/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tr">
        <f t="shared" ref="A73:A78" si="48">A16</f>
        <v>Trans: Capistrano Substation Getaways - Bore Pits</v>
      </c>
      <c r="B73" s="36"/>
      <c r="C73" s="20"/>
      <c r="D73" s="1"/>
      <c r="E73" s="30"/>
      <c r="F73" s="30"/>
      <c r="G73" s="30"/>
      <c r="H73" s="30"/>
      <c r="I73" s="30"/>
      <c r="J73" s="30"/>
      <c r="K73" s="30"/>
      <c r="L73" s="30"/>
      <c r="M73" s="30"/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37" t="str">
        <f t="shared" si="48"/>
        <v>Excavator</v>
      </c>
      <c r="B74" s="36"/>
      <c r="C74" s="20"/>
      <c r="D74" s="1"/>
      <c r="E74" s="30">
        <f t="shared" ref="E74:E76" si="49">(Q17*$P17)/2000</f>
        <v>1.0003140530781334E-2</v>
      </c>
      <c r="F74" s="30">
        <f t="shared" ref="F74:F76" si="50">(R17*$P17)/2000</f>
        <v>3.3283506536393545E-2</v>
      </c>
      <c r="G74" s="30">
        <f t="shared" ref="G74:G76" si="51">(S17*$P17)/2000</f>
        <v>7.4096780391464473E-2</v>
      </c>
      <c r="H74" s="30">
        <f t="shared" ref="H74:H76" si="52">(T17*$P17)/2000</f>
        <v>1.5141648084436219E-4</v>
      </c>
      <c r="I74" s="30">
        <f t="shared" ref="I74:I76" si="53">(U17*$P17)/2000</f>
        <v>2.6038339078733623E-3</v>
      </c>
      <c r="J74" s="30">
        <f t="shared" ref="J74:J76" si="54">(V17*$P17)/2000</f>
        <v>2.3174121780072921E-3</v>
      </c>
      <c r="K74" s="30">
        <f t="shared" ref="K74:K76" si="55">(W17*$P17)/2000</f>
        <v>15.426531758025838</v>
      </c>
      <c r="L74" s="30">
        <f t="shared" ref="L74:L76" si="56">(X17*$P17)/2000</f>
        <v>9.3904294803974411E-4</v>
      </c>
      <c r="M74" s="30">
        <f t="shared" ref="M74:M76" si="57">(Y17*$P17)/2000</f>
        <v>7.039194137189125E-3</v>
      </c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37" t="str">
        <f t="shared" si="48"/>
        <v>Crane</v>
      </c>
      <c r="B75" s="36"/>
      <c r="C75" s="20"/>
      <c r="D75" s="1"/>
      <c r="E75" s="30">
        <f t="shared" si="49"/>
        <v>4.4251969308711668E-3</v>
      </c>
      <c r="F75" s="30">
        <f t="shared" si="50"/>
        <v>1.571260519153974E-2</v>
      </c>
      <c r="G75" s="30">
        <f t="shared" si="51"/>
        <v>3.7662423632556771E-2</v>
      </c>
      <c r="H75" s="30">
        <f t="shared" si="52"/>
        <v>5.8335862309313746E-5</v>
      </c>
      <c r="I75" s="30">
        <f t="shared" si="53"/>
        <v>1.3428902153062633E-3</v>
      </c>
      <c r="J75" s="30">
        <f t="shared" si="54"/>
        <v>1.1951722916225744E-3</v>
      </c>
      <c r="K75" s="30">
        <f t="shared" si="55"/>
        <v>5.9433424056288029</v>
      </c>
      <c r="L75" s="30">
        <f t="shared" si="56"/>
        <v>4.1469638646496999E-4</v>
      </c>
      <c r="M75" s="30">
        <f t="shared" si="57"/>
        <v>3.5779302450928935E-3</v>
      </c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37" t="str">
        <f t="shared" si="48"/>
        <v>Jack-n-Bore Machine</v>
      </c>
      <c r="B76" s="36"/>
      <c r="C76" s="20"/>
      <c r="D76" s="1"/>
      <c r="E76" s="30">
        <f t="shared" si="49"/>
        <v>5.5593385685427333E-3</v>
      </c>
      <c r="F76" s="30">
        <f t="shared" si="50"/>
        <v>2.2333845239814663E-2</v>
      </c>
      <c r="G76" s="30">
        <f t="shared" si="51"/>
        <v>5.0518642008759412E-2</v>
      </c>
      <c r="H76" s="30">
        <f t="shared" si="52"/>
        <v>1.0979912353105822E-4</v>
      </c>
      <c r="I76" s="30">
        <f t="shared" si="53"/>
        <v>1.6550097581987269E-3</v>
      </c>
      <c r="J76" s="30">
        <f t="shared" si="54"/>
        <v>1.4729586847968667E-3</v>
      </c>
      <c r="K76" s="30">
        <f t="shared" si="55"/>
        <v>11.186496011409425</v>
      </c>
      <c r="L76" s="30">
        <f t="shared" si="56"/>
        <v>5.1988481703647404E-4</v>
      </c>
      <c r="M76" s="30">
        <f t="shared" si="57"/>
        <v>4.7992709908321442E-3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2" t="str">
        <f t="shared" si="48"/>
        <v>Subtotal</v>
      </c>
      <c r="B77" s="36"/>
      <c r="C77" s="20"/>
      <c r="D77" s="1"/>
      <c r="E77" s="24">
        <f>SUM(E73:E76)</f>
        <v>1.9987676030195235E-2</v>
      </c>
      <c r="F77" s="24">
        <f t="shared" ref="F77:M77" si="58">SUM(F73:F76)</f>
        <v>7.1329956967747951E-2</v>
      </c>
      <c r="G77" s="24">
        <f t="shared" si="58"/>
        <v>0.16227784603278067</v>
      </c>
      <c r="H77" s="24">
        <f t="shared" si="58"/>
        <v>3.1955146668473416E-4</v>
      </c>
      <c r="I77" s="24">
        <f t="shared" si="58"/>
        <v>5.6017338813783525E-3</v>
      </c>
      <c r="J77" s="24">
        <f t="shared" si="58"/>
        <v>4.985543154426733E-3</v>
      </c>
      <c r="K77" s="24">
        <f t="shared" si="58"/>
        <v>32.556370175064067</v>
      </c>
      <c r="L77" s="24">
        <f t="shared" si="58"/>
        <v>1.8736241515411882E-3</v>
      </c>
      <c r="M77" s="24">
        <f t="shared" si="58"/>
        <v>1.5416395373114164E-2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>
        <f t="shared" si="48"/>
        <v>0</v>
      </c>
      <c r="B78" s="36"/>
      <c r="C78" s="20"/>
      <c r="D78" s="1"/>
      <c r="E78" s="30"/>
      <c r="F78" s="30"/>
      <c r="G78" s="30"/>
      <c r="H78" s="30"/>
      <c r="I78" s="30"/>
      <c r="J78" s="30"/>
      <c r="K78" s="30"/>
      <c r="L78" s="30"/>
      <c r="M78" s="30"/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2" t="str">
        <f t="shared" ref="A79:A84" si="59">A22</f>
        <v>Trans: Capistrano Substation Getaways - Foundation Installations</v>
      </c>
      <c r="B79" s="36"/>
      <c r="C79" s="20"/>
      <c r="D79" s="1"/>
      <c r="E79" s="30"/>
      <c r="F79" s="30"/>
      <c r="G79" s="30"/>
      <c r="H79" s="30"/>
      <c r="I79" s="30"/>
      <c r="J79" s="30"/>
      <c r="K79" s="30"/>
      <c r="L79" s="30"/>
      <c r="M79" s="30"/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37" t="str">
        <f t="shared" si="59"/>
        <v>Concrete Trucks</v>
      </c>
      <c r="B80" s="36"/>
      <c r="C80" s="20"/>
      <c r="D80" s="1"/>
      <c r="E80" s="30">
        <f t="shared" ref="E80:M83" si="60">(Q23*$P23)/2000</f>
        <v>3.9690130477188891E-3</v>
      </c>
      <c r="F80" s="30">
        <f t="shared" si="60"/>
        <v>1.2449727248526122E-2</v>
      </c>
      <c r="G80" s="30">
        <f t="shared" si="60"/>
        <v>3.1265940385049144E-2</v>
      </c>
      <c r="H80" s="30">
        <f t="shared" si="60"/>
        <v>6.1839404642842686E-5</v>
      </c>
      <c r="I80" s="30">
        <f t="shared" si="60"/>
        <v>1.0321983555707849E-3</v>
      </c>
      <c r="J80" s="30">
        <f t="shared" si="60"/>
        <v>9.1865653645799837E-4</v>
      </c>
      <c r="K80" s="30">
        <f t="shared" si="60"/>
        <v>5.4959980295372413</v>
      </c>
      <c r="L80" s="30">
        <f t="shared" si="60"/>
        <v>3.7264673882269288E-4</v>
      </c>
      <c r="M80" s="30">
        <f t="shared" si="60"/>
        <v>2.9702643365796689E-3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37" t="str">
        <f t="shared" si="59"/>
        <v>Drill Rig</v>
      </c>
      <c r="B81" s="36"/>
      <c r="C81" s="20"/>
      <c r="D81" s="1"/>
      <c r="E81" s="30">
        <f t="shared" si="60"/>
        <v>3.1952207951833483E-3</v>
      </c>
      <c r="F81" s="30">
        <f t="shared" si="60"/>
        <v>4.0562545282817747E-2</v>
      </c>
      <c r="G81" s="30">
        <f t="shared" si="60"/>
        <v>3.2225507422732433E-2</v>
      </c>
      <c r="H81" s="30">
        <f t="shared" si="60"/>
        <v>7.9611660493802549E-5</v>
      </c>
      <c r="I81" s="30">
        <f t="shared" si="60"/>
        <v>1.347664973592155E-3</v>
      </c>
      <c r="J81" s="30">
        <f t="shared" si="60"/>
        <v>1.1994218264970177E-3</v>
      </c>
      <c r="K81" s="30">
        <f t="shared" si="60"/>
        <v>6.7867155250826894</v>
      </c>
      <c r="L81" s="30">
        <f t="shared" si="60"/>
        <v>2.9818504829551317E-4</v>
      </c>
      <c r="M81" s="30">
        <f t="shared" si="60"/>
        <v>3.0614232051595818E-3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37" t="str">
        <f t="shared" si="59"/>
        <v>CAT 416 Rubber Tire Backhoe</v>
      </c>
      <c r="B82" s="36"/>
      <c r="C82" s="20"/>
      <c r="D82" s="1"/>
      <c r="E82" s="30">
        <f t="shared" si="60"/>
        <v>2.6334489994743718E-3</v>
      </c>
      <c r="F82" s="30">
        <f t="shared" si="60"/>
        <v>1.3233244923342088E-2</v>
      </c>
      <c r="G82" s="30">
        <f t="shared" si="60"/>
        <v>1.6662328914029433E-2</v>
      </c>
      <c r="H82" s="30">
        <f t="shared" si="60"/>
        <v>2.2805828962250114E-5</v>
      </c>
      <c r="I82" s="30">
        <f t="shared" si="60"/>
        <v>1.3515221934379618E-3</v>
      </c>
      <c r="J82" s="30">
        <f t="shared" si="60"/>
        <v>1.2028547521597858E-3</v>
      </c>
      <c r="K82" s="30">
        <f t="shared" si="60"/>
        <v>1.9441458965041458</v>
      </c>
      <c r="L82" s="30">
        <f t="shared" si="60"/>
        <v>2.4863768123633916E-4</v>
      </c>
      <c r="M82" s="30">
        <f t="shared" si="60"/>
        <v>1.5829212468327961E-3</v>
      </c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 t="str">
        <f t="shared" si="59"/>
        <v>Dump Trucks</v>
      </c>
      <c r="B83" s="36"/>
      <c r="C83" s="20"/>
      <c r="D83" s="1"/>
      <c r="E83" s="30">
        <f t="shared" si="60"/>
        <v>2.6460086984792593E-3</v>
      </c>
      <c r="F83" s="30">
        <f t="shared" si="60"/>
        <v>8.2998181656840815E-3</v>
      </c>
      <c r="G83" s="30">
        <f t="shared" si="60"/>
        <v>2.0843960256699431E-2</v>
      </c>
      <c r="H83" s="30">
        <f t="shared" si="60"/>
        <v>4.1226269761895129E-5</v>
      </c>
      <c r="I83" s="30">
        <f t="shared" si="60"/>
        <v>6.8813223704718986E-4</v>
      </c>
      <c r="J83" s="30">
        <f t="shared" si="60"/>
        <v>6.1243769097199887E-4</v>
      </c>
      <c r="K83" s="30">
        <f t="shared" si="60"/>
        <v>3.6639986863581608</v>
      </c>
      <c r="L83" s="30">
        <f t="shared" si="60"/>
        <v>2.4843115921512862E-4</v>
      </c>
      <c r="M83" s="30">
        <f t="shared" si="60"/>
        <v>1.9801762243864462E-3</v>
      </c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2" t="str">
        <f t="shared" si="59"/>
        <v>Subtotal</v>
      </c>
      <c r="B84" s="36"/>
      <c r="C84" s="20"/>
      <c r="D84" s="1"/>
      <c r="E84" s="24">
        <f>SUM(E80:E83)</f>
        <v>1.2443691540855869E-2</v>
      </c>
      <c r="F84" s="24">
        <f t="shared" ref="F84:M84" si="61">SUM(F80:F83)</f>
        <v>7.4545335620370037E-2</v>
      </c>
      <c r="G84" s="24">
        <f t="shared" si="61"/>
        <v>0.10099773697851044</v>
      </c>
      <c r="H84" s="24">
        <f t="shared" si="61"/>
        <v>2.0548316386079045E-4</v>
      </c>
      <c r="I84" s="24">
        <f t="shared" si="61"/>
        <v>4.4195177596480914E-3</v>
      </c>
      <c r="J84" s="24">
        <f t="shared" si="61"/>
        <v>3.9333708060868009E-3</v>
      </c>
      <c r="K84" s="24">
        <f t="shared" si="61"/>
        <v>17.89085813748224</v>
      </c>
      <c r="L84" s="24">
        <f t="shared" si="61"/>
        <v>1.1679006275696739E-3</v>
      </c>
      <c r="M84" s="24">
        <f t="shared" si="61"/>
        <v>9.5947850129584934E-3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/>
      <c r="B85" s="36"/>
      <c r="C85" s="20"/>
      <c r="D85" s="1"/>
      <c r="E85" s="30"/>
      <c r="F85" s="30"/>
      <c r="G85" s="30"/>
      <c r="H85" s="30"/>
      <c r="I85" s="30"/>
      <c r="J85" s="30"/>
      <c r="K85" s="30"/>
      <c r="L85" s="30"/>
      <c r="M85" s="30"/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2" t="str">
        <f t="shared" ref="A86:A93" si="62">A29</f>
        <v>Trans: Capistrano Substation Getaways - Underground Trench/Conduit/Substructure</v>
      </c>
      <c r="B86" s="36"/>
      <c r="C86" s="20"/>
      <c r="D86" s="1"/>
      <c r="E86" s="30"/>
      <c r="F86" s="30"/>
      <c r="G86" s="30"/>
      <c r="H86" s="30"/>
      <c r="I86" s="30"/>
      <c r="J86" s="30"/>
      <c r="K86" s="30"/>
      <c r="L86" s="30"/>
      <c r="M86" s="30"/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 t="shared" si="62"/>
        <v>Dump Trucks</v>
      </c>
      <c r="B87" s="36"/>
      <c r="C87" s="20"/>
      <c r="D87" s="1"/>
      <c r="E87" s="30">
        <f t="shared" ref="E87:M92" si="63">(Q30*$P30)/2000</f>
        <v>1.1907039143156668E-2</v>
      </c>
      <c r="F87" s="30">
        <f t="shared" si="63"/>
        <v>3.7349181745578365E-2</v>
      </c>
      <c r="G87" s="30">
        <f t="shared" si="63"/>
        <v>9.3797821155147426E-2</v>
      </c>
      <c r="H87" s="30">
        <f t="shared" si="63"/>
        <v>1.8551821392852807E-4</v>
      </c>
      <c r="I87" s="30">
        <f t="shared" si="63"/>
        <v>3.0965950667123541E-3</v>
      </c>
      <c r="J87" s="30">
        <f t="shared" si="63"/>
        <v>2.7559696093739953E-3</v>
      </c>
      <c r="K87" s="30">
        <f t="shared" si="63"/>
        <v>16.487994088611725</v>
      </c>
      <c r="L87" s="30">
        <f t="shared" si="63"/>
        <v>1.1179402164680787E-3</v>
      </c>
      <c r="M87" s="30">
        <f t="shared" si="63"/>
        <v>8.9107930097390067E-3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37" t="str">
        <f t="shared" si="62"/>
        <v>Crane</v>
      </c>
      <c r="B88" s="36"/>
      <c r="C88" s="20"/>
      <c r="D88" s="1"/>
      <c r="E88" s="30">
        <f t="shared" si="63"/>
        <v>5.9002625744948899E-3</v>
      </c>
      <c r="F88" s="30">
        <f t="shared" si="63"/>
        <v>2.0950140255386319E-2</v>
      </c>
      <c r="G88" s="30">
        <f t="shared" si="63"/>
        <v>5.0216564843409028E-2</v>
      </c>
      <c r="H88" s="30">
        <f t="shared" si="63"/>
        <v>7.7781149745751666E-5</v>
      </c>
      <c r="I88" s="30">
        <f t="shared" si="63"/>
        <v>1.7905202870750179E-3</v>
      </c>
      <c r="J88" s="30">
        <f t="shared" si="63"/>
        <v>1.5935630554967659E-3</v>
      </c>
      <c r="K88" s="30">
        <f t="shared" si="63"/>
        <v>7.9244565408384045</v>
      </c>
      <c r="L88" s="30">
        <f t="shared" si="63"/>
        <v>5.5292851528662658E-4</v>
      </c>
      <c r="M88" s="30">
        <f t="shared" si="63"/>
        <v>4.7705736601238585E-3</v>
      </c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37" t="str">
        <f t="shared" si="62"/>
        <v>Excavator</v>
      </c>
      <c r="B89" s="36"/>
      <c r="C89" s="20"/>
      <c r="D89" s="1"/>
      <c r="E89" s="30">
        <f t="shared" si="63"/>
        <v>8.0025124246250676E-2</v>
      </c>
      <c r="F89" s="30">
        <f t="shared" si="63"/>
        <v>0.26626805229114836</v>
      </c>
      <c r="G89" s="30">
        <f t="shared" si="63"/>
        <v>0.59277424313171578</v>
      </c>
      <c r="H89" s="30">
        <f t="shared" si="63"/>
        <v>1.2113318467548973E-3</v>
      </c>
      <c r="I89" s="30">
        <f t="shared" si="63"/>
        <v>2.0830671262986898E-2</v>
      </c>
      <c r="J89" s="30">
        <f t="shared" si="63"/>
        <v>1.8539297424058337E-2</v>
      </c>
      <c r="K89" s="30">
        <f t="shared" si="63"/>
        <v>123.41225406420671</v>
      </c>
      <c r="L89" s="30">
        <f t="shared" si="63"/>
        <v>7.5123435843179528E-3</v>
      </c>
      <c r="M89" s="30">
        <f t="shared" si="63"/>
        <v>5.6313553097513E-2</v>
      </c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37" t="str">
        <f t="shared" si="62"/>
        <v>CAT 416 Rubber Tire Backhoe</v>
      </c>
      <c r="B90" s="36"/>
      <c r="C90" s="20"/>
      <c r="D90" s="1"/>
      <c r="E90" s="30">
        <f t="shared" si="63"/>
        <v>5.6180245322119932E-2</v>
      </c>
      <c r="F90" s="30">
        <f t="shared" si="63"/>
        <v>0.28230922503129791</v>
      </c>
      <c r="G90" s="30">
        <f t="shared" si="63"/>
        <v>0.35546301683262788</v>
      </c>
      <c r="H90" s="30">
        <f t="shared" si="63"/>
        <v>4.8652435119466906E-4</v>
      </c>
      <c r="I90" s="30">
        <f t="shared" si="63"/>
        <v>2.8832473460009847E-2</v>
      </c>
      <c r="J90" s="30">
        <f t="shared" si="63"/>
        <v>2.5660901379408768E-2</v>
      </c>
      <c r="K90" s="30">
        <f t="shared" si="63"/>
        <v>41.475112458755113</v>
      </c>
      <c r="L90" s="30">
        <f t="shared" si="63"/>
        <v>5.304270533041903E-3</v>
      </c>
      <c r="M90" s="30">
        <f t="shared" si="63"/>
        <v>3.3768986599099646E-2</v>
      </c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62"/>
        <v>Concrete Trucks</v>
      </c>
      <c r="B91" s="36"/>
      <c r="C91" s="20"/>
      <c r="D91" s="1"/>
      <c r="E91" s="30">
        <f t="shared" si="63"/>
        <v>7.9380260954377783E-3</v>
      </c>
      <c r="F91" s="30">
        <f t="shared" si="63"/>
        <v>2.4899454497052248E-2</v>
      </c>
      <c r="G91" s="30">
        <f t="shared" si="63"/>
        <v>6.2531880770098289E-2</v>
      </c>
      <c r="H91" s="30">
        <f t="shared" si="63"/>
        <v>1.2367880928568537E-4</v>
      </c>
      <c r="I91" s="30">
        <f t="shared" si="63"/>
        <v>2.0643967111415697E-3</v>
      </c>
      <c r="J91" s="30">
        <f t="shared" si="63"/>
        <v>1.8373130729159967E-3</v>
      </c>
      <c r="K91" s="30">
        <f t="shared" si="63"/>
        <v>10.991996059074483</v>
      </c>
      <c r="L91" s="30">
        <f t="shared" si="63"/>
        <v>7.4529347764538587E-4</v>
      </c>
      <c r="M91" s="30">
        <f t="shared" si="63"/>
        <v>5.9405286731593386E-3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62"/>
        <v>Compactor</v>
      </c>
      <c r="B92" s="36"/>
      <c r="C92" s="20"/>
      <c r="D92" s="1"/>
      <c r="E92" s="30">
        <f t="shared" si="63"/>
        <v>4.6901184867311286E-3</v>
      </c>
      <c r="F92" s="30">
        <f t="shared" si="63"/>
        <v>1.6141980568879444E-2</v>
      </c>
      <c r="G92" s="30">
        <f t="shared" si="63"/>
        <v>4.6453073965333734E-2</v>
      </c>
      <c r="H92" s="30">
        <f t="shared" si="63"/>
        <v>7.579103395138476E-5</v>
      </c>
      <c r="I92" s="30">
        <f t="shared" si="63"/>
        <v>1.5458054139412506E-3</v>
      </c>
      <c r="J92" s="30">
        <f t="shared" si="63"/>
        <v>1.375766818407713E-3</v>
      </c>
      <c r="K92" s="30">
        <f t="shared" si="63"/>
        <v>6.7359505719796795</v>
      </c>
      <c r="L92" s="30">
        <f t="shared" si="63"/>
        <v>4.3932801885060901E-4</v>
      </c>
      <c r="M92" s="30">
        <f t="shared" si="63"/>
        <v>4.4130420267067053E-3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2" t="str">
        <f t="shared" si="62"/>
        <v>Subtotal</v>
      </c>
      <c r="B93" s="36"/>
      <c r="C93" s="20"/>
      <c r="D93" s="1"/>
      <c r="E93" s="24">
        <f t="shared" ref="E93:M93" si="64">SUM(E87:E92)</f>
        <v>0.16664081586819107</v>
      </c>
      <c r="F93" s="24">
        <f t="shared" si="64"/>
        <v>0.64791803438934248</v>
      </c>
      <c r="G93" s="24">
        <f t="shared" si="64"/>
        <v>1.2012366006983322</v>
      </c>
      <c r="H93" s="24">
        <f t="shared" si="64"/>
        <v>2.1606254048609158E-3</v>
      </c>
      <c r="I93" s="24">
        <f t="shared" si="64"/>
        <v>5.8160462201866943E-2</v>
      </c>
      <c r="J93" s="24">
        <f t="shared" si="64"/>
        <v>5.1762811359661577E-2</v>
      </c>
      <c r="K93" s="24">
        <f t="shared" si="64"/>
        <v>207.02776378346613</v>
      </c>
      <c r="L93" s="24">
        <f t="shared" si="64"/>
        <v>1.5672104345610553E-2</v>
      </c>
      <c r="M93" s="24">
        <f t="shared" si="64"/>
        <v>0.11411747706634154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2" t="s">
        <v>634</v>
      </c>
      <c r="B94" s="36"/>
      <c r="C94" s="20"/>
      <c r="D94" s="1"/>
      <c r="E94" s="24">
        <f>E71+E77+E84+E93</f>
        <v>0.29291481058901003</v>
      </c>
      <c r="F94" s="24">
        <f t="shared" ref="F94:M94" si="65">F71+F77+F84+F93</f>
        <v>1.1296007622079489</v>
      </c>
      <c r="G94" s="24">
        <f t="shared" si="65"/>
        <v>2.2222681395582269</v>
      </c>
      <c r="H94" s="24">
        <f t="shared" si="65"/>
        <v>3.9993060350885659E-3</v>
      </c>
      <c r="I94" s="24">
        <f t="shared" si="65"/>
        <v>9.823267170397762E-2</v>
      </c>
      <c r="J94" s="24">
        <f t="shared" si="65"/>
        <v>8.7427077816540077E-2</v>
      </c>
      <c r="K94" s="24">
        <f t="shared" si="65"/>
        <v>374.90033437589511</v>
      </c>
      <c r="L94" s="24">
        <f t="shared" si="65"/>
        <v>2.7542333074466491E-2</v>
      </c>
      <c r="M94" s="24">
        <f t="shared" si="65"/>
        <v>0.21111547325803151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/>
      <c r="B95" s="36"/>
      <c r="C95" s="20"/>
      <c r="D95" s="1"/>
      <c r="E95" s="30"/>
      <c r="F95" s="30"/>
      <c r="G95" s="30"/>
      <c r="H95" s="30"/>
      <c r="I95" s="30"/>
      <c r="J95" s="30"/>
      <c r="K95" s="30"/>
      <c r="L95" s="30"/>
      <c r="M95" s="30"/>
      <c r="O95" s="572"/>
      <c r="P95" s="572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2" t="str">
        <f t="shared" ref="A96:A101" si="66">A39</f>
        <v>Trans: Capistrano Substation Getaways - Steel Structure Installations</v>
      </c>
      <c r="B96" s="36"/>
      <c r="C96" s="20"/>
      <c r="D96" s="1"/>
      <c r="E96" s="30"/>
      <c r="F96" s="30"/>
      <c r="G96" s="30"/>
      <c r="H96" s="30"/>
      <c r="I96" s="30"/>
      <c r="J96" s="30"/>
      <c r="K96" s="30"/>
      <c r="L96" s="30"/>
      <c r="M96" s="30"/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37" t="str">
        <f t="shared" si="66"/>
        <v>2-ton Flatbed Truck</v>
      </c>
      <c r="B97" s="36"/>
      <c r="C97" s="20"/>
      <c r="D97" s="1"/>
      <c r="E97" s="30">
        <f t="shared" ref="E97:M99" si="67">(Q40*$P40)/2000</f>
        <v>4.7909910174032738E-3</v>
      </c>
      <c r="F97" s="30">
        <f t="shared" si="67"/>
        <v>1.6364525216482385E-2</v>
      </c>
      <c r="G97" s="30">
        <f t="shared" si="67"/>
        <v>3.4625327580645279E-2</v>
      </c>
      <c r="H97" s="30">
        <f t="shared" si="67"/>
        <v>8.2452556991659354E-5</v>
      </c>
      <c r="I97" s="30">
        <f t="shared" si="67"/>
        <v>1.163045193148745E-3</v>
      </c>
      <c r="J97" s="30">
        <f t="shared" si="67"/>
        <v>1.0351102219023831E-3</v>
      </c>
      <c r="K97" s="30">
        <f t="shared" si="67"/>
        <v>7.3279982874791099</v>
      </c>
      <c r="L97" s="30">
        <f t="shared" si="67"/>
        <v>4.6815705101863899E-4</v>
      </c>
      <c r="M97" s="30">
        <f t="shared" si="67"/>
        <v>3.2894061201613014E-3</v>
      </c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s="3" customFormat="1" x14ac:dyDescent="0.25">
      <c r="A98" s="137" t="str">
        <f t="shared" si="66"/>
        <v>Crane</v>
      </c>
      <c r="B98" s="36"/>
      <c r="C98" s="20"/>
      <c r="D98" s="1"/>
      <c r="E98" s="30">
        <f t="shared" si="67"/>
        <v>5.4040288825927402E-3</v>
      </c>
      <c r="F98" s="30">
        <f t="shared" si="67"/>
        <v>2.0016661704595907E-2</v>
      </c>
      <c r="G98" s="30">
        <f t="shared" si="67"/>
        <v>4.280135159054977E-2</v>
      </c>
      <c r="H98" s="30">
        <f t="shared" si="67"/>
        <v>7.7781143388161228E-5</v>
      </c>
      <c r="I98" s="30">
        <f t="shared" si="67"/>
        <v>1.5495183313882419E-3</v>
      </c>
      <c r="J98" s="30">
        <f t="shared" si="67"/>
        <v>1.3790713149355353E-3</v>
      </c>
      <c r="K98" s="30">
        <f t="shared" si="67"/>
        <v>7.9244574804566437</v>
      </c>
      <c r="L98" s="30">
        <f t="shared" si="67"/>
        <v>5.2602074348200684E-4</v>
      </c>
      <c r="M98" s="30">
        <f t="shared" si="67"/>
        <v>4.0661284011022283E-3</v>
      </c>
      <c r="O98"/>
      <c r="P98"/>
      <c r="Q98" s="4"/>
      <c r="R98" s="4"/>
      <c r="S98" s="4"/>
      <c r="T98" s="4"/>
      <c r="U98" s="4"/>
      <c r="V98" s="4"/>
      <c r="W98" s="5"/>
      <c r="X98" s="4"/>
      <c r="Y98" s="4"/>
      <c r="Z98" s="6"/>
      <c r="AA98" s="6"/>
      <c r="AB98" s="6"/>
      <c r="AC98" s="6"/>
      <c r="AD98" s="6"/>
      <c r="AE98" s="6"/>
      <c r="AF98" s="7"/>
    </row>
    <row r="99" spans="1:32" s="3" customFormat="1" x14ac:dyDescent="0.25">
      <c r="A99" s="137" t="str">
        <f t="shared" si="66"/>
        <v>Manlift</v>
      </c>
      <c r="B99" s="36"/>
      <c r="C99" s="20"/>
      <c r="D99" s="1"/>
      <c r="E99" s="30">
        <f t="shared" si="67"/>
        <v>1.3322526112780673E-2</v>
      </c>
      <c r="F99" s="30">
        <f t="shared" si="67"/>
        <v>8.129700250343791E-2</v>
      </c>
      <c r="G99" s="30">
        <f t="shared" si="67"/>
        <v>9.6262035417302938E-2</v>
      </c>
      <c r="H99" s="30">
        <f t="shared" si="67"/>
        <v>1.5720384930028228E-4</v>
      </c>
      <c r="I99" s="30">
        <f t="shared" si="67"/>
        <v>6.9653069080596267E-3</v>
      </c>
      <c r="J99" s="30">
        <f t="shared" si="67"/>
        <v>6.1991231481730684E-3</v>
      </c>
      <c r="K99" s="30">
        <f t="shared" si="67"/>
        <v>13.401281769371341</v>
      </c>
      <c r="L99" s="30">
        <f t="shared" si="67"/>
        <v>1.3103103420121769E-3</v>
      </c>
      <c r="M99" s="30">
        <f t="shared" si="67"/>
        <v>9.1448933646437781E-3</v>
      </c>
      <c r="O99"/>
      <c r="P99"/>
      <c r="Q99" s="4"/>
      <c r="R99" s="4"/>
      <c r="S99" s="4"/>
      <c r="T99" s="4"/>
      <c r="U99" s="4"/>
      <c r="V99" s="4"/>
      <c r="W99" s="5"/>
      <c r="X99" s="4"/>
      <c r="Y99" s="4"/>
      <c r="Z99" s="6"/>
      <c r="AA99" s="6"/>
      <c r="AB99" s="6"/>
      <c r="AC99" s="6"/>
      <c r="AD99" s="6"/>
      <c r="AE99" s="6"/>
      <c r="AF99" s="7"/>
    </row>
    <row r="100" spans="1:32" s="3" customFormat="1" x14ac:dyDescent="0.25">
      <c r="A100" s="137" t="str">
        <f t="shared" si="66"/>
        <v>Air Compressor</v>
      </c>
      <c r="B100" s="36"/>
      <c r="C100" s="20"/>
      <c r="D100" s="1"/>
      <c r="E100" s="30">
        <f t="shared" ref="E100" si="68">(Q43*$P43)/2000</f>
        <v>3.1696804226077617E-2</v>
      </c>
      <c r="F100" s="30">
        <f t="shared" ref="F100" si="69">(R43*$P43)/2000</f>
        <v>0.12987409619762366</v>
      </c>
      <c r="G100" s="30">
        <f t="shared" ref="G100" si="70">(S43*$P43)/2000</f>
        <v>0.11252357757354757</v>
      </c>
      <c r="H100" s="30">
        <f t="shared" ref="H100" si="71">(T43*$P43)/2000</f>
        <v>1.5201740506505274E-4</v>
      </c>
      <c r="I100" s="30">
        <f t="shared" ref="I100" si="72">(U43*$P43)/2000</f>
        <v>7.9396382175091745E-3</v>
      </c>
      <c r="J100" s="30">
        <f t="shared" ref="J100" si="73">(V43*$P43)/2000</f>
        <v>7.0662780135831646E-3</v>
      </c>
      <c r="K100" s="30">
        <f t="shared" ref="K100" si="74">(W43*$P43)/2000</f>
        <v>11.759223227139787</v>
      </c>
      <c r="L100" s="30">
        <f t="shared" ref="L100" si="75">(X43*$P43)/2000</f>
        <v>3.1777243790883231E-3</v>
      </c>
      <c r="M100" s="30">
        <f t="shared" ref="M100" si="76">(Y43*$P43)/2000</f>
        <v>1.0689739869487017E-2</v>
      </c>
      <c r="O100"/>
      <c r="P100"/>
      <c r="Q100" s="4"/>
      <c r="R100" s="4"/>
      <c r="S100" s="4"/>
      <c r="T100" s="4"/>
      <c r="U100" s="4"/>
      <c r="V100" s="4"/>
      <c r="W100" s="5"/>
      <c r="X100" s="4"/>
      <c r="Y100" s="4"/>
      <c r="Z100" s="6"/>
      <c r="AA100" s="6"/>
      <c r="AB100" s="6"/>
      <c r="AC100" s="6"/>
      <c r="AD100" s="6"/>
      <c r="AE100" s="6"/>
      <c r="AF100" s="7"/>
    </row>
    <row r="101" spans="1:32" s="3" customFormat="1" x14ac:dyDescent="0.25">
      <c r="A101" s="12" t="str">
        <f t="shared" si="66"/>
        <v>Subtotal</v>
      </c>
      <c r="B101" s="36"/>
      <c r="C101" s="20"/>
      <c r="D101" s="1"/>
      <c r="E101" s="24">
        <f>SUM(E97:E100)</f>
        <v>5.5214350238854307E-2</v>
      </c>
      <c r="F101" s="24">
        <f t="shared" ref="F101:M101" si="77">SUM(F97:F100)</f>
        <v>0.24755228562213988</v>
      </c>
      <c r="G101" s="24">
        <f t="shared" si="77"/>
        <v>0.28621229216204558</v>
      </c>
      <c r="H101" s="24">
        <f t="shared" si="77"/>
        <v>4.6945495474515556E-4</v>
      </c>
      <c r="I101" s="24">
        <f t="shared" si="77"/>
        <v>1.7617508650105786E-2</v>
      </c>
      <c r="J101" s="24">
        <f t="shared" si="77"/>
        <v>1.5679582698594152E-2</v>
      </c>
      <c r="K101" s="24">
        <f t="shared" si="77"/>
        <v>40.412960764446879</v>
      </c>
      <c r="L101" s="24">
        <f t="shared" si="77"/>
        <v>5.4822125156011453E-3</v>
      </c>
      <c r="M101" s="24">
        <f t="shared" si="77"/>
        <v>2.7190167755394325E-2</v>
      </c>
      <c r="O101"/>
      <c r="P101"/>
      <c r="Q101" s="4"/>
      <c r="R101" s="4"/>
      <c r="S101" s="4"/>
      <c r="T101" s="4"/>
      <c r="U101" s="4"/>
      <c r="V101" s="4"/>
      <c r="W101" s="5"/>
      <c r="X101" s="4"/>
      <c r="Y101" s="4"/>
      <c r="Z101" s="6"/>
      <c r="AA101" s="6"/>
      <c r="AB101" s="6"/>
      <c r="AC101" s="6"/>
      <c r="AD101" s="6"/>
      <c r="AE101" s="6"/>
      <c r="AF101" s="7"/>
    </row>
    <row r="102" spans="1:32" s="3" customFormat="1" x14ac:dyDescent="0.25">
      <c r="A102" s="137"/>
      <c r="B102" s="36"/>
      <c r="C102" s="20"/>
      <c r="D102" s="1"/>
      <c r="E102" s="30"/>
      <c r="F102" s="30"/>
      <c r="G102" s="30"/>
      <c r="H102" s="30"/>
      <c r="I102" s="30"/>
      <c r="J102" s="30"/>
      <c r="K102" s="30"/>
      <c r="L102" s="30"/>
      <c r="M102" s="30"/>
      <c r="O102"/>
      <c r="P102"/>
      <c r="Q102" s="4"/>
      <c r="R102" s="4"/>
      <c r="S102" s="4"/>
      <c r="T102" s="4"/>
      <c r="U102" s="4"/>
      <c r="V102" s="4"/>
      <c r="W102" s="5"/>
      <c r="X102" s="4"/>
      <c r="Y102" s="4"/>
      <c r="Z102" s="6"/>
      <c r="AA102" s="6"/>
      <c r="AB102" s="6"/>
      <c r="AC102" s="6"/>
      <c r="AD102" s="6"/>
      <c r="AE102" s="6"/>
      <c r="AF102" s="7"/>
    </row>
    <row r="103" spans="1:32" s="3" customFormat="1" x14ac:dyDescent="0.25">
      <c r="A103" s="12" t="str">
        <f t="shared" ref="A103:A108" si="78">A46</f>
        <v>Trans: Capistrano Substation Getaways - Cable/Conductor Pulling and Tensioning</v>
      </c>
      <c r="B103" s="36"/>
      <c r="C103" s="20"/>
      <c r="D103" s="1"/>
      <c r="E103" s="30"/>
      <c r="F103" s="30"/>
      <c r="G103" s="30"/>
      <c r="H103" s="30"/>
      <c r="I103" s="30"/>
      <c r="J103" s="30"/>
      <c r="K103" s="30"/>
      <c r="L103" s="30"/>
      <c r="M103" s="30"/>
      <c r="O103"/>
      <c r="P103"/>
      <c r="Q103" s="4"/>
      <c r="R103" s="4"/>
      <c r="S103" s="4"/>
      <c r="T103" s="4"/>
      <c r="U103" s="4"/>
      <c r="V103" s="4"/>
      <c r="W103" s="5"/>
      <c r="X103" s="4"/>
      <c r="Y103" s="4"/>
      <c r="Z103" s="6"/>
      <c r="AA103" s="6"/>
      <c r="AB103" s="6"/>
      <c r="AC103" s="6"/>
      <c r="AD103" s="6"/>
      <c r="AE103" s="6"/>
      <c r="AF103" s="7"/>
    </row>
    <row r="104" spans="1:32" s="3" customFormat="1" x14ac:dyDescent="0.25">
      <c r="A104" s="137" t="str">
        <f t="shared" si="78"/>
        <v>Manlift</v>
      </c>
      <c r="B104" s="36"/>
      <c r="C104" s="20"/>
      <c r="D104" s="1"/>
      <c r="E104" s="30">
        <f t="shared" ref="E104:M107" si="79">(Q47*$P47)/2000</f>
        <v>1.4987841876878259E-2</v>
      </c>
      <c r="F104" s="30">
        <f t="shared" si="79"/>
        <v>9.1459127816367641E-2</v>
      </c>
      <c r="G104" s="30">
        <f t="shared" si="79"/>
        <v>0.10829478984446581</v>
      </c>
      <c r="H104" s="30">
        <f t="shared" si="79"/>
        <v>1.7685433046281756E-4</v>
      </c>
      <c r="I104" s="30">
        <f t="shared" si="79"/>
        <v>7.8359702715670807E-3</v>
      </c>
      <c r="J104" s="30">
        <f t="shared" si="79"/>
        <v>6.9740135416947015E-3</v>
      </c>
      <c r="K104" s="30">
        <f t="shared" si="79"/>
        <v>15.076441990542756</v>
      </c>
      <c r="L104" s="30">
        <f t="shared" si="79"/>
        <v>1.4740991347636991E-3</v>
      </c>
      <c r="M104" s="30">
        <f t="shared" si="79"/>
        <v>1.0288005035224252E-2</v>
      </c>
      <c r="O104"/>
      <c r="P104"/>
      <c r="Q104" s="4"/>
      <c r="R104" s="4"/>
      <c r="S104" s="4"/>
      <c r="T104" s="4"/>
      <c r="U104" s="4"/>
      <c r="V104" s="4"/>
      <c r="W104" s="5"/>
      <c r="X104" s="4"/>
      <c r="Y104" s="4"/>
      <c r="Z104" s="6"/>
      <c r="AA104" s="6"/>
      <c r="AB104" s="6"/>
      <c r="AC104" s="6"/>
      <c r="AD104" s="6"/>
      <c r="AE104" s="6"/>
      <c r="AF104" s="7"/>
    </row>
    <row r="105" spans="1:32" s="3" customFormat="1" x14ac:dyDescent="0.25">
      <c r="A105" s="137" t="str">
        <f t="shared" si="78"/>
        <v>Puller and Tensioner</v>
      </c>
      <c r="B105" s="36"/>
      <c r="C105" s="20"/>
      <c r="D105" s="1"/>
      <c r="E105" s="30">
        <f t="shared" si="79"/>
        <v>1.5282267039055919E-2</v>
      </c>
      <c r="F105" s="30">
        <f t="shared" si="79"/>
        <v>6.5903732058073677E-2</v>
      </c>
      <c r="G105" s="30">
        <f t="shared" si="79"/>
        <v>0.12483274372476326</v>
      </c>
      <c r="H105" s="30">
        <f t="shared" si="79"/>
        <v>3.2939721239520542E-4</v>
      </c>
      <c r="I105" s="30">
        <f t="shared" si="79"/>
        <v>4.2143770521645956E-3</v>
      </c>
      <c r="J105" s="30">
        <f t="shared" si="79"/>
        <v>3.7507955764264907E-3</v>
      </c>
      <c r="K105" s="30">
        <f t="shared" si="79"/>
        <v>33.559483553874962</v>
      </c>
      <c r="L105" s="30">
        <f t="shared" si="79"/>
        <v>1.4806409689365997E-3</v>
      </c>
      <c r="M105" s="30">
        <f t="shared" si="79"/>
        <v>1.1859110653852511E-2</v>
      </c>
      <c r="O105"/>
      <c r="P105"/>
      <c r="Q105" s="4"/>
      <c r="R105" s="4"/>
      <c r="S105" s="4"/>
      <c r="T105" s="4"/>
      <c r="U105" s="4"/>
      <c r="V105" s="4"/>
      <c r="W105" s="5"/>
      <c r="X105" s="4"/>
      <c r="Y105" s="4"/>
      <c r="Z105" s="6"/>
      <c r="AA105" s="6"/>
      <c r="AB105" s="6"/>
      <c r="AC105" s="6"/>
      <c r="AD105" s="6"/>
      <c r="AE105" s="6"/>
      <c r="AF105" s="7"/>
    </row>
    <row r="106" spans="1:32" s="3" customFormat="1" x14ac:dyDescent="0.25">
      <c r="A106" s="137" t="str">
        <f t="shared" si="78"/>
        <v>Reel Trailer</v>
      </c>
      <c r="B106" s="36"/>
      <c r="C106" s="20"/>
      <c r="D106" s="1"/>
      <c r="E106" s="30">
        <f t="shared" si="79"/>
        <v>1.5282267039055919E-2</v>
      </c>
      <c r="F106" s="30">
        <f t="shared" si="79"/>
        <v>6.5903732058073677E-2</v>
      </c>
      <c r="G106" s="30">
        <f t="shared" si="79"/>
        <v>0.12483274372476326</v>
      </c>
      <c r="H106" s="30">
        <f t="shared" si="79"/>
        <v>3.2939721239520542E-4</v>
      </c>
      <c r="I106" s="30">
        <f t="shared" si="79"/>
        <v>4.2143770521645956E-3</v>
      </c>
      <c r="J106" s="30">
        <f t="shared" si="79"/>
        <v>3.7507955764264907E-3</v>
      </c>
      <c r="K106" s="30">
        <f t="shared" si="79"/>
        <v>33.559483553874962</v>
      </c>
      <c r="L106" s="30">
        <f t="shared" si="79"/>
        <v>1.4806409689365997E-3</v>
      </c>
      <c r="M106" s="30">
        <f t="shared" si="79"/>
        <v>1.1859110653852511E-2</v>
      </c>
      <c r="O106"/>
      <c r="P106"/>
      <c r="Q106" s="4"/>
      <c r="R106" s="4"/>
      <c r="S106" s="4"/>
      <c r="T106" s="4"/>
      <c r="U106" s="4"/>
      <c r="V106" s="4"/>
      <c r="W106" s="5"/>
      <c r="X106" s="4"/>
      <c r="Y106" s="4"/>
      <c r="Z106" s="6"/>
      <c r="AA106" s="6"/>
      <c r="AB106" s="6"/>
      <c r="AC106" s="6"/>
      <c r="AD106" s="6"/>
      <c r="AE106" s="6"/>
      <c r="AF106" s="7"/>
    </row>
    <row r="107" spans="1:32" s="3" customFormat="1" x14ac:dyDescent="0.25">
      <c r="A107" s="137" t="str">
        <f t="shared" si="78"/>
        <v>Splice Trailer</v>
      </c>
      <c r="B107" s="36"/>
      <c r="C107" s="20"/>
      <c r="D107" s="1"/>
      <c r="E107" s="30">
        <f t="shared" si="79"/>
        <v>1.0188178026037277E-2</v>
      </c>
      <c r="F107" s="30">
        <f t="shared" si="79"/>
        <v>4.3935821372049114E-2</v>
      </c>
      <c r="G107" s="30">
        <f t="shared" si="79"/>
        <v>8.3221829149842164E-2</v>
      </c>
      <c r="H107" s="30">
        <f t="shared" si="79"/>
        <v>2.1959814159680361E-4</v>
      </c>
      <c r="I107" s="30">
        <f t="shared" si="79"/>
        <v>2.8095847014430637E-3</v>
      </c>
      <c r="J107" s="30">
        <f t="shared" si="79"/>
        <v>2.500530384284327E-3</v>
      </c>
      <c r="K107" s="30">
        <f t="shared" si="79"/>
        <v>22.372989035916643</v>
      </c>
      <c r="L107" s="30">
        <f t="shared" si="79"/>
        <v>9.8709397929106629E-4</v>
      </c>
      <c r="M107" s="30">
        <f t="shared" si="79"/>
        <v>7.9060737692350069E-3</v>
      </c>
      <c r="O107"/>
      <c r="P107"/>
      <c r="Q107" s="4"/>
      <c r="R107" s="4"/>
      <c r="S107" s="4"/>
      <c r="T107" s="4"/>
      <c r="U107" s="4"/>
      <c r="V107" s="4"/>
      <c r="W107" s="5"/>
      <c r="X107" s="4"/>
      <c r="Y107" s="4"/>
      <c r="Z107" s="6"/>
      <c r="AA107" s="6"/>
      <c r="AB107" s="6"/>
      <c r="AC107" s="6"/>
      <c r="AD107" s="6"/>
      <c r="AE107" s="6"/>
      <c r="AF107" s="7"/>
    </row>
    <row r="108" spans="1:32" s="3" customFormat="1" x14ac:dyDescent="0.25">
      <c r="A108" s="12" t="str">
        <f t="shared" si="78"/>
        <v>Subtotal</v>
      </c>
      <c r="B108" s="36"/>
      <c r="C108" s="20"/>
      <c r="D108" s="1"/>
      <c r="E108" s="24">
        <f>SUM(E104:E107)</f>
        <v>5.5740553981027376E-2</v>
      </c>
      <c r="F108" s="24">
        <f t="shared" ref="F108:M108" si="80">SUM(F104:F107)</f>
        <v>0.26720241330456412</v>
      </c>
      <c r="G108" s="24">
        <f t="shared" si="80"/>
        <v>0.44118210644383449</v>
      </c>
      <c r="H108" s="24">
        <f t="shared" si="80"/>
        <v>1.0552468968500319E-3</v>
      </c>
      <c r="I108" s="24">
        <f t="shared" si="80"/>
        <v>1.9074309077339337E-2</v>
      </c>
      <c r="J108" s="24">
        <f t="shared" si="80"/>
        <v>1.697613507883201E-2</v>
      </c>
      <c r="K108" s="24">
        <f t="shared" si="80"/>
        <v>104.56839813420933</v>
      </c>
      <c r="L108" s="24">
        <f t="shared" si="80"/>
        <v>5.4224750519279649E-3</v>
      </c>
      <c r="M108" s="24">
        <f t="shared" si="80"/>
        <v>4.1912300112164284E-2</v>
      </c>
      <c r="O108"/>
      <c r="P108"/>
      <c r="Q108" s="4"/>
      <c r="R108" s="4"/>
      <c r="S108" s="4"/>
      <c r="T108" s="4"/>
      <c r="U108" s="4"/>
      <c r="V108" s="4"/>
      <c r="W108" s="5"/>
      <c r="X108" s="4"/>
      <c r="Y108" s="4"/>
      <c r="Z108" s="6"/>
      <c r="AA108" s="6"/>
      <c r="AB108" s="6"/>
      <c r="AC108" s="6"/>
      <c r="AD108" s="6"/>
      <c r="AE108" s="6"/>
      <c r="AF108" s="7"/>
    </row>
    <row r="109" spans="1:32" s="3" customFormat="1" x14ac:dyDescent="0.25">
      <c r="A109" s="137"/>
      <c r="B109" s="36"/>
      <c r="C109" s="20"/>
      <c r="D109" s="1"/>
      <c r="E109" s="30"/>
      <c r="F109" s="30"/>
      <c r="G109" s="30"/>
      <c r="H109" s="30"/>
      <c r="I109" s="30"/>
      <c r="J109" s="30"/>
      <c r="K109" s="30"/>
      <c r="L109" s="30"/>
      <c r="M109" s="30"/>
      <c r="O109"/>
      <c r="P109"/>
      <c r="Q109" s="4"/>
      <c r="R109" s="4"/>
      <c r="S109" s="4"/>
      <c r="T109" s="4"/>
      <c r="U109" s="4"/>
      <c r="V109" s="4"/>
      <c r="W109" s="5"/>
      <c r="X109" s="4"/>
      <c r="Y109" s="4"/>
      <c r="Z109" s="6"/>
      <c r="AA109" s="6"/>
      <c r="AB109" s="6"/>
      <c r="AC109" s="6"/>
      <c r="AD109" s="6"/>
      <c r="AE109" s="6"/>
      <c r="AF109" s="7"/>
    </row>
    <row r="110" spans="1:32" s="3" customFormat="1" x14ac:dyDescent="0.25">
      <c r="A110" s="12" t="str">
        <f t="shared" ref="A110:A117" si="81">A53</f>
        <v>Trans: Capistrano Substation Getaways - Removal of Structures</v>
      </c>
      <c r="B110" s="36"/>
      <c r="C110" s="20"/>
      <c r="D110" s="1"/>
      <c r="E110" s="30"/>
      <c r="F110" s="30"/>
      <c r="G110" s="30"/>
      <c r="H110" s="30"/>
      <c r="I110" s="30"/>
      <c r="J110" s="30"/>
      <c r="K110" s="30"/>
      <c r="L110" s="30"/>
      <c r="M110" s="30"/>
      <c r="O110"/>
      <c r="P110"/>
      <c r="Q110" s="4"/>
      <c r="R110" s="4"/>
      <c r="S110" s="4"/>
      <c r="T110" s="4"/>
      <c r="U110" s="4"/>
      <c r="V110" s="4"/>
      <c r="W110" s="5"/>
      <c r="X110" s="4"/>
      <c r="Y110" s="4"/>
      <c r="Z110" s="6"/>
      <c r="AA110" s="6"/>
      <c r="AB110" s="6"/>
      <c r="AC110" s="6"/>
      <c r="AD110" s="6"/>
      <c r="AE110" s="6"/>
      <c r="AF110" s="7"/>
    </row>
    <row r="111" spans="1:32" s="3" customFormat="1" x14ac:dyDescent="0.25">
      <c r="A111" s="137" t="str">
        <f t="shared" si="81"/>
        <v>2-ton Flatbed Truck</v>
      </c>
      <c r="B111" s="36"/>
      <c r="C111" s="20"/>
      <c r="D111" s="1"/>
      <c r="E111" s="30">
        <f t="shared" ref="E111:M116" si="82">(Q54*$P54)/2000</f>
        <v>3.9690130477188761E-3</v>
      </c>
      <c r="F111" s="30">
        <f t="shared" si="82"/>
        <v>1.2449727248526124E-2</v>
      </c>
      <c r="G111" s="30">
        <f t="shared" si="82"/>
        <v>3.1265940385049158E-2</v>
      </c>
      <c r="H111" s="30">
        <f t="shared" si="82"/>
        <v>6.1839404642842686E-5</v>
      </c>
      <c r="I111" s="30">
        <f t="shared" si="82"/>
        <v>1.0321983555707864E-3</v>
      </c>
      <c r="J111" s="30">
        <f t="shared" si="82"/>
        <v>9.1865653645799999E-4</v>
      </c>
      <c r="K111" s="30">
        <f t="shared" si="82"/>
        <v>5.4959980295372413</v>
      </c>
      <c r="L111" s="30">
        <f t="shared" si="82"/>
        <v>3.7264673882269288E-4</v>
      </c>
      <c r="M111" s="30">
        <f t="shared" si="82"/>
        <v>2.9702643365796698E-3</v>
      </c>
      <c r="O111"/>
      <c r="P111"/>
      <c r="Q111" s="4"/>
      <c r="R111" s="4"/>
      <c r="S111" s="4"/>
      <c r="T111" s="4"/>
      <c r="U111" s="4"/>
      <c r="V111" s="4"/>
      <c r="W111" s="5"/>
      <c r="X111" s="4"/>
      <c r="Y111" s="4"/>
      <c r="Z111" s="6"/>
      <c r="AA111" s="6"/>
      <c r="AB111" s="6"/>
      <c r="AC111" s="6"/>
      <c r="AD111" s="6"/>
      <c r="AE111" s="6"/>
      <c r="AF111" s="7"/>
    </row>
    <row r="112" spans="1:32" s="3" customFormat="1" x14ac:dyDescent="0.25">
      <c r="A112" s="137" t="str">
        <f t="shared" si="81"/>
        <v>Manlift</v>
      </c>
      <c r="B112" s="36"/>
      <c r="C112" s="20"/>
      <c r="D112" s="1"/>
      <c r="E112" s="30">
        <f t="shared" si="82"/>
        <v>5.8181508809194375E-3</v>
      </c>
      <c r="F112" s="30">
        <f t="shared" si="82"/>
        <v>3.106469943158726E-2</v>
      </c>
      <c r="G112" s="30">
        <f t="shared" si="82"/>
        <v>4.1876213659000669E-2</v>
      </c>
      <c r="H112" s="30">
        <f t="shared" si="82"/>
        <v>5.8951449712754718E-5</v>
      </c>
      <c r="I112" s="30">
        <f t="shared" si="82"/>
        <v>3.0852756045668252E-3</v>
      </c>
      <c r="J112" s="30">
        <f t="shared" si="82"/>
        <v>2.7458952880644746E-3</v>
      </c>
      <c r="K112" s="30">
        <f t="shared" si="82"/>
        <v>5.0254803816228355</v>
      </c>
      <c r="L112" s="30">
        <f t="shared" si="82"/>
        <v>5.4809390830885352E-4</v>
      </c>
      <c r="M112" s="30">
        <f t="shared" si="82"/>
        <v>3.9782402976050631E-3</v>
      </c>
      <c r="O112"/>
      <c r="P112"/>
      <c r="Q112" s="4"/>
      <c r="R112" s="4"/>
      <c r="S112" s="4"/>
      <c r="T112" s="4"/>
      <c r="U112" s="4"/>
      <c r="V112" s="4"/>
      <c r="W112" s="5"/>
      <c r="X112" s="4"/>
      <c r="Y112" s="4"/>
      <c r="Z112" s="6"/>
      <c r="AA112" s="6"/>
      <c r="AB112" s="6"/>
      <c r="AC112" s="6"/>
      <c r="AD112" s="6"/>
      <c r="AE112" s="6"/>
      <c r="AF112" s="7"/>
    </row>
    <row r="113" spans="1:32" s="3" customFormat="1" x14ac:dyDescent="0.25">
      <c r="A113" s="137" t="str">
        <f t="shared" si="81"/>
        <v>Manlift</v>
      </c>
      <c r="B113" s="36"/>
      <c r="C113" s="20"/>
      <c r="D113" s="1"/>
      <c r="E113" s="30">
        <f t="shared" si="82"/>
        <v>1.939383626973146E-3</v>
      </c>
      <c r="F113" s="30">
        <f t="shared" si="82"/>
        <v>1.0354899810529087E-2</v>
      </c>
      <c r="G113" s="30">
        <f t="shared" si="82"/>
        <v>1.3958737886333556E-2</v>
      </c>
      <c r="H113" s="30">
        <f t="shared" si="82"/>
        <v>1.9650483237584903E-5</v>
      </c>
      <c r="I113" s="30">
        <f t="shared" si="82"/>
        <v>1.0284252015222749E-3</v>
      </c>
      <c r="J113" s="30">
        <f t="shared" si="82"/>
        <v>9.1529842935482485E-4</v>
      </c>
      <c r="K113" s="30">
        <f t="shared" si="82"/>
        <v>1.6751601272076118</v>
      </c>
      <c r="L113" s="30">
        <f t="shared" si="82"/>
        <v>1.8269796943628451E-4</v>
      </c>
      <c r="M113" s="30">
        <f t="shared" si="82"/>
        <v>1.3260800992016878E-3</v>
      </c>
      <c r="O113"/>
      <c r="P113"/>
      <c r="Q113" s="4"/>
      <c r="R113" s="4"/>
      <c r="S113" s="4"/>
      <c r="T113" s="4"/>
      <c r="U113" s="4"/>
      <c r="V113" s="4"/>
      <c r="W113" s="5"/>
      <c r="X113" s="4"/>
      <c r="Y113" s="4"/>
      <c r="Z113" s="6"/>
      <c r="AA113" s="6"/>
      <c r="AB113" s="6"/>
      <c r="AC113" s="6"/>
      <c r="AD113" s="6"/>
      <c r="AE113" s="6"/>
      <c r="AF113" s="7"/>
    </row>
    <row r="114" spans="1:32" s="3" customFormat="1" x14ac:dyDescent="0.25">
      <c r="A114" s="137" t="str">
        <f t="shared" si="81"/>
        <v>Jackhammer</v>
      </c>
      <c r="B114" s="36"/>
      <c r="C114" s="20"/>
      <c r="D114" s="1"/>
      <c r="E114" s="30">
        <f t="shared" si="82"/>
        <v>7.0175103914505094E-4</v>
      </c>
      <c r="F114" s="30">
        <f t="shared" si="82"/>
        <v>2.7720062274918067E-3</v>
      </c>
      <c r="G114" s="30">
        <f t="shared" si="82"/>
        <v>4.8929651098307998E-3</v>
      </c>
      <c r="H114" s="30">
        <f t="shared" si="82"/>
        <v>7.3789064398637703E-6</v>
      </c>
      <c r="I114" s="30">
        <f t="shared" si="82"/>
        <v>1.8815597872002255E-4</v>
      </c>
      <c r="J114" s="30">
        <f t="shared" si="82"/>
        <v>1.6745882106082005E-4</v>
      </c>
      <c r="K114" s="30">
        <f t="shared" si="82"/>
        <v>0.58156093095015704</v>
      </c>
      <c r="L114" s="30">
        <f t="shared" si="82"/>
        <v>6.3317875342303623E-5</v>
      </c>
      <c r="M114" s="30">
        <f t="shared" si="82"/>
        <v>4.64831685433926E-4</v>
      </c>
      <c r="O114"/>
      <c r="P114"/>
      <c r="Q114" s="4"/>
      <c r="R114" s="4"/>
      <c r="S114" s="4"/>
      <c r="T114" s="4"/>
      <c r="U114" s="4"/>
      <c r="V114" s="4"/>
      <c r="W114" s="5"/>
      <c r="X114" s="4"/>
      <c r="Y114" s="4"/>
      <c r="Z114" s="6"/>
      <c r="AA114" s="6"/>
      <c r="AB114" s="6"/>
      <c r="AC114" s="6"/>
      <c r="AD114" s="6"/>
      <c r="AE114" s="6"/>
      <c r="AF114" s="7"/>
    </row>
    <row r="115" spans="1:32" s="3" customFormat="1" x14ac:dyDescent="0.25">
      <c r="A115" s="137" t="str">
        <f t="shared" si="81"/>
        <v>Dump Trucks</v>
      </c>
      <c r="B115" s="36"/>
      <c r="C115" s="20"/>
      <c r="D115" s="1"/>
      <c r="E115" s="30">
        <f t="shared" si="82"/>
        <v>3.9690130477188761E-3</v>
      </c>
      <c r="F115" s="30">
        <f t="shared" si="82"/>
        <v>1.2449727248526124E-2</v>
      </c>
      <c r="G115" s="30">
        <f t="shared" si="82"/>
        <v>3.1265940385049158E-2</v>
      </c>
      <c r="H115" s="30">
        <f t="shared" si="82"/>
        <v>6.1839404642842686E-5</v>
      </c>
      <c r="I115" s="30">
        <f t="shared" si="82"/>
        <v>1.0321983555707864E-3</v>
      </c>
      <c r="J115" s="30">
        <f t="shared" si="82"/>
        <v>9.1865653645799999E-4</v>
      </c>
      <c r="K115" s="30">
        <f t="shared" si="82"/>
        <v>5.4959980295372413</v>
      </c>
      <c r="L115" s="30">
        <f t="shared" si="82"/>
        <v>3.7264673882269288E-4</v>
      </c>
      <c r="M115" s="30">
        <f t="shared" si="82"/>
        <v>2.9702643365796698E-3</v>
      </c>
      <c r="O115"/>
      <c r="P115"/>
      <c r="Q115" s="4"/>
      <c r="R115" s="4"/>
      <c r="S115" s="4"/>
      <c r="T115" s="4"/>
      <c r="U115" s="4"/>
      <c r="V115" s="4"/>
      <c r="W115" s="5"/>
      <c r="X115" s="4"/>
      <c r="Y115" s="4"/>
      <c r="Z115" s="6"/>
      <c r="AA115" s="6"/>
      <c r="AB115" s="6"/>
      <c r="AC115" s="6"/>
      <c r="AD115" s="6"/>
      <c r="AE115" s="6"/>
      <c r="AF115" s="7"/>
    </row>
    <row r="116" spans="1:32" s="3" customFormat="1" x14ac:dyDescent="0.25">
      <c r="A116" s="137" t="str">
        <f t="shared" si="81"/>
        <v>Crane</v>
      </c>
      <c r="B116" s="36"/>
      <c r="C116" s="20"/>
      <c r="D116" s="1"/>
      <c r="E116" s="30">
        <f t="shared" si="82"/>
        <v>1.609162520316792E-3</v>
      </c>
      <c r="F116" s="30">
        <f t="shared" si="82"/>
        <v>5.7136746151053635E-3</v>
      </c>
      <c r="G116" s="30">
        <f t="shared" si="82"/>
        <v>1.3695426775475215E-2</v>
      </c>
      <c r="H116" s="30">
        <f t="shared" si="82"/>
        <v>2.1213040839750454E-5</v>
      </c>
      <c r="I116" s="30">
        <f t="shared" si="82"/>
        <v>4.8832371465682301E-4</v>
      </c>
      <c r="J116" s="30">
        <f t="shared" si="82"/>
        <v>4.3460810604457249E-4</v>
      </c>
      <c r="K116" s="30">
        <f t="shared" si="82"/>
        <v>2.1612154202286558</v>
      </c>
      <c r="L116" s="30">
        <f t="shared" si="82"/>
        <v>1.5079868598726182E-4</v>
      </c>
      <c r="M116" s="30">
        <f t="shared" si="82"/>
        <v>1.3010655436701457E-3</v>
      </c>
      <c r="O116"/>
      <c r="P116"/>
      <c r="Q116" s="4"/>
      <c r="R116" s="4"/>
      <c r="S116" s="4"/>
      <c r="T116" s="4"/>
      <c r="U116" s="4"/>
      <c r="V116" s="4"/>
      <c r="W116" s="5"/>
      <c r="X116" s="4"/>
      <c r="Y116" s="4"/>
      <c r="Z116" s="6"/>
      <c r="AA116" s="6"/>
      <c r="AB116" s="6"/>
      <c r="AC116" s="6"/>
      <c r="AD116" s="6"/>
      <c r="AE116" s="6"/>
      <c r="AF116" s="7"/>
    </row>
    <row r="117" spans="1:32" s="3" customFormat="1" x14ac:dyDescent="0.25">
      <c r="A117" s="12" t="str">
        <f t="shared" si="81"/>
        <v>Subtotal</v>
      </c>
      <c r="B117" s="36"/>
      <c r="C117" s="20"/>
      <c r="D117" s="1"/>
      <c r="E117" s="24">
        <f>SUM(E111:E116)</f>
        <v>1.8006474162792177E-2</v>
      </c>
      <c r="F117" s="24">
        <f t="shared" ref="F117:M117" si="83">SUM(F111:F116)</f>
        <v>7.4804734581765758E-2</v>
      </c>
      <c r="G117" s="24">
        <f t="shared" si="83"/>
        <v>0.13695522420073858</v>
      </c>
      <c r="H117" s="24">
        <f t="shared" si="83"/>
        <v>2.3087268951563919E-4</v>
      </c>
      <c r="I117" s="24">
        <f t="shared" si="83"/>
        <v>6.8545772106075181E-3</v>
      </c>
      <c r="J117" s="24">
        <f t="shared" si="83"/>
        <v>6.1005737174406917E-3</v>
      </c>
      <c r="K117" s="24">
        <f t="shared" si="83"/>
        <v>20.435412919083745</v>
      </c>
      <c r="L117" s="24">
        <f t="shared" si="83"/>
        <v>1.6902019167200893E-3</v>
      </c>
      <c r="M117" s="24">
        <f t="shared" si="83"/>
        <v>1.3010746299070163E-2</v>
      </c>
      <c r="O117"/>
      <c r="P117"/>
      <c r="Q117" s="4"/>
      <c r="R117" s="4"/>
      <c r="S117" s="4"/>
      <c r="T117" s="4"/>
      <c r="U117" s="4"/>
      <c r="V117" s="4"/>
      <c r="W117" s="5"/>
      <c r="X117" s="4"/>
      <c r="Y117" s="4"/>
      <c r="Z117" s="6"/>
      <c r="AA117" s="6"/>
      <c r="AB117" s="6"/>
      <c r="AC117" s="6"/>
      <c r="AD117" s="6"/>
      <c r="AE117" s="6"/>
      <c r="AF117" s="7"/>
    </row>
    <row r="118" spans="1:32" x14ac:dyDescent="0.25">
      <c r="A118" s="19" t="s">
        <v>635</v>
      </c>
      <c r="B118" s="158"/>
      <c r="C118" s="158"/>
      <c r="E118" s="22">
        <f>E101+E108+E117</f>
        <v>0.12896137838267385</v>
      </c>
      <c r="F118" s="22">
        <f t="shared" ref="F118:M118" si="84">F101+F108+F117</f>
        <v>0.58955943350846973</v>
      </c>
      <c r="G118" s="22">
        <f t="shared" si="84"/>
        <v>0.86434962280661864</v>
      </c>
      <c r="H118" s="22">
        <f t="shared" si="84"/>
        <v>1.7555745411108267E-3</v>
      </c>
      <c r="I118" s="22">
        <f t="shared" si="84"/>
        <v>4.3546394938052638E-2</v>
      </c>
      <c r="J118" s="22">
        <f t="shared" si="84"/>
        <v>3.8756291494866854E-2</v>
      </c>
      <c r="K118" s="22">
        <f t="shared" si="84"/>
        <v>165.41677181773994</v>
      </c>
      <c r="L118" s="22">
        <f t="shared" si="84"/>
        <v>1.25948894842492E-2</v>
      </c>
      <c r="M118" s="22">
        <f t="shared" si="84"/>
        <v>8.211321416662877E-2</v>
      </c>
    </row>
  </sheetData>
  <mergeCells count="3">
    <mergeCell ref="E3:L3"/>
    <mergeCell ref="Q3:X3"/>
    <mergeCell ref="E62:L62"/>
  </mergeCells>
  <pageMargins left="0.75" right="0.75" top="1" bottom="1" header="0.5" footer="0.5"/>
  <pageSetup scale="32" orientation="landscape" r:id="rId1"/>
  <headerFooter alignWithMargins="0">
    <oddHeader xml:space="preserve">&amp;CTable A-2
Construction Heavy Equipment Emissions
South Orange County Reliability Project
Transmission Segment 1: Capistrano Substation Getaways
</oddHeader>
    <oddFooter>&amp;CA-2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98"/>
  <sheetViews>
    <sheetView topLeftCell="A176" workbookViewId="0">
      <selection activeCell="A3" sqref="A3:G196"/>
    </sheetView>
  </sheetViews>
  <sheetFormatPr defaultRowHeight="13.2" x14ac:dyDescent="0.25"/>
  <cols>
    <col min="1" max="1" width="49.6640625" style="32" customWidth="1"/>
    <col min="17" max="17" width="9.109375" style="7"/>
  </cols>
  <sheetData>
    <row r="1" spans="1:19" x14ac:dyDescent="0.25">
      <c r="A1" s="8" t="s">
        <v>650</v>
      </c>
      <c r="B1" s="622" t="s">
        <v>1</v>
      </c>
      <c r="C1" s="621"/>
      <c r="D1" s="621"/>
      <c r="E1" s="621"/>
      <c r="F1" s="621"/>
      <c r="G1" s="621"/>
      <c r="H1" s="621"/>
      <c r="I1" s="621"/>
      <c r="J1" s="11"/>
      <c r="K1" s="623" t="s">
        <v>2</v>
      </c>
      <c r="L1" s="750"/>
      <c r="M1" s="750"/>
      <c r="N1" s="750"/>
      <c r="O1" s="750"/>
      <c r="P1" s="750"/>
      <c r="Q1" s="750"/>
      <c r="R1" s="750"/>
      <c r="S1" s="751"/>
    </row>
    <row r="2" spans="1:19" s="572" customFormat="1" x14ac:dyDescent="0.25">
      <c r="A2" s="613">
        <v>2015</v>
      </c>
      <c r="B2" s="564"/>
      <c r="C2" s="563"/>
      <c r="D2" s="563"/>
      <c r="E2" s="563"/>
      <c r="F2" s="563"/>
      <c r="G2" s="563"/>
      <c r="H2" s="563"/>
      <c r="I2" s="563"/>
      <c r="J2" s="11"/>
      <c r="K2" s="565"/>
      <c r="L2" s="570"/>
      <c r="M2" s="570"/>
      <c r="N2" s="570"/>
      <c r="O2" s="570"/>
      <c r="P2" s="570"/>
      <c r="Q2" s="570"/>
      <c r="R2" s="570"/>
      <c r="S2" s="571"/>
    </row>
    <row r="3" spans="1:19" s="572" customFormat="1" ht="39.6" x14ac:dyDescent="0.25">
      <c r="A3" s="12" t="str">
        <f>'Equipment Trans Seg 1'!A2</f>
        <v>Segment 1a: Underground 138-kV Getaways from San Juan Capistrano Substation</v>
      </c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7" t="s">
        <v>24</v>
      </c>
      <c r="I3" s="16" t="s">
        <v>25</v>
      </c>
      <c r="J3" s="16" t="s">
        <v>26</v>
      </c>
      <c r="K3" s="18" t="s">
        <v>27</v>
      </c>
      <c r="L3" s="18" t="s">
        <v>28</v>
      </c>
      <c r="M3" s="18" t="s">
        <v>29</v>
      </c>
      <c r="N3" s="18" t="s">
        <v>30</v>
      </c>
      <c r="O3" s="18" t="s">
        <v>31</v>
      </c>
      <c r="P3" s="18" t="s">
        <v>32</v>
      </c>
      <c r="Q3" s="17" t="s">
        <v>33</v>
      </c>
      <c r="R3" s="18" t="s">
        <v>34</v>
      </c>
      <c r="S3" s="18" t="s">
        <v>35</v>
      </c>
    </row>
    <row r="4" spans="1:19" s="572" customFormat="1" x14ac:dyDescent="0.25">
      <c r="A4" s="137" t="s">
        <v>75</v>
      </c>
      <c r="B4" s="600"/>
      <c r="C4" s="145"/>
      <c r="D4" s="145"/>
      <c r="E4" s="145"/>
      <c r="F4" s="145"/>
      <c r="G4" s="145"/>
      <c r="H4" s="145"/>
      <c r="I4" s="145"/>
      <c r="J4" s="31"/>
      <c r="K4" s="593"/>
      <c r="L4" s="145"/>
      <c r="M4" s="145"/>
      <c r="N4" s="145"/>
      <c r="O4" s="145"/>
      <c r="P4" s="145"/>
      <c r="Q4" s="145"/>
      <c r="R4" s="145"/>
      <c r="S4" s="594"/>
    </row>
    <row r="5" spans="1:19" s="572" customFormat="1" x14ac:dyDescent="0.25">
      <c r="A5" s="137" t="s">
        <v>119</v>
      </c>
      <c r="B5" s="587">
        <f>'Equipment Trans Seg 1'!Q37</f>
        <v>12.033701489954426</v>
      </c>
      <c r="C5" s="587">
        <f>'Equipment Trans Seg 1'!R37</f>
        <v>47.793510790249826</v>
      </c>
      <c r="D5" s="587">
        <f>'Equipment Trans Seg 1'!S37</f>
        <v>94.901302503885148</v>
      </c>
      <c r="E5" s="587">
        <f>'Equipment Trans Seg 1'!T37</f>
        <v>0.16577517429210725</v>
      </c>
      <c r="F5" s="587">
        <f>'Equipment Trans Seg 1'!U37</f>
        <v>3.9030511777113426</v>
      </c>
      <c r="G5" s="587">
        <f>'Equipment Trans Seg 1'!V37</f>
        <v>3.4737155481630948</v>
      </c>
      <c r="H5" s="587">
        <f>'Equipment Trans Seg 1'!W37</f>
        <v>15799.502698670558</v>
      </c>
      <c r="I5" s="587">
        <f>'Equipment Trans Seg 1'!X37</f>
        <v>1.1308577253133818</v>
      </c>
      <c r="J5" s="587">
        <f>'Equipment Trans Seg 1'!Y37</f>
        <v>9.0156237378690918</v>
      </c>
      <c r="K5" s="587">
        <f>'Equipment Trans Seg 1'!E94</f>
        <v>0.29291481058901003</v>
      </c>
      <c r="L5" s="587">
        <f>'Equipment Trans Seg 1'!F94</f>
        <v>1.1296007622079489</v>
      </c>
      <c r="M5" s="587">
        <f>'Equipment Trans Seg 1'!G94</f>
        <v>2.2222681395582269</v>
      </c>
      <c r="N5" s="587">
        <f>'Equipment Trans Seg 1'!H94</f>
        <v>3.9993060350885659E-3</v>
      </c>
      <c r="O5" s="587">
        <f>'Equipment Trans Seg 1'!I94</f>
        <v>9.823267170397762E-2</v>
      </c>
      <c r="P5" s="587">
        <f>'Equipment Trans Seg 1'!J94</f>
        <v>8.7427077816540077E-2</v>
      </c>
      <c r="Q5" s="587">
        <f>'Equipment Trans Seg 1'!K94</f>
        <v>374.90033437589511</v>
      </c>
      <c r="R5" s="587">
        <f>'Equipment Trans Seg 1'!L94</f>
        <v>2.7542333074466491E-2</v>
      </c>
      <c r="S5" s="587">
        <f>'Equipment Trans Seg 1'!M94</f>
        <v>0.21111547325803151</v>
      </c>
    </row>
    <row r="6" spans="1:19" s="572" customFormat="1" x14ac:dyDescent="0.25">
      <c r="A6" s="137" t="s">
        <v>120</v>
      </c>
      <c r="B6" s="587">
        <f>WorkerTrips!I115</f>
        <v>0.65511805175905713</v>
      </c>
      <c r="C6" s="587">
        <f>WorkerTrips!G115</f>
        <v>6.7054812850475116</v>
      </c>
      <c r="D6" s="587">
        <f>WorkerTrips!H115</f>
        <v>0.60504306214685344</v>
      </c>
      <c r="E6" s="587">
        <f>WorkerTrips!J115</f>
        <v>7.9777146299521585E-3</v>
      </c>
      <c r="F6" s="586">
        <f>WorkerTrips!K115+WorkerTrips!M115</f>
        <v>0.18827082191907141</v>
      </c>
      <c r="G6" s="586">
        <f>WorkerTrips!L115+WorkerTrips!N115</f>
        <v>8.0414043758139514E-2</v>
      </c>
      <c r="H6" s="586">
        <f>WorkerTrips!O115</f>
        <v>642.86953798786374</v>
      </c>
      <c r="I6" s="586">
        <f>WorkerTrips!P115</f>
        <v>3.48936441957894E-2</v>
      </c>
      <c r="J6" s="586">
        <f>WorkerTrips!Q115</f>
        <v>6.3490421675329631E-2</v>
      </c>
      <c r="K6" s="590">
        <f>WorkerTrips!U115</f>
        <v>2.1618895708048886E-2</v>
      </c>
      <c r="L6" s="590">
        <f>WorkerTrips!S115</f>
        <v>0.22128088240656787</v>
      </c>
      <c r="M6" s="590">
        <f>WorkerTrips!T115</f>
        <v>1.9966421050846166E-2</v>
      </c>
      <c r="N6" s="590">
        <f>WorkerTrips!V115</f>
        <v>2.6326458278842123E-4</v>
      </c>
      <c r="O6" s="591">
        <f>WorkerTrips!W115+WorkerTrips!Y115</f>
        <v>6.2129371233293554E-3</v>
      </c>
      <c r="P6" s="591">
        <f>WorkerTrips!X115+WorkerTrips!Z115</f>
        <v>2.6536634440186041E-3</v>
      </c>
      <c r="Q6" s="591">
        <f>WorkerTrips!AA115</f>
        <v>21.214694753599503</v>
      </c>
      <c r="R6" s="591">
        <f>WorkerTrips!AB115</f>
        <v>1.1514902584610503E-3</v>
      </c>
      <c r="S6" s="591">
        <f>WorkerTrips!AC115</f>
        <v>2.0951839152858779E-3</v>
      </c>
    </row>
    <row r="7" spans="1:19" s="572" customFormat="1" x14ac:dyDescent="0.25">
      <c r="A7" s="137" t="s">
        <v>121</v>
      </c>
      <c r="B7" s="587">
        <f>'Construction Trucks'!V27</f>
        <v>0.42751037519921803</v>
      </c>
      <c r="C7" s="587">
        <f>'Construction Trucks'!T27</f>
        <v>1.8590936913885385</v>
      </c>
      <c r="D7" s="587">
        <f>'Construction Trucks'!U27</f>
        <v>8.0258125485079859</v>
      </c>
      <c r="E7" s="587">
        <f>'Construction Trucks'!W27</f>
        <v>1.4910582093402087E-2</v>
      </c>
      <c r="F7" s="586">
        <f>'Construction Trucks'!X27+'Construction Trucks'!Z27</f>
        <v>0.39454438197456232</v>
      </c>
      <c r="G7" s="586">
        <f>'Construction Trucks'!Y27+'Construction Trucks'!AA27</f>
        <v>0.22761851519514972</v>
      </c>
      <c r="H7" s="586">
        <f>'Construction Trucks'!AB27</f>
        <v>2312.0977224267926</v>
      </c>
      <c r="I7" s="586">
        <f>'Construction Trucks'!AC27</f>
        <v>0.13212020015263423</v>
      </c>
      <c r="J7" s="586">
        <f>'Construction Trucks'!AD27</f>
        <v>5.9226695257684731E-2</v>
      </c>
      <c r="K7" s="592">
        <f>'Construction Trucks'!AH27</f>
        <v>1.5398405950027174E-2</v>
      </c>
      <c r="L7" s="592">
        <f>'Construction Trucks'!AF27</f>
        <v>6.9270385985971489E-2</v>
      </c>
      <c r="M7" s="592">
        <f>'Construction Trucks'!AG27</f>
        <v>0.24289225621013572</v>
      </c>
      <c r="N7" s="592">
        <f>'Construction Trucks'!AI27</f>
        <v>4.8533610823707008E-4</v>
      </c>
      <c r="O7" s="586">
        <f>'Construction Trucks'!AJ27+'Construction Trucks'!AL27</f>
        <v>1.5711505826699845E-2</v>
      </c>
      <c r="P7" s="586">
        <f>'Construction Trucks'!AK27+'Construction Trucks'!AM27</f>
        <v>9.5278308796590723E-3</v>
      </c>
      <c r="Q7" s="586">
        <f>'Construction Trucks'!AN27</f>
        <v>71.785561545724875</v>
      </c>
      <c r="R7" s="586">
        <f>'Construction Trucks'!AO27</f>
        <v>4.1020423434073566E-3</v>
      </c>
      <c r="S7" s="586">
        <f>'Construction Trucks'!AP27</f>
        <v>1.8388589445552887E-3</v>
      </c>
    </row>
    <row r="8" spans="1:19" s="572" customFormat="1" x14ac:dyDescent="0.25">
      <c r="A8" s="137" t="s">
        <v>122</v>
      </c>
      <c r="B8" s="588"/>
      <c r="C8" s="589"/>
      <c r="D8" s="589"/>
      <c r="E8" s="589"/>
      <c r="F8" s="586">
        <f>'Fugitive Dust Transmission'!$C$150</f>
        <v>89.771202104633829</v>
      </c>
      <c r="G8" s="586">
        <f>'Fugitive Dust Transmission'!$D$150</f>
        <v>26.788555913912528</v>
      </c>
      <c r="H8" s="589"/>
      <c r="I8" s="589"/>
      <c r="J8" s="588"/>
      <c r="K8" s="593"/>
      <c r="L8" s="145"/>
      <c r="M8" s="145"/>
      <c r="N8" s="145"/>
      <c r="O8" s="215">
        <f>'Fugitive Dust Transmission'!C153</f>
        <v>5.9248993389058322</v>
      </c>
      <c r="P8" s="215">
        <f>'Fugitive Dust Transmission'!D153</f>
        <v>1.768044690318227</v>
      </c>
      <c r="Q8" s="145"/>
      <c r="R8" s="145"/>
      <c r="S8" s="594"/>
    </row>
    <row r="9" spans="1:19" s="572" customFormat="1" x14ac:dyDescent="0.25">
      <c r="A9" s="12" t="s">
        <v>123</v>
      </c>
      <c r="B9" s="588">
        <f>SUM(B5:B8)</f>
        <v>13.116329916912701</v>
      </c>
      <c r="C9" s="588">
        <f t="shared" ref="C9:J9" si="0">SUM(C5:C8)</f>
        <v>56.358085766685875</v>
      </c>
      <c r="D9" s="588">
        <f t="shared" si="0"/>
        <v>103.53215811453998</v>
      </c>
      <c r="E9" s="588">
        <f t="shared" si="0"/>
        <v>0.18866347101546152</v>
      </c>
      <c r="F9" s="588">
        <f t="shared" si="0"/>
        <v>94.257068486238808</v>
      </c>
      <c r="G9" s="588">
        <f t="shared" si="0"/>
        <v>30.570304021028914</v>
      </c>
      <c r="H9" s="588">
        <f t="shared" si="0"/>
        <v>18754.469959085214</v>
      </c>
      <c r="I9" s="588">
        <f t="shared" si="0"/>
        <v>1.2978715696618055</v>
      </c>
      <c r="J9" s="588">
        <f t="shared" si="0"/>
        <v>9.1383408548021059</v>
      </c>
      <c r="K9" s="588">
        <f t="shared" ref="K9" si="1">SUM(K5:K8)</f>
        <v>0.32993211224708607</v>
      </c>
      <c r="L9" s="588">
        <f t="shared" ref="L9" si="2">SUM(L5:L8)</f>
        <v>1.4201520306004884</v>
      </c>
      <c r="M9" s="588">
        <f t="shared" ref="M9" si="3">SUM(M5:M8)</f>
        <v>2.4851268168192089</v>
      </c>
      <c r="N9" s="588">
        <f t="shared" ref="N9" si="4">SUM(N5:N8)</f>
        <v>4.7479067261140566E-3</v>
      </c>
      <c r="O9" s="588">
        <f t="shared" ref="O9" si="5">SUM(O5:O8)</f>
        <v>6.0450564535598392</v>
      </c>
      <c r="P9" s="588">
        <f t="shared" ref="P9" si="6">SUM(P5:P8)</f>
        <v>1.8676532624584448</v>
      </c>
      <c r="Q9" s="588">
        <f t="shared" ref="Q9" si="7">SUM(Q5:Q8)</f>
        <v>467.90059067521946</v>
      </c>
      <c r="R9" s="588">
        <f t="shared" ref="R9" si="8">SUM(R5:R8)</f>
        <v>3.2795865676334898E-2</v>
      </c>
      <c r="S9" s="588">
        <f t="shared" ref="S9" si="9">SUM(S5:S8)</f>
        <v>0.21504951611787268</v>
      </c>
    </row>
    <row r="10" spans="1:19" s="572" customFormat="1" x14ac:dyDescent="0.25">
      <c r="A10" s="614" t="s">
        <v>124</v>
      </c>
      <c r="B10" s="216">
        <v>75</v>
      </c>
      <c r="C10" s="216">
        <v>550</v>
      </c>
      <c r="D10" s="216">
        <v>100</v>
      </c>
      <c r="E10" s="216">
        <v>150</v>
      </c>
      <c r="F10" s="216">
        <v>150</v>
      </c>
      <c r="G10" s="216">
        <v>55</v>
      </c>
      <c r="H10" s="216" t="s">
        <v>126</v>
      </c>
      <c r="I10" s="216" t="s">
        <v>126</v>
      </c>
      <c r="J10" s="216" t="s">
        <v>126</v>
      </c>
      <c r="K10" s="593"/>
      <c r="L10" s="145"/>
      <c r="M10" s="145"/>
      <c r="N10" s="145"/>
      <c r="O10" s="145"/>
      <c r="P10" s="145"/>
      <c r="Q10" s="145"/>
      <c r="R10" s="145"/>
      <c r="S10" s="594"/>
    </row>
    <row r="11" spans="1:19" s="572" customFormat="1" x14ac:dyDescent="0.25">
      <c r="A11" s="137" t="s">
        <v>125</v>
      </c>
      <c r="B11" s="27" t="str">
        <f>IF(B9&gt;B10,"Yes","No")</f>
        <v>No</v>
      </c>
      <c r="C11" s="27" t="str">
        <f t="shared" ref="C11:G11" si="10">IF(C9&gt;C10,"Yes","No")</f>
        <v>No</v>
      </c>
      <c r="D11" s="27" t="str">
        <f t="shared" si="10"/>
        <v>Yes</v>
      </c>
      <c r="E11" s="27" t="str">
        <f t="shared" si="10"/>
        <v>No</v>
      </c>
      <c r="F11" s="27" t="str">
        <f t="shared" si="10"/>
        <v>No</v>
      </c>
      <c r="G11" s="27" t="str">
        <f t="shared" si="10"/>
        <v>No</v>
      </c>
      <c r="H11" s="27" t="s">
        <v>126</v>
      </c>
      <c r="I11" s="27" t="s">
        <v>126</v>
      </c>
      <c r="J11" s="27" t="s">
        <v>126</v>
      </c>
      <c r="K11" s="593"/>
      <c r="L11" s="145"/>
      <c r="M11" s="145"/>
      <c r="N11" s="145"/>
      <c r="O11" s="145"/>
      <c r="P11" s="145"/>
      <c r="Q11" s="145"/>
      <c r="R11" s="145"/>
      <c r="S11" s="594"/>
    </row>
    <row r="12" spans="1:19" s="572" customFormat="1" x14ac:dyDescent="0.25">
      <c r="A12" s="613"/>
      <c r="B12" s="564"/>
      <c r="C12" s="563"/>
      <c r="D12" s="563"/>
      <c r="E12" s="563"/>
      <c r="F12" s="563"/>
      <c r="G12" s="563"/>
      <c r="H12" s="563"/>
      <c r="I12" s="563"/>
      <c r="J12" s="11"/>
      <c r="K12" s="595"/>
      <c r="L12" s="596"/>
      <c r="M12" s="596"/>
      <c r="N12" s="596"/>
      <c r="O12" s="596"/>
      <c r="P12" s="596"/>
      <c r="Q12" s="596"/>
      <c r="R12" s="596"/>
      <c r="S12" s="597"/>
    </row>
    <row r="13" spans="1:19" s="572" customFormat="1" ht="13.5" customHeight="1" x14ac:dyDescent="0.25">
      <c r="A13" s="613"/>
      <c r="B13" s="564"/>
      <c r="C13" s="563"/>
      <c r="D13" s="563"/>
      <c r="E13" s="563"/>
      <c r="F13" s="563"/>
      <c r="G13" s="563"/>
      <c r="H13" s="563"/>
      <c r="I13" s="563"/>
      <c r="J13" s="11"/>
      <c r="K13" s="598"/>
      <c r="L13" s="112"/>
      <c r="M13" s="112"/>
      <c r="N13" s="112"/>
      <c r="O13" s="112"/>
      <c r="P13" s="112"/>
      <c r="Q13" s="112"/>
      <c r="R13" s="112"/>
      <c r="S13" s="599"/>
    </row>
    <row r="14" spans="1:19" s="572" customFormat="1" ht="36.75" customHeight="1" x14ac:dyDescent="0.25">
      <c r="A14" s="12" t="str">
        <f>'Equipment Trans Talega Seg 3'!A2</f>
        <v>Segment 3: Overhead Double-Circuit 230-kV Transmission Line South of Vista Montana Road to structure 42</v>
      </c>
      <c r="B14" s="16" t="s">
        <v>18</v>
      </c>
      <c r="C14" s="16" t="s">
        <v>19</v>
      </c>
      <c r="D14" s="16" t="s">
        <v>20</v>
      </c>
      <c r="E14" s="16" t="s">
        <v>21</v>
      </c>
      <c r="F14" s="16" t="s">
        <v>22</v>
      </c>
      <c r="G14" s="16" t="s">
        <v>23</v>
      </c>
      <c r="H14" s="17" t="s">
        <v>24</v>
      </c>
      <c r="I14" s="16" t="s">
        <v>25</v>
      </c>
      <c r="J14" s="16" t="s">
        <v>26</v>
      </c>
      <c r="K14" s="18" t="s">
        <v>27</v>
      </c>
      <c r="L14" s="18" t="s">
        <v>28</v>
      </c>
      <c r="M14" s="18" t="s">
        <v>29</v>
      </c>
      <c r="N14" s="18" t="s">
        <v>30</v>
      </c>
      <c r="O14" s="18" t="s">
        <v>31</v>
      </c>
      <c r="P14" s="18" t="s">
        <v>32</v>
      </c>
      <c r="Q14" s="17" t="s">
        <v>33</v>
      </c>
      <c r="R14" s="18" t="s">
        <v>34</v>
      </c>
      <c r="S14" s="18" t="s">
        <v>35</v>
      </c>
    </row>
    <row r="15" spans="1:19" s="572" customFormat="1" x14ac:dyDescent="0.25">
      <c r="A15" s="137" t="s">
        <v>75</v>
      </c>
      <c r="B15" s="600"/>
      <c r="C15" s="145"/>
      <c r="D15" s="145"/>
      <c r="E15" s="145"/>
      <c r="F15" s="145"/>
      <c r="G15" s="145"/>
      <c r="H15" s="145"/>
      <c r="I15" s="145"/>
      <c r="J15" s="31"/>
      <c r="K15" s="593"/>
      <c r="L15" s="145"/>
      <c r="M15" s="145"/>
      <c r="N15" s="145"/>
      <c r="O15" s="145"/>
      <c r="P15" s="145"/>
      <c r="Q15" s="145"/>
      <c r="R15" s="145"/>
      <c r="S15" s="594"/>
    </row>
    <row r="16" spans="1:19" s="572" customFormat="1" x14ac:dyDescent="0.25">
      <c r="A16" s="137" t="s">
        <v>119</v>
      </c>
      <c r="B16" s="587">
        <f>'Equipment Trans Talega Seg 3'!Q27</f>
        <v>14.615566728877521</v>
      </c>
      <c r="C16" s="587">
        <f>'Equipment Trans Talega Seg 3'!R27</f>
        <v>58.548229230582812</v>
      </c>
      <c r="D16" s="587">
        <f>'Equipment Trans Talega Seg 3'!S27</f>
        <v>118.25940697984653</v>
      </c>
      <c r="E16" s="587">
        <f>'Equipment Trans Talega Seg 3'!T27</f>
        <v>0.20192470251275196</v>
      </c>
      <c r="F16" s="587">
        <f>'Equipment Trans Talega Seg 3'!U27</f>
        <v>4.6147685042311739</v>
      </c>
      <c r="G16" s="587">
        <f>'Equipment Trans Talega Seg 3'!V27</f>
        <v>4.1071439687657456</v>
      </c>
      <c r="H16" s="587">
        <f>'Equipment Trans Talega Seg 3'!W27</f>
        <v>18978.574788785747</v>
      </c>
      <c r="I16" s="587">
        <f>'Equipment Trans Talega Seg 3'!X27</f>
        <v>1.3736745401142527</v>
      </c>
      <c r="J16" s="587">
        <f>'Equipment Trans Talega Seg 3'!Y27</f>
        <v>11.234643663085421</v>
      </c>
      <c r="K16" s="587">
        <f>'Equipment Trans Talega Seg 3'!E74</f>
        <v>0.40980340474543359</v>
      </c>
      <c r="L16" s="587">
        <f>'Equipment Trans Talega Seg 3'!F74</f>
        <v>1.7123789871036377</v>
      </c>
      <c r="M16" s="587">
        <f>'Equipment Trans Talega Seg 3'!G74</f>
        <v>3.2484940976662489</v>
      </c>
      <c r="N16" s="587">
        <f>'Equipment Trans Talega Seg 3'!H74</f>
        <v>5.7396898022316527E-3</v>
      </c>
      <c r="O16" s="587">
        <f>'Equipment Trans Talega Seg 3'!I74</f>
        <v>0.13529511414561346</v>
      </c>
      <c r="P16" s="587">
        <f>'Equipment Trans Talega Seg 3'!J74</f>
        <v>0.12041265158959596</v>
      </c>
      <c r="Q16" s="587">
        <f>'Equipment Trans Talega Seg 3'!K74</f>
        <v>524.45168986998783</v>
      </c>
      <c r="R16" s="587">
        <f>'Equipment Trans Talega Seg 3'!L74</f>
        <v>3.8527770483954601E-2</v>
      </c>
      <c r="S16" s="587">
        <f>'Equipment Trans Talega Seg 3'!M74</f>
        <v>0.30860693927829363</v>
      </c>
    </row>
    <row r="17" spans="1:19" s="572" customFormat="1" x14ac:dyDescent="0.25">
      <c r="A17" s="137" t="s">
        <v>120</v>
      </c>
      <c r="B17" s="587">
        <f>WorkerTrips!I117</f>
        <v>1.0720113574239116</v>
      </c>
      <c r="C17" s="587">
        <f>WorkerTrips!G117</f>
        <v>10.972605739168657</v>
      </c>
      <c r="D17" s="587">
        <f>WorkerTrips!H117</f>
        <v>0.99007046533121468</v>
      </c>
      <c r="E17" s="587">
        <f>WorkerTrips!J117</f>
        <v>1.3054442121739899E-2</v>
      </c>
      <c r="F17" s="586">
        <f>WorkerTrips!K117+WorkerTrips!M117</f>
        <v>0.30807952677666228</v>
      </c>
      <c r="G17" s="586">
        <f>WorkerTrips!L117+WorkerTrips!N117</f>
        <v>0.13158661705877372</v>
      </c>
      <c r="H17" s="586">
        <f>WorkerTrips!O117</f>
        <v>1051.9683348892318</v>
      </c>
      <c r="I17" s="586">
        <f>WorkerTrips!P117</f>
        <v>5.7098690502200837E-2</v>
      </c>
      <c r="J17" s="586">
        <f>WorkerTrips!Q117</f>
        <v>0.10389341728690304</v>
      </c>
      <c r="K17" s="590">
        <f>WorkerTrips!U117</f>
        <v>3.5376374794989084E-2</v>
      </c>
      <c r="L17" s="590">
        <f>WorkerTrips!S117</f>
        <v>0.36209598939256571</v>
      </c>
      <c r="M17" s="590">
        <f>WorkerTrips!T117</f>
        <v>3.2672325355930086E-2</v>
      </c>
      <c r="N17" s="590">
        <f>WorkerTrips!V117</f>
        <v>4.3079659001741665E-4</v>
      </c>
      <c r="O17" s="591">
        <f>WorkerTrips!W117+WorkerTrips!Y117</f>
        <v>1.0166624383629854E-2</v>
      </c>
      <c r="P17" s="591">
        <f>WorkerTrips!X117+WorkerTrips!Z117</f>
        <v>4.3423583629395336E-3</v>
      </c>
      <c r="Q17" s="591">
        <f>WorkerTrips!AA117</f>
        <v>34.714955051344646</v>
      </c>
      <c r="R17" s="591">
        <f>WorkerTrips!AB117</f>
        <v>1.8842567865726277E-3</v>
      </c>
      <c r="S17" s="591">
        <f>WorkerTrips!AC117</f>
        <v>3.4284827704678003E-3</v>
      </c>
    </row>
    <row r="18" spans="1:19" s="572" customFormat="1" x14ac:dyDescent="0.25">
      <c r="A18" s="137" t="s">
        <v>121</v>
      </c>
      <c r="B18" s="587">
        <f>'Construction Trucks'!V41</f>
        <v>0.74544789357672658</v>
      </c>
      <c r="C18" s="587">
        <f>'Construction Trucks'!T41</f>
        <v>3.1651942435400038</v>
      </c>
      <c r="D18" s="587">
        <f>'Construction Trucks'!U41</f>
        <v>15.525418142156269</v>
      </c>
      <c r="E18" s="587">
        <f>'Construction Trucks'!W41</f>
        <v>2.7713884342268763E-2</v>
      </c>
      <c r="F18" s="586">
        <f>'Construction Trucks'!X41+'Construction Trucks'!Z41</f>
        <v>0.63823292514261165</v>
      </c>
      <c r="G18" s="586">
        <f>'Construction Trucks'!Y41+'Construction Trucks'!AA41</f>
        <v>0.35283953915462779</v>
      </c>
      <c r="H18" s="586">
        <f>'Construction Trucks'!AB41</f>
        <v>4412.5307583972926</v>
      </c>
      <c r="I18" s="586">
        <f>'Construction Trucks'!AC41</f>
        <v>0.25214524512709646</v>
      </c>
      <c r="J18" s="586">
        <f>'Construction Trucks'!AD41</f>
        <v>0.11303138790710504</v>
      </c>
      <c r="K18" s="592">
        <f>'Construction Trucks'!AH41</f>
        <v>2.356500334982152E-2</v>
      </c>
      <c r="L18" s="592">
        <f>'Construction Trucks'!AF41</f>
        <v>0.10204322478229616</v>
      </c>
      <c r="M18" s="592">
        <f>'Construction Trucks'!AG41</f>
        <v>0.45105485339953111</v>
      </c>
      <c r="N18" s="592">
        <f>'Construction Trucks'!AI41</f>
        <v>8.3159174673480335E-4</v>
      </c>
      <c r="O18" s="586">
        <f>'Construction Trucks'!AJ41+'Construction Trucks'!AL41</f>
        <v>2.1466526292169823E-2</v>
      </c>
      <c r="P18" s="586">
        <f>'Construction Trucks'!AK41+'Construction Trucks'!AM41</f>
        <v>1.2297427337763815E-2</v>
      </c>
      <c r="Q18" s="586">
        <f>'Construction Trucks'!AN41</f>
        <v>129.60125378533439</v>
      </c>
      <c r="R18" s="586">
        <f>'Construction Trucks'!AO41</f>
        <v>7.4058044450553626E-3</v>
      </c>
      <c r="S18" s="586">
        <f>'Construction Trucks'!AP41</f>
        <v>3.3198657169651261E-3</v>
      </c>
    </row>
    <row r="19" spans="1:19" s="572" customFormat="1" x14ac:dyDescent="0.25">
      <c r="A19" s="137" t="s">
        <v>122</v>
      </c>
      <c r="B19" s="588"/>
      <c r="C19" s="589"/>
      <c r="D19" s="589"/>
      <c r="E19" s="589"/>
      <c r="F19" s="586">
        <f>'Fugitive Dust Transmission'!$C$150</f>
        <v>89.771202104633829</v>
      </c>
      <c r="G19" s="586">
        <f>'Fugitive Dust Transmission'!$D$150</f>
        <v>26.788555913912528</v>
      </c>
      <c r="H19" s="589"/>
      <c r="I19" s="589"/>
      <c r="J19" s="588"/>
      <c r="K19" s="593"/>
      <c r="L19" s="145"/>
      <c r="M19" s="145"/>
      <c r="N19" s="145"/>
      <c r="O19" s="215">
        <f>'Fugitive Dust Transmission'!C154</f>
        <v>1.9749664463019443</v>
      </c>
      <c r="P19" s="215">
        <f>'Fugitive Dust Transmission'!D154</f>
        <v>0.58934823010607562</v>
      </c>
      <c r="Q19" s="145"/>
      <c r="R19" s="145"/>
      <c r="S19" s="594"/>
    </row>
    <row r="20" spans="1:19" s="572" customFormat="1" x14ac:dyDescent="0.25">
      <c r="A20" s="12" t="s">
        <v>123</v>
      </c>
      <c r="B20" s="588">
        <f>SUM(B16:B19)</f>
        <v>16.43302597987816</v>
      </c>
      <c r="C20" s="588">
        <f t="shared" ref="C20" si="11">SUM(C16:C19)</f>
        <v>72.686029213291462</v>
      </c>
      <c r="D20" s="588">
        <f t="shared" ref="D20" si="12">SUM(D16:D19)</f>
        <v>134.77489558733402</v>
      </c>
      <c r="E20" s="588">
        <f t="shared" ref="E20" si="13">SUM(E16:E19)</f>
        <v>0.24269302897676062</v>
      </c>
      <c r="F20" s="588">
        <f t="shared" ref="F20" si="14">SUM(F16:F19)</f>
        <v>95.332283060784277</v>
      </c>
      <c r="G20" s="588">
        <f t="shared" ref="G20" si="15">SUM(G16:G19)</f>
        <v>31.380126038891675</v>
      </c>
      <c r="H20" s="588">
        <f t="shared" ref="H20" si="16">SUM(H16:H19)</f>
        <v>24443.073882072273</v>
      </c>
      <c r="I20" s="588">
        <f t="shared" ref="I20" si="17">SUM(I16:I19)</f>
        <v>1.68291847574355</v>
      </c>
      <c r="J20" s="588">
        <f t="shared" ref="J20" si="18">SUM(J16:J19)</f>
        <v>11.451568468279429</v>
      </c>
      <c r="K20" s="588">
        <f t="shared" ref="K20" si="19">SUM(K16:K19)</f>
        <v>0.46874478289024418</v>
      </c>
      <c r="L20" s="588">
        <f t="shared" ref="L20" si="20">SUM(L16:L19)</f>
        <v>2.1765182012784994</v>
      </c>
      <c r="M20" s="588">
        <f t="shared" ref="M20" si="21">SUM(M16:M19)</f>
        <v>3.73222127642171</v>
      </c>
      <c r="N20" s="588">
        <f t="shared" ref="N20" si="22">SUM(N16:N19)</f>
        <v>7.0020781389838731E-3</v>
      </c>
      <c r="O20" s="588">
        <f t="shared" ref="O20" si="23">SUM(O16:O19)</f>
        <v>2.1418947111233573</v>
      </c>
      <c r="P20" s="588">
        <f t="shared" ref="P20" si="24">SUM(P16:P19)</f>
        <v>0.72640066739637499</v>
      </c>
      <c r="Q20" s="588">
        <f t="shared" ref="Q20" si="25">SUM(Q16:Q19)</f>
        <v>688.76789870666687</v>
      </c>
      <c r="R20" s="588">
        <f t="shared" ref="R20" si="26">SUM(R16:R19)</f>
        <v>4.7817831715582591E-2</v>
      </c>
      <c r="S20" s="588">
        <f t="shared" ref="S20" si="27">SUM(S16:S19)</f>
        <v>0.31535528776572658</v>
      </c>
    </row>
    <row r="21" spans="1:19" s="572" customFormat="1" x14ac:dyDescent="0.25">
      <c r="A21" s="614" t="s">
        <v>124</v>
      </c>
      <c r="B21" s="216">
        <v>75</v>
      </c>
      <c r="C21" s="216">
        <v>550</v>
      </c>
      <c r="D21" s="216">
        <v>100</v>
      </c>
      <c r="E21" s="216">
        <v>150</v>
      </c>
      <c r="F21" s="216">
        <v>150</v>
      </c>
      <c r="G21" s="216">
        <v>55</v>
      </c>
      <c r="H21" s="216" t="s">
        <v>126</v>
      </c>
      <c r="I21" s="216" t="s">
        <v>126</v>
      </c>
      <c r="J21" s="216" t="s">
        <v>126</v>
      </c>
      <c r="K21" s="593"/>
      <c r="L21" s="145"/>
      <c r="M21" s="145"/>
      <c r="N21" s="145"/>
      <c r="O21" s="145"/>
      <c r="P21" s="145"/>
      <c r="Q21" s="145"/>
      <c r="R21" s="145"/>
      <c r="S21" s="594"/>
    </row>
    <row r="22" spans="1:19" s="572" customFormat="1" x14ac:dyDescent="0.25">
      <c r="A22" s="137" t="s">
        <v>125</v>
      </c>
      <c r="B22" s="27" t="str">
        <f>IF(B20&gt;B21,"Yes","No")</f>
        <v>No</v>
      </c>
      <c r="C22" s="27" t="str">
        <f t="shared" ref="C22:G22" si="28">IF(C20&gt;C21,"Yes","No")</f>
        <v>No</v>
      </c>
      <c r="D22" s="27" t="str">
        <f t="shared" si="28"/>
        <v>Yes</v>
      </c>
      <c r="E22" s="27" t="str">
        <f t="shared" si="28"/>
        <v>No</v>
      </c>
      <c r="F22" s="27" t="str">
        <f t="shared" si="28"/>
        <v>No</v>
      </c>
      <c r="G22" s="27" t="str">
        <f t="shared" si="28"/>
        <v>No</v>
      </c>
      <c r="H22" s="27" t="s">
        <v>126</v>
      </c>
      <c r="I22" s="27" t="s">
        <v>126</v>
      </c>
      <c r="J22" s="27" t="s">
        <v>126</v>
      </c>
      <c r="K22" s="593"/>
      <c r="L22" s="145"/>
      <c r="M22" s="145"/>
      <c r="N22" s="145"/>
      <c r="O22" s="145"/>
      <c r="P22" s="145"/>
      <c r="Q22" s="145"/>
      <c r="R22" s="145"/>
      <c r="S22" s="594"/>
    </row>
    <row r="23" spans="1:19" s="572" customFormat="1" x14ac:dyDescent="0.25">
      <c r="A23" s="613"/>
      <c r="B23" s="564"/>
      <c r="C23" s="563"/>
      <c r="D23" s="563"/>
      <c r="E23" s="563"/>
      <c r="F23" s="563"/>
      <c r="G23" s="563"/>
      <c r="H23" s="563"/>
      <c r="I23" s="563"/>
      <c r="J23" s="11"/>
      <c r="K23" s="598"/>
      <c r="L23" s="112"/>
      <c r="M23" s="112"/>
      <c r="N23" s="112"/>
      <c r="O23" s="112"/>
      <c r="P23" s="112"/>
      <c r="Q23" s="112"/>
      <c r="R23" s="112"/>
      <c r="S23" s="599"/>
    </row>
    <row r="24" spans="1:19" s="572" customFormat="1" x14ac:dyDescent="0.25">
      <c r="A24" s="613"/>
      <c r="B24" s="564"/>
      <c r="C24" s="563"/>
      <c r="D24" s="563"/>
      <c r="E24" s="563"/>
      <c r="F24" s="563"/>
      <c r="G24" s="563"/>
      <c r="H24" s="563"/>
      <c r="I24" s="563"/>
      <c r="J24" s="11"/>
      <c r="K24" s="598"/>
      <c r="L24" s="112"/>
      <c r="M24" s="112"/>
      <c r="N24" s="112"/>
      <c r="O24" s="112"/>
      <c r="P24" s="112"/>
      <c r="Q24" s="112"/>
      <c r="R24" s="112"/>
      <c r="S24" s="599"/>
    </row>
    <row r="25" spans="1:19" s="572" customFormat="1" ht="39.6" x14ac:dyDescent="0.25">
      <c r="A25" s="12" t="str">
        <f>'Equipment Trans Segment 1'!A2</f>
        <v>Segment 1b: Overhead Double-Circuit 230-kV Transmission Line from Capistrano Substation to Vista Montana Rd. and 138-kV Getaways East of San Juan Capistrano Substation to Vista Montana Road</v>
      </c>
      <c r="B25" s="16" t="s">
        <v>18</v>
      </c>
      <c r="C25" s="16" t="s">
        <v>19</v>
      </c>
      <c r="D25" s="16" t="s">
        <v>20</v>
      </c>
      <c r="E25" s="16" t="s">
        <v>21</v>
      </c>
      <c r="F25" s="16" t="s">
        <v>22</v>
      </c>
      <c r="G25" s="16" t="s">
        <v>23</v>
      </c>
      <c r="H25" s="17" t="s">
        <v>24</v>
      </c>
      <c r="I25" s="16" t="s">
        <v>25</v>
      </c>
      <c r="J25" s="16" t="s">
        <v>26</v>
      </c>
      <c r="K25" s="18" t="s">
        <v>27</v>
      </c>
      <c r="L25" s="18" t="s">
        <v>28</v>
      </c>
      <c r="M25" s="18" t="s">
        <v>29</v>
      </c>
      <c r="N25" s="18" t="s">
        <v>30</v>
      </c>
      <c r="O25" s="18" t="s">
        <v>31</v>
      </c>
      <c r="P25" s="18" t="s">
        <v>32</v>
      </c>
      <c r="Q25" s="17" t="s">
        <v>33</v>
      </c>
      <c r="R25" s="18" t="s">
        <v>34</v>
      </c>
      <c r="S25" s="18" t="s">
        <v>35</v>
      </c>
    </row>
    <row r="26" spans="1:19" s="572" customFormat="1" x14ac:dyDescent="0.25">
      <c r="A26" s="137" t="s">
        <v>75</v>
      </c>
      <c r="B26" s="600"/>
      <c r="C26" s="145"/>
      <c r="D26" s="145"/>
      <c r="E26" s="145"/>
      <c r="F26" s="145"/>
      <c r="G26" s="145"/>
      <c r="H26" s="145"/>
      <c r="I26" s="145"/>
      <c r="J26" s="31"/>
      <c r="K26" s="593"/>
      <c r="L26" s="145"/>
      <c r="M26" s="145"/>
      <c r="N26" s="145"/>
      <c r="O26" s="145"/>
      <c r="P26" s="145"/>
      <c r="Q26" s="145"/>
      <c r="R26" s="145"/>
      <c r="S26" s="594"/>
    </row>
    <row r="27" spans="1:19" s="572" customFormat="1" x14ac:dyDescent="0.25">
      <c r="A27" s="137" t="s">
        <v>119</v>
      </c>
      <c r="B27" s="587">
        <f>'Equipment Trans Segment 1'!Q27</f>
        <v>12.910469814494286</v>
      </c>
      <c r="C27" s="587">
        <f>'Equipment Trans Segment 1'!R27</f>
        <v>50.929190048204788</v>
      </c>
      <c r="D27" s="587">
        <f>'Equipment Trans Segment 1'!S27</f>
        <v>105.25310155451021</v>
      </c>
      <c r="E27" s="587">
        <f>'Equipment Trans Segment 1'!T27</f>
        <v>0.17729418414003106</v>
      </c>
      <c r="F27" s="587">
        <f>'Equipment Trans Segment 1'!U27</f>
        <v>4.0264218487561179</v>
      </c>
      <c r="G27" s="587">
        <f>'Equipment Trans Segment 1'!V27</f>
        <v>3.5835154453929445</v>
      </c>
      <c r="H27" s="587">
        <f>'Equipment Trans Segment 1'!W27</f>
        <v>16817.698093861985</v>
      </c>
      <c r="I27" s="587">
        <f>'Equipment Trans Segment 1'!X27</f>
        <v>1.2132828943789331</v>
      </c>
      <c r="J27" s="587">
        <f>'Equipment Trans Segment 1'!Y27</f>
        <v>9.9990446476784705</v>
      </c>
      <c r="K27" s="587">
        <f>'Equipment Trans Segment 1'!E74</f>
        <v>0.27265802571435532</v>
      </c>
      <c r="L27" s="587">
        <f>'Equipment Trans Segment 1'!F74</f>
        <v>1.0559668466713434</v>
      </c>
      <c r="M27" s="587">
        <f>'Equipment Trans Segment 1'!G74</f>
        <v>2.2100021455431085</v>
      </c>
      <c r="N27" s="587">
        <f>'Equipment Trans Segment 1'!H74</f>
        <v>3.7959837204750283E-3</v>
      </c>
      <c r="O27" s="587">
        <f>'Equipment Trans Segment 1'!I74</f>
        <v>8.5296429717196712E-2</v>
      </c>
      <c r="P27" s="587">
        <f>'Equipment Trans Segment 1'!J74</f>
        <v>7.5913822448305079E-2</v>
      </c>
      <c r="Q27" s="587">
        <f>'Equipment Trans Segment 1'!K74</f>
        <v>354.49288130883349</v>
      </c>
      <c r="R27" s="587">
        <f>'Equipment Trans Segment 1'!L74</f>
        <v>2.5630171466739519E-2</v>
      </c>
      <c r="S27" s="587">
        <f>'Equipment Trans Segment 1'!M74</f>
        <v>0.20995020382659527</v>
      </c>
    </row>
    <row r="28" spans="1:19" s="572" customFormat="1" x14ac:dyDescent="0.25">
      <c r="A28" s="137" t="s">
        <v>120</v>
      </c>
      <c r="B28" s="587">
        <f>WorkerTrips!I122</f>
        <v>1.0720113574239116</v>
      </c>
      <c r="C28" s="587">
        <f>WorkerTrips!G122</f>
        <v>10.972605739168657</v>
      </c>
      <c r="D28" s="587">
        <f>WorkerTrips!H122</f>
        <v>0.99007046533121468</v>
      </c>
      <c r="E28" s="587">
        <f>WorkerTrips!J122</f>
        <v>1.3054442121739899E-2</v>
      </c>
      <c r="F28" s="586">
        <f>WorkerTrips!K122+WorkerTrips!M122</f>
        <v>0.30807952677666228</v>
      </c>
      <c r="G28" s="586">
        <f>WorkerTrips!L122+WorkerTrips!N122</f>
        <v>0.13158661705877372</v>
      </c>
      <c r="H28" s="586">
        <f>WorkerTrips!O122</f>
        <v>1051.9683348892318</v>
      </c>
      <c r="I28" s="586">
        <f>WorkerTrips!P122</f>
        <v>5.7098690502200837E-2</v>
      </c>
      <c r="J28" s="586">
        <f>WorkerTrips!Q122</f>
        <v>0.10389341728690304</v>
      </c>
      <c r="K28" s="590">
        <f>WorkerTrips!U122</f>
        <v>3.5376374794989084E-2</v>
      </c>
      <c r="L28" s="590">
        <f>WorkerTrips!S122</f>
        <v>0.36209598939256571</v>
      </c>
      <c r="M28" s="590">
        <f>WorkerTrips!T122</f>
        <v>3.2672325355930086E-2</v>
      </c>
      <c r="N28" s="590">
        <f>WorkerTrips!V122</f>
        <v>4.3079659001741665E-4</v>
      </c>
      <c r="O28" s="591">
        <f>WorkerTrips!W122+WorkerTrips!Y122</f>
        <v>1.0166624383629854E-2</v>
      </c>
      <c r="P28" s="591">
        <f>WorkerTrips!X122+WorkerTrips!Z122</f>
        <v>4.3423583629395336E-3</v>
      </c>
      <c r="Q28" s="591">
        <f>WorkerTrips!AA122</f>
        <v>34.714955051344646</v>
      </c>
      <c r="R28" s="591">
        <f>WorkerTrips!AB122</f>
        <v>1.8842567865726277E-3</v>
      </c>
      <c r="S28" s="591">
        <f>WorkerTrips!AC122</f>
        <v>3.4284827704678003E-3</v>
      </c>
    </row>
    <row r="29" spans="1:19" s="572" customFormat="1" x14ac:dyDescent="0.25">
      <c r="A29" s="137" t="s">
        <v>121</v>
      </c>
      <c r="B29" s="587">
        <f>'Construction Trucks'!V74</f>
        <v>0.74544789357672658</v>
      </c>
      <c r="C29" s="587">
        <f>'Construction Trucks'!T74</f>
        <v>3.1651942435400038</v>
      </c>
      <c r="D29" s="587">
        <f>'Construction Trucks'!U74</f>
        <v>15.525418142156269</v>
      </c>
      <c r="E29" s="587">
        <f>'Construction Trucks'!W74</f>
        <v>2.7713884342268763E-2</v>
      </c>
      <c r="F29" s="586">
        <f>'Construction Trucks'!X74+'Construction Trucks'!Z74</f>
        <v>0.63823292514261165</v>
      </c>
      <c r="G29" s="586">
        <f>'Construction Trucks'!Y74+'Construction Trucks'!AA74</f>
        <v>0.35283953915462779</v>
      </c>
      <c r="H29" s="586">
        <f>'Construction Trucks'!AB74</f>
        <v>4412.5307583972926</v>
      </c>
      <c r="I29" s="586">
        <f>'Construction Trucks'!AC74</f>
        <v>0.25214524512709646</v>
      </c>
      <c r="J29" s="586">
        <f>'Construction Trucks'!AD74</f>
        <v>0.11303138790710504</v>
      </c>
      <c r="K29" s="592">
        <f>'Construction Trucks'!AH74</f>
        <v>2.356500334982152E-2</v>
      </c>
      <c r="L29" s="592">
        <f>'Construction Trucks'!AF74</f>
        <v>0.10204322478229616</v>
      </c>
      <c r="M29" s="592">
        <f>'Construction Trucks'!AG74</f>
        <v>0.45105485339953111</v>
      </c>
      <c r="N29" s="592">
        <f>'Construction Trucks'!AI74</f>
        <v>8.3159174673480335E-4</v>
      </c>
      <c r="O29" s="586">
        <f>'Construction Trucks'!AJ74+'Construction Trucks'!AL74</f>
        <v>2.1466526292169823E-2</v>
      </c>
      <c r="P29" s="586">
        <f>'Construction Trucks'!AK74+'Construction Trucks'!AM74</f>
        <v>1.2297427337763815E-2</v>
      </c>
      <c r="Q29" s="586">
        <f>'Construction Trucks'!AN74</f>
        <v>129.60125378533439</v>
      </c>
      <c r="R29" s="586">
        <f>'Construction Trucks'!AO74</f>
        <v>7.4058044450553626E-3</v>
      </c>
      <c r="S29" s="586">
        <f>'Construction Trucks'!AP74</f>
        <v>3.3198657169651261E-3</v>
      </c>
    </row>
    <row r="30" spans="1:19" s="612" customFormat="1" x14ac:dyDescent="0.25">
      <c r="A30" s="137" t="s">
        <v>655</v>
      </c>
      <c r="B30" s="615">
        <f>Helicopters!K$3</f>
        <v>12.830799050242181</v>
      </c>
      <c r="C30" s="587">
        <f>Helicopters!M$3</f>
        <v>66.887438003316817</v>
      </c>
      <c r="D30" s="587">
        <f>Helicopters!J$3</f>
        <v>66.887438003316817</v>
      </c>
      <c r="E30" s="587">
        <f>Helicopters!N$3</f>
        <v>12.314722567340549</v>
      </c>
      <c r="F30" s="586">
        <f>Helicopters!L$3</f>
        <v>22.109244879957675</v>
      </c>
      <c r="G30" s="586">
        <f>Helicopters!L$3</f>
        <v>22.109244879957675</v>
      </c>
      <c r="H30" s="586">
        <f>Helicopters!O$3</f>
        <v>30084.642801206399</v>
      </c>
      <c r="I30" s="215">
        <v>0</v>
      </c>
      <c r="J30" s="215">
        <v>0</v>
      </c>
      <c r="K30" s="592">
        <f>Helicopters!Q$3</f>
        <v>0.12830799050242181</v>
      </c>
      <c r="L30" s="592">
        <f>Helicopters!S$3</f>
        <v>0.66887438003316801</v>
      </c>
      <c r="M30" s="592">
        <f>Helicopters!P$3</f>
        <v>0.66887438003316801</v>
      </c>
      <c r="N30" s="592">
        <f>Helicopters!T$3</f>
        <v>0.1231472256734055</v>
      </c>
      <c r="O30" s="592">
        <f>Helicopters!R$3</f>
        <v>0.22109244879957674</v>
      </c>
      <c r="P30" s="592">
        <f>Helicopters!R$3</f>
        <v>0.22109244879957674</v>
      </c>
      <c r="Q30" s="592">
        <f>Helicopters!U$3</f>
        <v>300.846428012064</v>
      </c>
      <c r="R30" s="592">
        <v>0</v>
      </c>
      <c r="S30" s="586">
        <v>0</v>
      </c>
    </row>
    <row r="31" spans="1:19" s="572" customFormat="1" x14ac:dyDescent="0.25">
      <c r="A31" s="137" t="s">
        <v>122</v>
      </c>
      <c r="B31" s="588"/>
      <c r="C31" s="589"/>
      <c r="D31" s="589"/>
      <c r="E31" s="589"/>
      <c r="F31" s="586">
        <f>'Fugitive Dust Transmission'!$C$150</f>
        <v>89.771202104633829</v>
      </c>
      <c r="G31" s="586">
        <f>'Fugitive Dust Transmission'!$D$150</f>
        <v>26.788555913912528</v>
      </c>
      <c r="H31" s="589"/>
      <c r="I31" s="589"/>
      <c r="J31" s="588"/>
      <c r="K31" s="593"/>
      <c r="L31" s="145"/>
      <c r="M31" s="145"/>
      <c r="N31" s="145"/>
      <c r="O31" s="215">
        <f>'Fugitive Dust Transmission'!C156</f>
        <v>2.9624496694529161</v>
      </c>
      <c r="P31" s="215">
        <f>'Fugitive Dust Transmission'!D156</f>
        <v>0.88402234515911349</v>
      </c>
      <c r="Q31" s="145"/>
      <c r="R31" s="145"/>
      <c r="S31" s="594"/>
    </row>
    <row r="32" spans="1:19" s="572" customFormat="1" x14ac:dyDescent="0.25">
      <c r="A32" s="12" t="s">
        <v>123</v>
      </c>
      <c r="B32" s="588">
        <f>SUM(B27:B31)</f>
        <v>27.558728115737104</v>
      </c>
      <c r="C32" s="588">
        <f t="shared" ref="C32" si="29">SUM(C27:C31)</f>
        <v>131.95442803423026</v>
      </c>
      <c r="D32" s="588">
        <f t="shared" ref="D32" si="30">SUM(D27:D31)</f>
        <v>188.65602816531452</v>
      </c>
      <c r="E32" s="588">
        <f t="shared" ref="E32" si="31">SUM(E27:E31)</f>
        <v>12.53278507794459</v>
      </c>
      <c r="F32" s="588">
        <f t="shared" ref="F32" si="32">SUM(F27:F31)</f>
        <v>116.8531812852669</v>
      </c>
      <c r="G32" s="588">
        <f t="shared" ref="G32" si="33">SUM(G27:G31)</f>
        <v>52.965742395476553</v>
      </c>
      <c r="H32" s="588">
        <f t="shared" ref="H32" si="34">SUM(H27:H31)</f>
        <v>52366.839988354914</v>
      </c>
      <c r="I32" s="588">
        <f t="shared" ref="I32" si="35">SUM(I27:I31)</f>
        <v>1.5225268300082304</v>
      </c>
      <c r="J32" s="588">
        <f t="shared" ref="J32" si="36">SUM(J27:J31)</f>
        <v>10.215969452872478</v>
      </c>
      <c r="K32" s="588">
        <f t="shared" ref="K32" si="37">SUM(K27:K31)</f>
        <v>0.45990739436158773</v>
      </c>
      <c r="L32" s="588">
        <f t="shared" ref="L32" si="38">SUM(L27:L31)</f>
        <v>2.1889804408793734</v>
      </c>
      <c r="M32" s="588">
        <f t="shared" ref="M32" si="39">SUM(M27:M31)</f>
        <v>3.3626037043317378</v>
      </c>
      <c r="N32" s="588">
        <f t="shared" ref="N32" si="40">SUM(N27:N31)</f>
        <v>0.12820559773063275</v>
      </c>
      <c r="O32" s="588">
        <f t="shared" ref="O32" si="41">SUM(O27:O31)</f>
        <v>3.3004716986454894</v>
      </c>
      <c r="P32" s="588">
        <f t="shared" ref="P32" si="42">SUM(P27:P31)</f>
        <v>1.1976684021076986</v>
      </c>
      <c r="Q32" s="588">
        <f t="shared" ref="Q32" si="43">SUM(Q27:Q31)</f>
        <v>819.65551815757658</v>
      </c>
      <c r="R32" s="588">
        <f t="shared" ref="R32" si="44">SUM(R27:R31)</f>
        <v>3.4920232698367512E-2</v>
      </c>
      <c r="S32" s="588">
        <f t="shared" ref="S32" si="45">SUM(S27:S31)</f>
        <v>0.21669855231402821</v>
      </c>
    </row>
    <row r="33" spans="1:19" s="572" customFormat="1" x14ac:dyDescent="0.25">
      <c r="A33" s="614" t="s">
        <v>124</v>
      </c>
      <c r="B33" s="216">
        <v>75</v>
      </c>
      <c r="C33" s="216">
        <v>550</v>
      </c>
      <c r="D33" s="216">
        <v>100</v>
      </c>
      <c r="E33" s="216">
        <v>150</v>
      </c>
      <c r="F33" s="216">
        <v>150</v>
      </c>
      <c r="G33" s="216">
        <v>55</v>
      </c>
      <c r="H33" s="216" t="s">
        <v>126</v>
      </c>
      <c r="I33" s="216" t="s">
        <v>126</v>
      </c>
      <c r="J33" s="216" t="s">
        <v>126</v>
      </c>
      <c r="K33" s="593"/>
      <c r="L33" s="145"/>
      <c r="M33" s="145"/>
      <c r="N33" s="145"/>
      <c r="O33" s="145"/>
      <c r="P33" s="145"/>
      <c r="Q33" s="145"/>
      <c r="R33" s="145"/>
      <c r="S33" s="594"/>
    </row>
    <row r="34" spans="1:19" s="572" customFormat="1" x14ac:dyDescent="0.25">
      <c r="A34" s="137" t="s">
        <v>125</v>
      </c>
      <c r="B34" s="27" t="str">
        <f>IF(B32&gt;B33,"Yes","No")</f>
        <v>No</v>
      </c>
      <c r="C34" s="27" t="str">
        <f t="shared" ref="C34:G34" si="46">IF(C32&gt;C33,"Yes","No")</f>
        <v>No</v>
      </c>
      <c r="D34" s="27" t="str">
        <f t="shared" si="46"/>
        <v>Yes</v>
      </c>
      <c r="E34" s="27" t="str">
        <f t="shared" si="46"/>
        <v>No</v>
      </c>
      <c r="F34" s="27" t="str">
        <f t="shared" si="46"/>
        <v>No</v>
      </c>
      <c r="G34" s="27" t="str">
        <f t="shared" si="46"/>
        <v>No</v>
      </c>
      <c r="H34" s="27" t="s">
        <v>126</v>
      </c>
      <c r="I34" s="27" t="s">
        <v>126</v>
      </c>
      <c r="J34" s="27" t="s">
        <v>126</v>
      </c>
      <c r="K34" s="593"/>
      <c r="L34" s="145"/>
      <c r="M34" s="145"/>
      <c r="N34" s="145"/>
      <c r="O34" s="145"/>
      <c r="P34" s="145"/>
      <c r="Q34" s="145"/>
      <c r="R34" s="145"/>
      <c r="S34" s="594"/>
    </row>
    <row r="35" spans="1:19" s="572" customFormat="1" x14ac:dyDescent="0.25">
      <c r="A35" s="613"/>
      <c r="B35" s="564"/>
      <c r="C35" s="563"/>
      <c r="D35" s="563"/>
      <c r="E35" s="563"/>
      <c r="F35" s="563"/>
      <c r="G35" s="563"/>
      <c r="H35" s="563"/>
      <c r="I35" s="563"/>
      <c r="J35" s="11"/>
      <c r="K35" s="598"/>
      <c r="L35" s="112"/>
      <c r="M35" s="112"/>
      <c r="N35" s="112"/>
      <c r="O35" s="112"/>
      <c r="P35" s="112"/>
      <c r="Q35" s="112"/>
      <c r="R35" s="112"/>
      <c r="S35" s="599"/>
    </row>
    <row r="36" spans="1:19" s="572" customFormat="1" x14ac:dyDescent="0.25">
      <c r="A36" s="613"/>
      <c r="B36" s="564"/>
      <c r="C36" s="563"/>
      <c r="D36" s="563"/>
      <c r="E36" s="563"/>
      <c r="F36" s="563"/>
      <c r="G36" s="563"/>
      <c r="H36" s="563"/>
      <c r="I36" s="563"/>
      <c r="J36" s="11"/>
      <c r="K36" s="598"/>
      <c r="L36" s="112"/>
      <c r="M36" s="112"/>
      <c r="N36" s="112"/>
      <c r="O36" s="112"/>
      <c r="P36" s="112"/>
      <c r="Q36" s="112"/>
      <c r="R36" s="112"/>
      <c r="S36" s="599"/>
    </row>
    <row r="37" spans="1:19" s="572" customFormat="1" ht="39.6" x14ac:dyDescent="0.25">
      <c r="A37" s="31" t="str">
        <f>'Equipment Trans Talega Seg 4 23'!A2</f>
        <v>Segment 4: Talega Hub/Corridor 230-kV from structure 42 to Talega Substation</v>
      </c>
      <c r="B37" s="16" t="s">
        <v>18</v>
      </c>
      <c r="C37" s="16" t="s">
        <v>19</v>
      </c>
      <c r="D37" s="16" t="s">
        <v>20</v>
      </c>
      <c r="E37" s="16" t="s">
        <v>21</v>
      </c>
      <c r="F37" s="16" t="s">
        <v>22</v>
      </c>
      <c r="G37" s="16" t="s">
        <v>23</v>
      </c>
      <c r="H37" s="17" t="s">
        <v>24</v>
      </c>
      <c r="I37" s="16" t="s">
        <v>25</v>
      </c>
      <c r="J37" s="16" t="s">
        <v>26</v>
      </c>
      <c r="K37" s="18" t="s">
        <v>27</v>
      </c>
      <c r="L37" s="18" t="s">
        <v>28</v>
      </c>
      <c r="M37" s="18" t="s">
        <v>29</v>
      </c>
      <c r="N37" s="18" t="s">
        <v>30</v>
      </c>
      <c r="O37" s="18" t="s">
        <v>31</v>
      </c>
      <c r="P37" s="18" t="s">
        <v>32</v>
      </c>
      <c r="Q37" s="17" t="s">
        <v>33</v>
      </c>
      <c r="R37" s="18" t="s">
        <v>34</v>
      </c>
      <c r="S37" s="18" t="s">
        <v>35</v>
      </c>
    </row>
    <row r="38" spans="1:19" s="572" customFormat="1" x14ac:dyDescent="0.25">
      <c r="A38" s="137" t="s">
        <v>75</v>
      </c>
      <c r="B38" s="600"/>
      <c r="C38" s="145"/>
      <c r="D38" s="145"/>
      <c r="E38" s="145"/>
      <c r="F38" s="145"/>
      <c r="G38" s="145"/>
      <c r="H38" s="145"/>
      <c r="I38" s="145"/>
      <c r="J38" s="31"/>
      <c r="K38" s="593"/>
      <c r="L38" s="145"/>
      <c r="M38" s="145"/>
      <c r="N38" s="145"/>
      <c r="O38" s="145"/>
      <c r="P38" s="145"/>
      <c r="Q38" s="145"/>
      <c r="R38" s="145"/>
      <c r="S38" s="594"/>
    </row>
    <row r="39" spans="1:19" s="572" customFormat="1" x14ac:dyDescent="0.25">
      <c r="A39" s="137" t="s">
        <v>119</v>
      </c>
      <c r="B39" s="587">
        <f>0.625*'Equipment Trans Talega Seg 4 23'!Q27</f>
        <v>6.6087001236486396</v>
      </c>
      <c r="C39" s="587">
        <f>0.625*'Equipment Trans Talega Seg 4 23'!R27</f>
        <v>27.653121160102611</v>
      </c>
      <c r="D39" s="587">
        <f>0.625*'Equipment Trans Talega Seg 4 23'!S27</f>
        <v>53.585871387651018</v>
      </c>
      <c r="E39" s="587">
        <f>0.625*'Equipment Trans Talega Seg 4 23'!T27</f>
        <v>9.2969614189601757E-2</v>
      </c>
      <c r="F39" s="587">
        <f>0.625*'Equipment Trans Talega Seg 4 23'!U27</f>
        <v>2.0768206346822846</v>
      </c>
      <c r="G39" s="587">
        <f>0.625*'Equipment Trans Talega Seg 4 23'!V27</f>
        <v>1.8483703648672332</v>
      </c>
      <c r="H39" s="587">
        <f>0.625*'Equipment Trans Talega Seg 4 23'!W27</f>
        <v>8673.6278515061676</v>
      </c>
      <c r="I39" s="587">
        <f>0.625*'Equipment Trans Talega Seg 4 23'!X27</f>
        <v>0.6210757663313935</v>
      </c>
      <c r="J39" s="587">
        <f>0.625*'Equipment Trans Talega Seg 4 23'!Y27</f>
        <v>5.090657781826847</v>
      </c>
      <c r="K39" s="587">
        <f>0.625*'Equipment Trans Talega Seg 4 23'!E73</f>
        <v>0.10158367392641386</v>
      </c>
      <c r="L39" s="587">
        <f>0.625*'Equipment Trans Talega Seg 4 23'!F73</f>
        <v>0.41806290597293638</v>
      </c>
      <c r="M39" s="587">
        <f>0.625*'Equipment Trans Talega Seg 4 23'!G73</f>
        <v>0.82091731428646619</v>
      </c>
      <c r="N39" s="587">
        <f>0.625*'Equipment Trans Talega Seg 4 23'!H73</f>
        <v>1.5394507810823719E-3</v>
      </c>
      <c r="O39" s="587">
        <f>0.625*'Equipment Trans Talega Seg 4 23'!I73</f>
        <v>3.0980370683977805E-2</v>
      </c>
      <c r="P39" s="587">
        <f>0.625*'Equipment Trans Talega Seg 4 23'!J73</f>
        <v>2.7572529908740248E-2</v>
      </c>
      <c r="Q39" s="587">
        <f>0.625*'Equipment Trans Talega Seg 4 23'!K73</f>
        <v>140.30429862493892</v>
      </c>
      <c r="R39" s="587">
        <f>0.625*'Equipment Trans Talega Seg 4 23'!L73</f>
        <v>9.5443888418050241E-3</v>
      </c>
      <c r="S39" s="587">
        <f>0.625*'Equipment Trans Talega Seg 4 23'!M73</f>
        <v>7.798714485721428E-2</v>
      </c>
    </row>
    <row r="40" spans="1:19" s="572" customFormat="1" x14ac:dyDescent="0.25">
      <c r="A40" s="137" t="s">
        <v>120</v>
      </c>
      <c r="B40" s="587">
        <f>0.98275*WorkerTrips!I125</f>
        <v>1.0535191615083492</v>
      </c>
      <c r="C40" s="587">
        <f>0.98275*WorkerTrips!G125</f>
        <v>10.783328290167997</v>
      </c>
      <c r="D40" s="587">
        <f>0.98275*WorkerTrips!H125</f>
        <v>0.97299174980425118</v>
      </c>
      <c r="E40" s="587">
        <f>0.98275*WorkerTrips!J125</f>
        <v>1.2829252995139886E-2</v>
      </c>
      <c r="F40" s="586">
        <f>0.98275*WorkerTrips!K125+0.98275*WorkerTrips!M125</f>
        <v>0.30276515493976486</v>
      </c>
      <c r="G40" s="586">
        <f>0.98275*WorkerTrips!L125+0.98275*WorkerTrips!N125</f>
        <v>0.12931674791450987</v>
      </c>
      <c r="H40" s="586">
        <f>0.98275*WorkerTrips!O125</f>
        <v>1033.8218811123925</v>
      </c>
      <c r="I40" s="586">
        <f>0.98275*WorkerTrips!P125</f>
        <v>5.6113738091037875E-2</v>
      </c>
      <c r="J40" s="586">
        <f>0.98275*WorkerTrips!Q125</f>
        <v>0.10210125583870397</v>
      </c>
      <c r="K40" s="590">
        <f>0.98275*WorkerTrips!U125</f>
        <v>3.4766132329775525E-2</v>
      </c>
      <c r="L40" s="590">
        <f>0.98275*WorkerTrips!S125</f>
        <v>0.35584983357554395</v>
      </c>
      <c r="M40" s="590">
        <f>0.98275*WorkerTrips!T125</f>
        <v>3.2108727743540295E-2</v>
      </c>
      <c r="N40" s="590">
        <f>0.98275*WorkerTrips!V125</f>
        <v>4.2336534883961619E-4</v>
      </c>
      <c r="O40" s="591">
        <f>0.98275*WorkerTrips!W125+0.98275*WorkerTrips!Y125</f>
        <v>9.9912501130122386E-3</v>
      </c>
      <c r="P40" s="591">
        <f>0.98275*WorkerTrips!X125+0.98275*WorkerTrips!Z125</f>
        <v>4.2674526811788266E-3</v>
      </c>
      <c r="Q40" s="591">
        <f>0.98275*WorkerTrips!AA125</f>
        <v>34.116122076708947</v>
      </c>
      <c r="R40" s="591">
        <f>0.98275*WorkerTrips!AB125</f>
        <v>1.85175335700425E-3</v>
      </c>
      <c r="S40" s="591">
        <f>0.98275*WorkerTrips!AC125</f>
        <v>3.3693414426772309E-3</v>
      </c>
    </row>
    <row r="41" spans="1:19" s="572" customFormat="1" x14ac:dyDescent="0.25">
      <c r="A41" s="137" t="s">
        <v>121</v>
      </c>
      <c r="B41" s="587">
        <f>'Construction Trucks'!V93</f>
        <v>0.71881216640651835</v>
      </c>
      <c r="C41" s="587">
        <f>'Construction Trucks'!T93</f>
        <v>3.0734072742447216</v>
      </c>
      <c r="D41" s="587">
        <f>'Construction Trucks'!U93</f>
        <v>14.544252821039606</v>
      </c>
      <c r="E41" s="587">
        <f>'Construction Trucks'!W93</f>
        <v>2.6246089137208169E-2</v>
      </c>
      <c r="F41" s="586">
        <f>'Construction Trucks'!X93+'Construction Trucks'!Z93</f>
        <v>0.62928127705686387</v>
      </c>
      <c r="G41" s="586">
        <f>'Construction Trucks'!Y93+'Construction Trucks'!AA93</f>
        <v>0.35250467708653177</v>
      </c>
      <c r="H41" s="586">
        <f>'Construction Trucks'!AB93</f>
        <v>4148.7542709368718</v>
      </c>
      <c r="I41" s="586">
        <f>'Construction Trucks'!AC93</f>
        <v>0.23707226530414566</v>
      </c>
      <c r="J41" s="586">
        <f>'Construction Trucks'!AD93</f>
        <v>0.1062744894043189</v>
      </c>
      <c r="K41" s="592">
        <f>'Construction Trucks'!AH93</f>
        <v>2.1807045356587781E-2</v>
      </c>
      <c r="L41" s="592">
        <f>'Construction Trucks'!AF93</f>
        <v>9.5985284808807511E-2</v>
      </c>
      <c r="M41" s="592">
        <f>'Construction Trucks'!AG93</f>
        <v>0.38629794220583136</v>
      </c>
      <c r="N41" s="592">
        <f>'Construction Trucks'!AI93</f>
        <v>7.3471726320080389E-4</v>
      </c>
      <c r="O41" s="586">
        <f>'Construction Trucks'!AJ93+'Construction Trucks'!AL93</f>
        <v>2.087571751851048E-2</v>
      </c>
      <c r="P41" s="586">
        <f>'Construction Trucks'!AK93+'Construction Trucks'!AM93</f>
        <v>1.2275326441269475E-2</v>
      </c>
      <c r="Q41" s="586">
        <f>'Construction Trucks'!AN93</f>
        <v>112.1920056129466</v>
      </c>
      <c r="R41" s="586">
        <f>'Construction Trucks'!AO93</f>
        <v>6.4109877767406075E-3</v>
      </c>
      <c r="S41" s="586">
        <f>'Construction Trucks'!AP93</f>
        <v>2.8739104157812401E-3</v>
      </c>
    </row>
    <row r="42" spans="1:19" s="572" customFormat="1" x14ac:dyDescent="0.25">
      <c r="A42" s="137" t="s">
        <v>122</v>
      </c>
      <c r="B42" s="588"/>
      <c r="C42" s="589"/>
      <c r="D42" s="589"/>
      <c r="E42" s="589"/>
      <c r="F42" s="586">
        <f>0.625*'Fugitive Dust Transmission'!$C$150</f>
        <v>56.107001315396147</v>
      </c>
      <c r="G42" s="586">
        <f>0.625*'Fugitive Dust Transmission'!$D$150</f>
        <v>16.742847446195331</v>
      </c>
      <c r="H42" s="589"/>
      <c r="I42" s="589"/>
      <c r="J42" s="588"/>
      <c r="K42" s="593"/>
      <c r="L42" s="145"/>
      <c r="M42" s="145"/>
      <c r="N42" s="145"/>
      <c r="O42" s="215">
        <f>0.625*'Fugitive Dust Transmission'!C157</f>
        <v>2.4687080578774303</v>
      </c>
      <c r="P42" s="215">
        <f>0.625*'Fugitive Dust Transmission'!D157</f>
        <v>0.73668528763259455</v>
      </c>
      <c r="Q42" s="145"/>
      <c r="R42" s="145"/>
      <c r="S42" s="594"/>
    </row>
    <row r="43" spans="1:19" s="572" customFormat="1" x14ac:dyDescent="0.25">
      <c r="A43" s="12" t="s">
        <v>123</v>
      </c>
      <c r="B43" s="588">
        <f>SUM(B39:B42)</f>
        <v>8.3810314515635067</v>
      </c>
      <c r="C43" s="588">
        <f t="shared" ref="C43" si="47">SUM(C39:C42)</f>
        <v>41.50985672451533</v>
      </c>
      <c r="D43" s="588">
        <f t="shared" ref="D43" si="48">SUM(D39:D42)</f>
        <v>69.103115958494868</v>
      </c>
      <c r="E43" s="588">
        <f t="shared" ref="E43" si="49">SUM(E39:E42)</f>
        <v>0.13204495632194982</v>
      </c>
      <c r="F43" s="588">
        <f t="shared" ref="F43" si="50">SUM(F39:F42)</f>
        <v>59.115868382075064</v>
      </c>
      <c r="G43" s="588">
        <f t="shared" ref="G43" si="51">SUM(G39:G42)</f>
        <v>19.073039236063607</v>
      </c>
      <c r="H43" s="588">
        <f t="shared" ref="H43" si="52">SUM(H39:H42)</f>
        <v>13856.204003555431</v>
      </c>
      <c r="I43" s="588">
        <f t="shared" ref="I43" si="53">SUM(I39:I42)</f>
        <v>0.91426176972657713</v>
      </c>
      <c r="J43" s="588">
        <f t="shared" ref="J43" si="54">SUM(J39:J42)</f>
        <v>5.2990335270698701</v>
      </c>
      <c r="K43" s="588">
        <f t="shared" ref="K43" si="55">SUM(K39:K42)</f>
        <v>0.15815685161277718</v>
      </c>
      <c r="L43" s="588">
        <f t="shared" ref="L43" si="56">SUM(L39:L42)</f>
        <v>0.86989802435728791</v>
      </c>
      <c r="M43" s="588">
        <f t="shared" ref="M43" si="57">SUM(M39:M42)</f>
        <v>1.2393239842358379</v>
      </c>
      <c r="N43" s="588">
        <f t="shared" ref="N43" si="58">SUM(N39:N42)</f>
        <v>2.6975333931227919E-3</v>
      </c>
      <c r="O43" s="588">
        <f t="shared" ref="O43" si="59">SUM(O39:O42)</f>
        <v>2.530555396192931</v>
      </c>
      <c r="P43" s="588">
        <f t="shared" ref="P43" si="60">SUM(P39:P42)</f>
        <v>0.7808005966637831</v>
      </c>
      <c r="Q43" s="588">
        <f t="shared" ref="Q43" si="61">SUM(Q39:Q42)</f>
        <v>286.61242631459447</v>
      </c>
      <c r="R43" s="588">
        <f t="shared" ref="R43" si="62">SUM(R39:R42)</f>
        <v>1.7807129975549882E-2</v>
      </c>
      <c r="S43" s="588">
        <f t="shared" ref="S43" si="63">SUM(S39:S42)</f>
        <v>8.4230396715672742E-2</v>
      </c>
    </row>
    <row r="44" spans="1:19" s="572" customFormat="1" x14ac:dyDescent="0.25">
      <c r="A44" s="614" t="s">
        <v>124</v>
      </c>
      <c r="B44" s="216">
        <v>75</v>
      </c>
      <c r="C44" s="216">
        <v>550</v>
      </c>
      <c r="D44" s="216">
        <v>100</v>
      </c>
      <c r="E44" s="216">
        <v>150</v>
      </c>
      <c r="F44" s="216">
        <v>150</v>
      </c>
      <c r="G44" s="216">
        <v>55</v>
      </c>
      <c r="H44" s="216" t="s">
        <v>126</v>
      </c>
      <c r="I44" s="216" t="s">
        <v>126</v>
      </c>
      <c r="J44" s="216" t="s">
        <v>126</v>
      </c>
      <c r="K44" s="593"/>
      <c r="L44" s="145"/>
      <c r="M44" s="145"/>
      <c r="N44" s="145"/>
      <c r="O44" s="145"/>
      <c r="P44" s="145"/>
      <c r="Q44" s="145"/>
      <c r="R44" s="145"/>
      <c r="S44" s="594"/>
    </row>
    <row r="45" spans="1:19" s="572" customFormat="1" x14ac:dyDescent="0.25">
      <c r="A45" s="137" t="s">
        <v>125</v>
      </c>
      <c r="B45" s="27" t="str">
        <f>IF(B43&gt;B44,"Yes","No")</f>
        <v>No</v>
      </c>
      <c r="C45" s="27" t="str">
        <f t="shared" ref="C45:G45" si="64">IF(C43&gt;C44,"Yes","No")</f>
        <v>No</v>
      </c>
      <c r="D45" s="27" t="str">
        <f t="shared" si="64"/>
        <v>No</v>
      </c>
      <c r="E45" s="27" t="str">
        <f t="shared" si="64"/>
        <v>No</v>
      </c>
      <c r="F45" s="27" t="str">
        <f t="shared" si="64"/>
        <v>No</v>
      </c>
      <c r="G45" s="27" t="str">
        <f t="shared" si="64"/>
        <v>No</v>
      </c>
      <c r="H45" s="27" t="s">
        <v>126</v>
      </c>
      <c r="I45" s="27" t="s">
        <v>126</v>
      </c>
      <c r="J45" s="27" t="s">
        <v>126</v>
      </c>
      <c r="K45" s="593"/>
      <c r="L45" s="145"/>
      <c r="M45" s="145"/>
      <c r="N45" s="145"/>
      <c r="O45" s="145"/>
      <c r="P45" s="145"/>
      <c r="Q45" s="145"/>
      <c r="R45" s="145"/>
      <c r="S45" s="594"/>
    </row>
    <row r="46" spans="1:19" s="572" customFormat="1" x14ac:dyDescent="0.25">
      <c r="A46" s="613"/>
      <c r="B46" s="564"/>
      <c r="C46" s="563"/>
      <c r="D46" s="563"/>
      <c r="E46" s="563"/>
      <c r="F46" s="563"/>
      <c r="G46" s="563"/>
      <c r="H46" s="563"/>
      <c r="I46" s="563"/>
      <c r="J46" s="11"/>
      <c r="K46" s="598"/>
      <c r="L46" s="112"/>
      <c r="M46" s="112"/>
      <c r="N46" s="112"/>
      <c r="O46" s="112"/>
      <c r="P46" s="112"/>
      <c r="Q46" s="112"/>
      <c r="R46" s="112"/>
      <c r="S46" s="599"/>
    </row>
    <row r="47" spans="1:19" s="572" customFormat="1" x14ac:dyDescent="0.25">
      <c r="A47" s="613"/>
      <c r="B47" s="564"/>
      <c r="C47" s="563"/>
      <c r="D47" s="563"/>
      <c r="E47" s="563"/>
      <c r="F47" s="563"/>
      <c r="G47" s="563"/>
      <c r="H47" s="563"/>
      <c r="I47" s="563"/>
      <c r="J47" s="11"/>
      <c r="K47" s="598"/>
      <c r="L47" s="112"/>
      <c r="M47" s="112"/>
      <c r="N47" s="112"/>
      <c r="O47" s="112"/>
      <c r="P47" s="112"/>
      <c r="Q47" s="112"/>
      <c r="R47" s="112"/>
      <c r="S47" s="599"/>
    </row>
    <row r="48" spans="1:19" s="572" customFormat="1" x14ac:dyDescent="0.25">
      <c r="A48" s="613">
        <v>2016</v>
      </c>
      <c r="B48" s="564"/>
      <c r="C48" s="563"/>
      <c r="D48" s="563"/>
      <c r="E48" s="563"/>
      <c r="F48" s="563"/>
      <c r="G48" s="563"/>
      <c r="H48" s="563"/>
      <c r="I48" s="563"/>
      <c r="J48" s="11"/>
      <c r="K48" s="598"/>
      <c r="L48" s="112"/>
      <c r="M48" s="112"/>
      <c r="N48" s="112"/>
      <c r="O48" s="112"/>
      <c r="P48" s="112"/>
      <c r="Q48" s="112"/>
      <c r="R48" s="112"/>
      <c r="S48" s="599"/>
    </row>
    <row r="49" spans="1:19" s="572" customFormat="1" ht="39.6" x14ac:dyDescent="0.25">
      <c r="A49" s="31" t="str">
        <f>'Equipment Trans Seg 1'!A2</f>
        <v>Segment 1a: Underground 138-kV Getaways from San Juan Capistrano Substation</v>
      </c>
      <c r="B49" s="16" t="s">
        <v>18</v>
      </c>
      <c r="C49" s="16" t="s">
        <v>19</v>
      </c>
      <c r="D49" s="16" t="s">
        <v>20</v>
      </c>
      <c r="E49" s="16" t="s">
        <v>21</v>
      </c>
      <c r="F49" s="16" t="s">
        <v>22</v>
      </c>
      <c r="G49" s="16" t="s">
        <v>23</v>
      </c>
      <c r="H49" s="17" t="s">
        <v>24</v>
      </c>
      <c r="I49" s="16" t="s">
        <v>25</v>
      </c>
      <c r="J49" s="16" t="s">
        <v>26</v>
      </c>
      <c r="K49" s="18" t="s">
        <v>27</v>
      </c>
      <c r="L49" s="18" t="s">
        <v>28</v>
      </c>
      <c r="M49" s="18" t="s">
        <v>29</v>
      </c>
      <c r="N49" s="18" t="s">
        <v>30</v>
      </c>
      <c r="O49" s="18" t="s">
        <v>31</v>
      </c>
      <c r="P49" s="18" t="s">
        <v>32</v>
      </c>
      <c r="Q49" s="17" t="s">
        <v>33</v>
      </c>
      <c r="R49" s="18" t="s">
        <v>34</v>
      </c>
      <c r="S49" s="18" t="s">
        <v>35</v>
      </c>
    </row>
    <row r="50" spans="1:19" s="572" customFormat="1" x14ac:dyDescent="0.25">
      <c r="A50" s="137" t="s">
        <v>75</v>
      </c>
      <c r="B50" s="600"/>
      <c r="C50" s="145"/>
      <c r="D50" s="145"/>
      <c r="E50" s="145"/>
      <c r="F50" s="145"/>
      <c r="G50" s="145"/>
      <c r="H50" s="145"/>
      <c r="I50" s="145"/>
      <c r="J50" s="31"/>
      <c r="K50" s="593"/>
      <c r="L50" s="145"/>
      <c r="M50" s="145"/>
      <c r="N50" s="145"/>
      <c r="O50" s="145"/>
      <c r="P50" s="145"/>
      <c r="Q50" s="145"/>
      <c r="R50" s="145"/>
      <c r="S50" s="594"/>
    </row>
    <row r="51" spans="1:19" s="572" customFormat="1" x14ac:dyDescent="0.25">
      <c r="A51" s="137" t="s">
        <v>119</v>
      </c>
      <c r="B51" s="587">
        <f>'Equipment Trans Seg 1'!Q61</f>
        <v>6.8436794197949204</v>
      </c>
      <c r="C51" s="587">
        <f>'Equipment Trans Seg 1'!R61</f>
        <v>29.854367680956244</v>
      </c>
      <c r="D51" s="587">
        <f>'Equipment Trans Seg 1'!S61</f>
        <v>46.929714085594966</v>
      </c>
      <c r="E51" s="587">
        <f>'Equipment Trans Seg 1'!T61</f>
        <v>9.0057616533358142E-2</v>
      </c>
      <c r="F51" s="587">
        <f>'Equipment Trans Seg 1'!U61</f>
        <v>2.2861979102758232</v>
      </c>
      <c r="G51" s="587">
        <f>'Equipment Trans Seg 1'!V61</f>
        <v>2.0347161401454827</v>
      </c>
      <c r="H51" s="587">
        <f>'Equipment Trans Seg 1'!W61</f>
        <v>8419.6660475703666</v>
      </c>
      <c r="I51" s="587">
        <f>'Equipment Trans Seg 1'!X61</f>
        <v>0.66386674984195604</v>
      </c>
      <c r="J51" s="587">
        <f>'Equipment Trans Seg 1'!Y61</f>
        <v>4.4583228381315214</v>
      </c>
      <c r="K51" s="587">
        <f>'Equipment Trans Seg 1'!E118</f>
        <v>0.12896137838267385</v>
      </c>
      <c r="L51" s="587">
        <f>'Equipment Trans Seg 1'!F118</f>
        <v>0.58955943350846973</v>
      </c>
      <c r="M51" s="587">
        <f>'Equipment Trans Seg 1'!G118</f>
        <v>0.86434962280661864</v>
      </c>
      <c r="N51" s="587">
        <f>'Equipment Trans Seg 1'!H118</f>
        <v>1.7555745411108267E-3</v>
      </c>
      <c r="O51" s="587">
        <f>'Equipment Trans Seg 1'!I118</f>
        <v>4.3546394938052638E-2</v>
      </c>
      <c r="P51" s="587">
        <f>'Equipment Trans Seg 1'!J118</f>
        <v>3.8756291494866854E-2</v>
      </c>
      <c r="Q51" s="587">
        <f>'Equipment Trans Seg 1'!K118</f>
        <v>165.41677181773994</v>
      </c>
      <c r="R51" s="587">
        <f>'Equipment Trans Seg 1'!L118</f>
        <v>1.25948894842492E-2</v>
      </c>
      <c r="S51" s="587">
        <f>'Equipment Trans Seg 1'!M118</f>
        <v>8.211321416662877E-2</v>
      </c>
    </row>
    <row r="52" spans="1:19" s="572" customFormat="1" x14ac:dyDescent="0.25">
      <c r="A52" s="137" t="s">
        <v>120</v>
      </c>
      <c r="B52" s="587">
        <f>WorkerTrips!I116</f>
        <v>0.60813099622580691</v>
      </c>
      <c r="C52" s="587">
        <f>WorkerTrips!G116</f>
        <v>6.1226738777869087</v>
      </c>
      <c r="D52" s="587">
        <f>WorkerTrips!H116</f>
        <v>0.55294062673220823</v>
      </c>
      <c r="E52" s="587">
        <f>WorkerTrips!J116</f>
        <v>7.9768973963270789E-3</v>
      </c>
      <c r="F52" s="586">
        <f>WorkerTrips!K116+WorkerTrips!M116</f>
        <v>0.1877233783744516</v>
      </c>
      <c r="G52" s="586">
        <f>WorkerTrips!L116+WorkerTrips!N116</f>
        <v>7.9934290373098821E-2</v>
      </c>
      <c r="H52" s="586">
        <f>WorkerTrips!O116</f>
        <v>622.37933549953505</v>
      </c>
      <c r="I52" s="586">
        <f>WorkerTrips!P116</f>
        <v>3.4876943177859644E-2</v>
      </c>
      <c r="J52" s="586">
        <f>WorkerTrips!Q116</f>
        <v>6.3483073173195556E-2</v>
      </c>
      <c r="K52" s="590">
        <f>WorkerTrips!U116</f>
        <v>2.0068322875451627E-2</v>
      </c>
      <c r="L52" s="590">
        <f>WorkerTrips!S116</f>
        <v>0.20204823796696797</v>
      </c>
      <c r="M52" s="590">
        <f>WorkerTrips!T116</f>
        <v>1.824704068216287E-2</v>
      </c>
      <c r="N52" s="590">
        <f>WorkerTrips!V116</f>
        <v>2.6323761407879361E-4</v>
      </c>
      <c r="O52" s="591">
        <f>WorkerTrips!W116+WorkerTrips!Y116</f>
        <v>6.194871486356902E-3</v>
      </c>
      <c r="P52" s="591">
        <f>WorkerTrips!X116+WorkerTrips!Z116</f>
        <v>2.6378315823122611E-3</v>
      </c>
      <c r="Q52" s="591">
        <f>WorkerTrips!AA116</f>
        <v>20.538518071484656</v>
      </c>
      <c r="R52" s="591">
        <f>WorkerTrips!AB116</f>
        <v>1.1509391248693682E-3</v>
      </c>
      <c r="S52" s="591">
        <f>WorkerTrips!AC116</f>
        <v>2.0949414147154533E-3</v>
      </c>
    </row>
    <row r="53" spans="1:19" s="572" customFormat="1" x14ac:dyDescent="0.25">
      <c r="A53" s="137" t="s">
        <v>121</v>
      </c>
      <c r="B53" s="587">
        <f>'Construction Trucks'!V34</f>
        <v>0.39712728691853627</v>
      </c>
      <c r="C53" s="587">
        <f>'Construction Trucks'!T34</f>
        <v>1.7117777696889509</v>
      </c>
      <c r="D53" s="587">
        <f>'Construction Trucks'!U34</f>
        <v>6.500577207136601</v>
      </c>
      <c r="E53" s="587">
        <f>'Construction Trucks'!W34</f>
        <v>1.4910582093402087E-2</v>
      </c>
      <c r="F53" s="586">
        <f>'Construction Trucks'!X34+'Construction Trucks'!Z34</f>
        <v>0.37233077437043127</v>
      </c>
      <c r="G53" s="586">
        <f>'Construction Trucks'!Y34+'Construction Trucks'!AA34</f>
        <v>0.20718199180189367</v>
      </c>
      <c r="H53" s="586">
        <f>'Construction Trucks'!AB34</f>
        <v>2273.7519667865336</v>
      </c>
      <c r="I53" s="586">
        <f>'Construction Trucks'!AC34</f>
        <v>0.12992900863808288</v>
      </c>
      <c r="J53" s="586">
        <f>'Construction Trucks'!AD34</f>
        <v>5.8244430381203832E-2</v>
      </c>
      <c r="K53" s="592">
        <f>'Construction Trucks'!AH34</f>
        <v>1.398883464150176E-2</v>
      </c>
      <c r="L53" s="592">
        <f>'Construction Trucks'!AF34</f>
        <v>6.2567597435711095E-2</v>
      </c>
      <c r="M53" s="592">
        <f>'Construction Trucks'!AG34</f>
        <v>0.19779560643099739</v>
      </c>
      <c r="N53" s="592">
        <f>'Construction Trucks'!AI34</f>
        <v>4.8533610823707008E-4</v>
      </c>
      <c r="O53" s="586">
        <f>'Construction Trucks'!AJ34+'Construction Trucks'!AL34</f>
        <v>1.4612988088332857E-2</v>
      </c>
      <c r="P53" s="586">
        <f>'Construction Trucks'!AK34+'Construction Trucks'!AM34</f>
        <v>8.5171942701293881E-3</v>
      </c>
      <c r="Q53" s="586">
        <f>'Construction Trucks'!AN34</f>
        <v>70.413019240895082</v>
      </c>
      <c r="R53" s="586">
        <f>'Construction Trucks'!AO34</f>
        <v>4.0236111584824675E-3</v>
      </c>
      <c r="S53" s="586">
        <f>'Construction Trucks'!AP34</f>
        <v>1.8036999008747682E-3</v>
      </c>
    </row>
    <row r="54" spans="1:19" s="572" customFormat="1" x14ac:dyDescent="0.25">
      <c r="A54" s="137" t="s">
        <v>122</v>
      </c>
      <c r="B54" s="588"/>
      <c r="C54" s="589"/>
      <c r="D54" s="589"/>
      <c r="E54" s="589"/>
      <c r="F54" s="586">
        <f>'Fugitive Dust Transmission'!$C$150</f>
        <v>89.771202104633829</v>
      </c>
      <c r="G54" s="586">
        <f>'Fugitive Dust Transmission'!$D$150</f>
        <v>26.788555913912528</v>
      </c>
      <c r="H54" s="589"/>
      <c r="I54" s="589"/>
      <c r="J54" s="588"/>
      <c r="K54" s="593"/>
      <c r="L54" s="145"/>
      <c r="M54" s="145"/>
      <c r="N54" s="145"/>
      <c r="O54" s="215">
        <f>'Fugitive Dust Transmission'!C153</f>
        <v>5.9248993389058322</v>
      </c>
      <c r="P54" s="215">
        <f>'Fugitive Dust Transmission'!D153</f>
        <v>1.768044690318227</v>
      </c>
      <c r="Q54" s="145"/>
      <c r="R54" s="145"/>
      <c r="S54" s="594"/>
    </row>
    <row r="55" spans="1:19" s="572" customFormat="1" x14ac:dyDescent="0.25">
      <c r="A55" s="12" t="s">
        <v>123</v>
      </c>
      <c r="B55" s="588">
        <f>SUM(B51:B54)</f>
        <v>7.8489377029392635</v>
      </c>
      <c r="C55" s="588">
        <f t="shared" ref="C55" si="65">SUM(C51:C54)</f>
        <v>37.688819328432103</v>
      </c>
      <c r="D55" s="588">
        <f t="shared" ref="D55" si="66">SUM(D51:D54)</f>
        <v>53.983231919463776</v>
      </c>
      <c r="E55" s="588">
        <f t="shared" ref="E55" si="67">SUM(E51:E54)</f>
        <v>0.1129450960230873</v>
      </c>
      <c r="F55" s="588">
        <f t="shared" ref="F55" si="68">SUM(F51:F54)</f>
        <v>92.617454167654529</v>
      </c>
      <c r="G55" s="588">
        <f t="shared" ref="G55" si="69">SUM(G51:G54)</f>
        <v>29.110388336233004</v>
      </c>
      <c r="H55" s="588">
        <f t="shared" ref="H55" si="70">SUM(H51:H54)</f>
        <v>11315.797349856435</v>
      </c>
      <c r="I55" s="588">
        <f t="shared" ref="I55" si="71">SUM(I51:I54)</f>
        <v>0.82867270165789852</v>
      </c>
      <c r="J55" s="588">
        <f t="shared" ref="J55" si="72">SUM(J51:J54)</f>
        <v>4.5800503416859204</v>
      </c>
      <c r="K55" s="588">
        <f t="shared" ref="K55" si="73">SUM(K51:K54)</f>
        <v>0.16301853589962723</v>
      </c>
      <c r="L55" s="588">
        <f t="shared" ref="L55" si="74">SUM(L51:L54)</f>
        <v>0.8541752689111487</v>
      </c>
      <c r="M55" s="588">
        <f t="shared" ref="M55" si="75">SUM(M51:M54)</f>
        <v>1.080392269919779</v>
      </c>
      <c r="N55" s="588">
        <f t="shared" ref="N55" si="76">SUM(N51:N54)</f>
        <v>2.5041482634266905E-3</v>
      </c>
      <c r="O55" s="588">
        <f t="shared" ref="O55" si="77">SUM(O51:O54)</f>
        <v>5.9892535934185744</v>
      </c>
      <c r="P55" s="588">
        <f t="shared" ref="P55" si="78">SUM(P51:P54)</f>
        <v>1.8179560076655354</v>
      </c>
      <c r="Q55" s="588">
        <f t="shared" ref="Q55" si="79">SUM(Q51:Q54)</f>
        <v>256.36830913011966</v>
      </c>
      <c r="R55" s="588">
        <f t="shared" ref="R55" si="80">SUM(R51:R54)</f>
        <v>1.7769439767601036E-2</v>
      </c>
      <c r="S55" s="588">
        <f t="shared" ref="S55" si="81">SUM(S51:S54)</f>
        <v>8.6011855482218999E-2</v>
      </c>
    </row>
    <row r="56" spans="1:19" s="572" customFormat="1" x14ac:dyDescent="0.25">
      <c r="A56" s="614" t="s">
        <v>124</v>
      </c>
      <c r="B56" s="216">
        <v>75</v>
      </c>
      <c r="C56" s="216">
        <v>550</v>
      </c>
      <c r="D56" s="216">
        <v>100</v>
      </c>
      <c r="E56" s="216">
        <v>150</v>
      </c>
      <c r="F56" s="216">
        <v>150</v>
      </c>
      <c r="G56" s="216">
        <v>55</v>
      </c>
      <c r="H56" s="216" t="s">
        <v>126</v>
      </c>
      <c r="I56" s="216" t="s">
        <v>126</v>
      </c>
      <c r="J56" s="216" t="s">
        <v>126</v>
      </c>
      <c r="K56" s="593"/>
      <c r="L56" s="145"/>
      <c r="M56" s="145"/>
      <c r="N56" s="145"/>
      <c r="O56" s="145"/>
      <c r="P56" s="145"/>
      <c r="Q56" s="145"/>
      <c r="R56" s="145"/>
      <c r="S56" s="594"/>
    </row>
    <row r="57" spans="1:19" s="572" customFormat="1" x14ac:dyDescent="0.25">
      <c r="A57" s="137" t="s">
        <v>125</v>
      </c>
      <c r="B57" s="27" t="str">
        <f>IF(B55&gt;B56,"Yes","No")</f>
        <v>No</v>
      </c>
      <c r="C57" s="27" t="str">
        <f t="shared" ref="C57:G57" si="82">IF(C55&gt;C56,"Yes","No")</f>
        <v>No</v>
      </c>
      <c r="D57" s="27" t="str">
        <f t="shared" si="82"/>
        <v>No</v>
      </c>
      <c r="E57" s="27" t="str">
        <f t="shared" si="82"/>
        <v>No</v>
      </c>
      <c r="F57" s="27" t="str">
        <f t="shared" si="82"/>
        <v>No</v>
      </c>
      <c r="G57" s="27" t="str">
        <f t="shared" si="82"/>
        <v>No</v>
      </c>
      <c r="H57" s="27" t="s">
        <v>126</v>
      </c>
      <c r="I57" s="27" t="s">
        <v>126</v>
      </c>
      <c r="J57" s="27" t="s">
        <v>126</v>
      </c>
      <c r="K57" s="593"/>
      <c r="L57" s="145"/>
      <c r="M57" s="145"/>
      <c r="N57" s="145"/>
      <c r="O57" s="145"/>
      <c r="P57" s="145"/>
      <c r="Q57" s="145"/>
      <c r="R57" s="145"/>
      <c r="S57" s="594"/>
    </row>
    <row r="58" spans="1:19" s="572" customFormat="1" x14ac:dyDescent="0.25">
      <c r="A58" s="613"/>
      <c r="B58" s="564"/>
      <c r="C58" s="563"/>
      <c r="D58" s="563"/>
      <c r="E58" s="563"/>
      <c r="F58" s="563"/>
      <c r="G58" s="563"/>
      <c r="H58" s="563"/>
      <c r="I58" s="563"/>
      <c r="J58" s="11"/>
      <c r="K58" s="598"/>
      <c r="L58" s="112"/>
      <c r="M58" s="112"/>
      <c r="N58" s="112"/>
      <c r="O58" s="112"/>
      <c r="P58" s="112"/>
      <c r="Q58" s="112"/>
      <c r="R58" s="112"/>
      <c r="S58" s="599"/>
    </row>
    <row r="59" spans="1:19" s="572" customFormat="1" x14ac:dyDescent="0.25">
      <c r="A59" s="613"/>
      <c r="B59" s="564"/>
      <c r="C59" s="563"/>
      <c r="D59" s="563"/>
      <c r="E59" s="563"/>
      <c r="F59" s="563"/>
      <c r="G59" s="563"/>
      <c r="H59" s="563"/>
      <c r="I59" s="563"/>
      <c r="J59" s="11"/>
      <c r="K59" s="565"/>
      <c r="L59" s="570"/>
      <c r="M59" s="570"/>
      <c r="N59" s="570"/>
      <c r="O59" s="570"/>
      <c r="P59" s="570"/>
      <c r="Q59" s="570"/>
      <c r="R59" s="570"/>
      <c r="S59" s="571"/>
    </row>
    <row r="60" spans="1:19" s="572" customFormat="1" ht="39.6" x14ac:dyDescent="0.25">
      <c r="A60" s="31" t="str">
        <f>'Equipment Trans Talega Seg 3'!A2</f>
        <v>Segment 3: Overhead Double-Circuit 230-kV Transmission Line South of Vista Montana Road to structure 42</v>
      </c>
      <c r="B60" s="16" t="s">
        <v>18</v>
      </c>
      <c r="C60" s="16" t="s">
        <v>19</v>
      </c>
      <c r="D60" s="16" t="s">
        <v>20</v>
      </c>
      <c r="E60" s="16" t="s">
        <v>21</v>
      </c>
      <c r="F60" s="16" t="s">
        <v>22</v>
      </c>
      <c r="G60" s="16" t="s">
        <v>23</v>
      </c>
      <c r="H60" s="17" t="s">
        <v>24</v>
      </c>
      <c r="I60" s="16" t="s">
        <v>25</v>
      </c>
      <c r="J60" s="16" t="s">
        <v>26</v>
      </c>
      <c r="K60" s="18" t="s">
        <v>27</v>
      </c>
      <c r="L60" s="18" t="s">
        <v>28</v>
      </c>
      <c r="M60" s="18" t="s">
        <v>29</v>
      </c>
      <c r="N60" s="18" t="s">
        <v>30</v>
      </c>
      <c r="O60" s="18" t="s">
        <v>31</v>
      </c>
      <c r="P60" s="18" t="s">
        <v>32</v>
      </c>
      <c r="Q60" s="17" t="s">
        <v>33</v>
      </c>
      <c r="R60" s="18" t="s">
        <v>34</v>
      </c>
      <c r="S60" s="18" t="s">
        <v>35</v>
      </c>
    </row>
    <row r="61" spans="1:19" s="572" customFormat="1" x14ac:dyDescent="0.25">
      <c r="A61" s="137" t="s">
        <v>75</v>
      </c>
      <c r="B61" s="600"/>
      <c r="C61" s="145"/>
      <c r="D61" s="145"/>
      <c r="E61" s="145"/>
      <c r="F61" s="145"/>
      <c r="G61" s="145"/>
      <c r="H61" s="145"/>
      <c r="I61" s="145"/>
      <c r="J61" s="31"/>
      <c r="K61" s="593"/>
      <c r="L61" s="145"/>
      <c r="M61" s="145"/>
      <c r="N61" s="145"/>
      <c r="O61" s="145"/>
      <c r="P61" s="145"/>
      <c r="Q61" s="145"/>
      <c r="R61" s="145"/>
      <c r="S61" s="594"/>
    </row>
    <row r="62" spans="1:19" s="572" customFormat="1" x14ac:dyDescent="0.25">
      <c r="A62" s="137" t="s">
        <v>119</v>
      </c>
      <c r="B62" s="587">
        <f>'Equipment Trans Talega Seg 3'!Q35</f>
        <v>3.2187908646110479</v>
      </c>
      <c r="C62" s="587">
        <f>'Equipment Trans Talega Seg 3'!R35</f>
        <v>13.815915193082457</v>
      </c>
      <c r="D62" s="587">
        <f>'Equipment Trans Talega Seg 3'!S35</f>
        <v>18.474560132899562</v>
      </c>
      <c r="E62" s="587">
        <f>'Equipment Trans Talega Seg 3'!T35</f>
        <v>3.2157718114233513E-2</v>
      </c>
      <c r="F62" s="587">
        <f>'Equipment Trans Talega Seg 3'!U35</f>
        <v>0.99452684118322798</v>
      </c>
      <c r="G62" s="587">
        <f>'Equipment Trans Talega Seg 3'!V35</f>
        <v>0.88512888865307304</v>
      </c>
      <c r="H62" s="587">
        <f>'Equipment Trans Talega Seg 3'!W35</f>
        <v>2890.4488187654215</v>
      </c>
      <c r="I62" s="587">
        <f>'Equipment Trans Talega Seg 3'!X35</f>
        <v>0.31829141152653628</v>
      </c>
      <c r="J62" s="587">
        <f>'Equipment Trans Talega Seg 3'!Y35</f>
        <v>1.7550832126254585</v>
      </c>
      <c r="K62" s="587">
        <f>'Equipment Trans Talega Seg 3'!E82</f>
        <v>0.21244019706432918</v>
      </c>
      <c r="L62" s="587">
        <f>'Equipment Trans Talega Seg 3'!F82</f>
        <v>0.9118504027434422</v>
      </c>
      <c r="M62" s="587">
        <f>'Equipment Trans Talega Seg 3'!G82</f>
        <v>1.2193209687713711</v>
      </c>
      <c r="N62" s="587">
        <f>'Equipment Trans Talega Seg 3'!H82</f>
        <v>2.122409395539412E-3</v>
      </c>
      <c r="O62" s="587">
        <f>'Equipment Trans Talega Seg 3'!I82</f>
        <v>6.5638771518093053E-2</v>
      </c>
      <c r="P62" s="587">
        <f>'Equipment Trans Talega Seg 3'!J82</f>
        <v>5.8418506651102813E-2</v>
      </c>
      <c r="Q62" s="587">
        <f>'Equipment Trans Talega Seg 3'!K82</f>
        <v>190.76962203851784</v>
      </c>
      <c r="R62" s="587">
        <f>'Equipment Trans Talega Seg 3'!L82</f>
        <v>2.1007233160751398E-2</v>
      </c>
      <c r="S62" s="587">
        <f>'Equipment Trans Talega Seg 3'!M82</f>
        <v>0.11583549203328027</v>
      </c>
    </row>
    <row r="63" spans="1:19" s="572" customFormat="1" x14ac:dyDescent="0.25">
      <c r="A63" s="137" t="s">
        <v>120</v>
      </c>
      <c r="B63" s="587">
        <f>WorkerTrips!I118</f>
        <v>0.99512344836950228</v>
      </c>
      <c r="C63" s="587">
        <f>WorkerTrips!G118</f>
        <v>10.018920890924033</v>
      </c>
      <c r="D63" s="587">
        <f>WorkerTrips!H118</f>
        <v>0.90481193465270437</v>
      </c>
      <c r="E63" s="587">
        <f>WorkerTrips!J118</f>
        <v>1.3053104830353402E-2</v>
      </c>
      <c r="F63" s="586">
        <f>WorkerTrips!K118+WorkerTrips!M118</f>
        <v>0.3071837100672844</v>
      </c>
      <c r="G63" s="586">
        <f>WorkerTrips!L118+WorkerTrips!N118</f>
        <v>0.13080156606507079</v>
      </c>
      <c r="H63" s="586">
        <f>WorkerTrips!O118</f>
        <v>1018.4389126356028</v>
      </c>
      <c r="I63" s="586">
        <f>WorkerTrips!P118</f>
        <v>5.707136156377033E-2</v>
      </c>
      <c r="J63" s="586">
        <f>WorkerTrips!Q118</f>
        <v>0.10388139246522908</v>
      </c>
      <c r="K63" s="590">
        <f>WorkerTrips!U118</f>
        <v>3.2839073796193573E-2</v>
      </c>
      <c r="L63" s="590">
        <f>WorkerTrips!S118</f>
        <v>0.3306243894004931</v>
      </c>
      <c r="M63" s="590">
        <f>WorkerTrips!T118</f>
        <v>2.9858793843539247E-2</v>
      </c>
      <c r="N63" s="590">
        <f>WorkerTrips!V118</f>
        <v>4.3075245940166223E-4</v>
      </c>
      <c r="O63" s="591">
        <f>WorkerTrips!W118+WorkerTrips!Y118</f>
        <v>1.0137062432220387E-2</v>
      </c>
      <c r="P63" s="591">
        <f>WorkerTrips!X118+WorkerTrips!Z118</f>
        <v>4.3164516801473367E-3</v>
      </c>
      <c r="Q63" s="591">
        <f>WorkerTrips!AA118</f>
        <v>33.608484116974893</v>
      </c>
      <c r="R63" s="591">
        <f>WorkerTrips!AB118</f>
        <v>1.8833549316044208E-3</v>
      </c>
      <c r="S63" s="591">
        <f>WorkerTrips!AC118</f>
        <v>3.4280859513525597E-3</v>
      </c>
    </row>
    <row r="64" spans="1:19" s="572" customFormat="1" x14ac:dyDescent="0.25">
      <c r="A64" s="137" t="s">
        <v>121</v>
      </c>
      <c r="B64" s="587">
        <f>'Construction Trucks'!V48</f>
        <v>0.70291631777342611</v>
      </c>
      <c r="C64" s="587">
        <f>'Construction Trucks'!T48</f>
        <v>2.9546105410276868</v>
      </c>
      <c r="D64" s="587">
        <f>'Construction Trucks'!U48</f>
        <v>12.539719954027298</v>
      </c>
      <c r="E64" s="587">
        <f>'Construction Trucks'!W48</f>
        <v>2.7713884342268763E-2</v>
      </c>
      <c r="F64" s="586">
        <f>'Construction Trucks'!X48+'Construction Trucks'!Z48</f>
        <v>0.60938965814907942</v>
      </c>
      <c r="G64" s="586">
        <f>'Construction Trucks'!Y48+'Construction Trucks'!AA48</f>
        <v>0.32630373022248638</v>
      </c>
      <c r="H64" s="586">
        <f>'Construction Trucks'!AB48</f>
        <v>4345.3815601709266</v>
      </c>
      <c r="I64" s="586">
        <f>'Construction Trucks'!AC48</f>
        <v>0.24830813849284727</v>
      </c>
      <c r="J64" s="586">
        <f>'Construction Trucks'!AD48</f>
        <v>0.11131129404533846</v>
      </c>
      <c r="K64" s="592">
        <f>'Construction Trucks'!AH48</f>
        <v>2.1949344382802854E-2</v>
      </c>
      <c r="L64" s="592">
        <f>'Construction Trucks'!AF48</f>
        <v>9.4184824980308002E-2</v>
      </c>
      <c r="M64" s="592">
        <f>'Construction Trucks'!AG48</f>
        <v>0.36513653848576516</v>
      </c>
      <c r="N64" s="592">
        <f>'Construction Trucks'!AI48</f>
        <v>8.3159174673480335E-4</v>
      </c>
      <c r="O64" s="586">
        <f>'Construction Trucks'!AJ48+'Construction Trucks'!AL48</f>
        <v>2.0298031397608024E-2</v>
      </c>
      <c r="P64" s="586">
        <f>'Construction Trucks'!AK48+'Construction Trucks'!AM48</f>
        <v>1.1222411817092912E-2</v>
      </c>
      <c r="Q64" s="586">
        <f>'Construction Trucks'!AN48</f>
        <v>127.48596183724894</v>
      </c>
      <c r="R64" s="586">
        <f>'Construction Trucks'!AO48</f>
        <v>7.2849303172659152E-3</v>
      </c>
      <c r="S64" s="586">
        <f>'Construction Trucks'!AP48</f>
        <v>3.2656803984229682E-3</v>
      </c>
    </row>
    <row r="65" spans="1:23" s="572" customFormat="1" x14ac:dyDescent="0.25">
      <c r="A65" s="137" t="s">
        <v>122</v>
      </c>
      <c r="B65" s="588"/>
      <c r="C65" s="589"/>
      <c r="D65" s="589"/>
      <c r="E65" s="589"/>
      <c r="F65" s="586">
        <f>'Fugitive Dust Transmission'!$C$150</f>
        <v>89.771202104633829</v>
      </c>
      <c r="G65" s="586">
        <f>'Fugitive Dust Transmission'!$D$150</f>
        <v>26.788555913912528</v>
      </c>
      <c r="H65" s="589"/>
      <c r="I65" s="589"/>
      <c r="J65" s="588"/>
      <c r="K65" s="593"/>
      <c r="L65" s="145"/>
      <c r="M65" s="145"/>
      <c r="N65" s="145"/>
      <c r="O65" s="215">
        <f>'Fugitive Dust Transmission'!C154</f>
        <v>1.9749664463019443</v>
      </c>
      <c r="P65" s="215">
        <f>'Fugitive Dust Transmission'!D154</f>
        <v>0.58934823010607562</v>
      </c>
      <c r="Q65" s="145"/>
      <c r="R65" s="145"/>
      <c r="S65" s="594"/>
    </row>
    <row r="66" spans="1:23" s="572" customFormat="1" x14ac:dyDescent="0.25">
      <c r="A66" s="12" t="s">
        <v>123</v>
      </c>
      <c r="B66" s="588">
        <f>SUM(B62:B65)</f>
        <v>4.9168306307539762</v>
      </c>
      <c r="C66" s="588">
        <f t="shared" ref="C66" si="83">SUM(C62:C65)</f>
        <v>26.789446625034177</v>
      </c>
      <c r="D66" s="588">
        <f t="shared" ref="D66" si="84">SUM(D62:D65)</f>
        <v>31.919092021579566</v>
      </c>
      <c r="E66" s="588">
        <f t="shared" ref="E66" si="85">SUM(E62:E65)</f>
        <v>7.2924707286855683E-2</v>
      </c>
      <c r="F66" s="588">
        <f t="shared" ref="F66" si="86">SUM(F62:F65)</f>
        <v>91.682302314033421</v>
      </c>
      <c r="G66" s="588">
        <f t="shared" ref="G66" si="87">SUM(G62:G65)</f>
        <v>28.130790098853158</v>
      </c>
      <c r="H66" s="588">
        <f t="shared" ref="H66" si="88">SUM(H62:H65)</f>
        <v>8254.2692915719508</v>
      </c>
      <c r="I66" s="588">
        <f t="shared" ref="I66" si="89">SUM(I62:I65)</f>
        <v>0.62367091158315391</v>
      </c>
      <c r="J66" s="588">
        <f t="shared" ref="J66" si="90">SUM(J62:J65)</f>
        <v>1.9702758991360261</v>
      </c>
      <c r="K66" s="588">
        <f t="shared" ref="K66" si="91">SUM(K62:K65)</f>
        <v>0.26722861524332564</v>
      </c>
      <c r="L66" s="588">
        <f t="shared" ref="L66" si="92">SUM(L62:L65)</f>
        <v>1.3366596171242433</v>
      </c>
      <c r="M66" s="588">
        <f t="shared" ref="M66" si="93">SUM(M62:M65)</f>
        <v>1.6143163011006756</v>
      </c>
      <c r="N66" s="588">
        <f t="shared" ref="N66" si="94">SUM(N62:N65)</f>
        <v>3.3847536016758774E-3</v>
      </c>
      <c r="O66" s="588">
        <f t="shared" ref="O66" si="95">SUM(O62:O65)</f>
        <v>2.0710403116498659</v>
      </c>
      <c r="P66" s="588">
        <f t="shared" ref="P66" si="96">SUM(P62:P65)</f>
        <v>0.66330560025441865</v>
      </c>
      <c r="Q66" s="588">
        <f t="shared" ref="Q66" si="97">SUM(Q62:Q65)</f>
        <v>351.86406799274164</v>
      </c>
      <c r="R66" s="588">
        <f t="shared" ref="R66" si="98">SUM(R62:R65)</f>
        <v>3.0175518409621738E-2</v>
      </c>
      <c r="S66" s="588">
        <f t="shared" ref="S66" si="99">SUM(S62:S65)</f>
        <v>0.1225292583830558</v>
      </c>
    </row>
    <row r="67" spans="1:23" s="572" customFormat="1" x14ac:dyDescent="0.25">
      <c r="A67" s="614" t="s">
        <v>124</v>
      </c>
      <c r="B67" s="216">
        <v>75</v>
      </c>
      <c r="C67" s="216">
        <v>550</v>
      </c>
      <c r="D67" s="216">
        <v>100</v>
      </c>
      <c r="E67" s="216">
        <v>150</v>
      </c>
      <c r="F67" s="216">
        <v>150</v>
      </c>
      <c r="G67" s="216">
        <v>55</v>
      </c>
      <c r="H67" s="216" t="s">
        <v>126</v>
      </c>
      <c r="I67" s="216" t="s">
        <v>126</v>
      </c>
      <c r="J67" s="216" t="s">
        <v>126</v>
      </c>
      <c r="K67" s="593"/>
      <c r="L67" s="145"/>
      <c r="M67" s="145"/>
      <c r="N67" s="145"/>
      <c r="O67" s="145"/>
      <c r="P67" s="145"/>
      <c r="Q67" s="145"/>
      <c r="R67" s="145"/>
      <c r="S67" s="594"/>
    </row>
    <row r="68" spans="1:23" s="572" customFormat="1" x14ac:dyDescent="0.25">
      <c r="A68" s="137" t="s">
        <v>125</v>
      </c>
      <c r="B68" s="27" t="str">
        <f>IF(B66&gt;B67,"Yes","No")</f>
        <v>No</v>
      </c>
      <c r="C68" s="27" t="str">
        <f t="shared" ref="C68:G68" si="100">IF(C66&gt;C67,"Yes","No")</f>
        <v>No</v>
      </c>
      <c r="D68" s="27" t="str">
        <f t="shared" si="100"/>
        <v>No</v>
      </c>
      <c r="E68" s="27" t="str">
        <f t="shared" si="100"/>
        <v>No</v>
      </c>
      <c r="F68" s="27" t="str">
        <f t="shared" si="100"/>
        <v>No</v>
      </c>
      <c r="G68" s="27" t="str">
        <f t="shared" si="100"/>
        <v>No</v>
      </c>
      <c r="H68" s="27" t="s">
        <v>126</v>
      </c>
      <c r="I68" s="27" t="s">
        <v>126</v>
      </c>
      <c r="J68" s="27" t="s">
        <v>126</v>
      </c>
      <c r="K68" s="593"/>
      <c r="L68" s="145"/>
      <c r="M68" s="145"/>
      <c r="N68" s="145"/>
      <c r="O68" s="145"/>
      <c r="P68" s="145"/>
      <c r="Q68" s="145"/>
      <c r="R68" s="145"/>
      <c r="S68" s="594"/>
    </row>
    <row r="69" spans="1:23" s="572" customFormat="1" x14ac:dyDescent="0.25">
      <c r="A69" s="613"/>
      <c r="B69" s="564"/>
      <c r="C69" s="563"/>
      <c r="D69" s="563"/>
      <c r="E69" s="563"/>
      <c r="F69" s="563"/>
      <c r="G69" s="563"/>
      <c r="H69" s="563"/>
      <c r="I69" s="563"/>
      <c r="J69" s="11"/>
      <c r="K69" s="598"/>
      <c r="L69" s="112"/>
      <c r="M69" s="112"/>
      <c r="N69" s="112"/>
      <c r="O69" s="112"/>
      <c r="P69" s="112"/>
      <c r="Q69" s="112"/>
      <c r="R69" s="112"/>
      <c r="S69" s="599"/>
      <c r="T69" s="113"/>
      <c r="U69" s="113"/>
      <c r="V69" s="113"/>
      <c r="W69" s="113"/>
    </row>
    <row r="70" spans="1:23" s="572" customFormat="1" x14ac:dyDescent="0.25">
      <c r="A70" s="613"/>
      <c r="B70" s="564"/>
      <c r="C70" s="563"/>
      <c r="D70" s="563"/>
      <c r="E70" s="563"/>
      <c r="F70" s="563"/>
      <c r="G70" s="563"/>
      <c r="H70" s="563"/>
      <c r="I70" s="563"/>
      <c r="J70" s="11"/>
      <c r="K70" s="565"/>
      <c r="L70" s="570"/>
      <c r="M70" s="570"/>
      <c r="N70" s="570"/>
      <c r="O70" s="570"/>
      <c r="P70" s="570"/>
      <c r="Q70" s="570"/>
      <c r="R70" s="570"/>
      <c r="S70" s="571"/>
      <c r="T70" s="113"/>
      <c r="U70" s="113"/>
      <c r="V70" s="113"/>
      <c r="W70" s="113"/>
    </row>
    <row r="71" spans="1:23" s="572" customFormat="1" ht="39.6" x14ac:dyDescent="0.25">
      <c r="A71" s="31" t="str">
        <f>'Equipment Trans Segment 1'!A2</f>
        <v>Segment 1b: Overhead Double-Circuit 230-kV Transmission Line from Capistrano Substation to Vista Montana Rd. and 138-kV Getaways East of San Juan Capistrano Substation to Vista Montana Road</v>
      </c>
      <c r="B71" s="16" t="s">
        <v>18</v>
      </c>
      <c r="C71" s="16" t="s">
        <v>19</v>
      </c>
      <c r="D71" s="16" t="s">
        <v>20</v>
      </c>
      <c r="E71" s="16" t="s">
        <v>21</v>
      </c>
      <c r="F71" s="16" t="s">
        <v>22</v>
      </c>
      <c r="G71" s="16" t="s">
        <v>23</v>
      </c>
      <c r="H71" s="17" t="s">
        <v>24</v>
      </c>
      <c r="I71" s="16" t="s">
        <v>25</v>
      </c>
      <c r="J71" s="16" t="s">
        <v>26</v>
      </c>
      <c r="K71" s="18" t="s">
        <v>27</v>
      </c>
      <c r="L71" s="18" t="s">
        <v>28</v>
      </c>
      <c r="M71" s="18" t="s">
        <v>29</v>
      </c>
      <c r="N71" s="18" t="s">
        <v>30</v>
      </c>
      <c r="O71" s="18" t="s">
        <v>31</v>
      </c>
      <c r="P71" s="18" t="s">
        <v>32</v>
      </c>
      <c r="Q71" s="17" t="s">
        <v>33</v>
      </c>
      <c r="R71" s="18" t="s">
        <v>34</v>
      </c>
      <c r="S71" s="18" t="s">
        <v>35</v>
      </c>
    </row>
    <row r="72" spans="1:23" s="572" customFormat="1" x14ac:dyDescent="0.25">
      <c r="A72" s="137" t="s">
        <v>75</v>
      </c>
      <c r="B72" s="600"/>
      <c r="C72" s="145"/>
      <c r="D72" s="145"/>
      <c r="E72" s="145"/>
      <c r="F72" s="145"/>
      <c r="G72" s="145"/>
      <c r="H72" s="145"/>
      <c r="I72" s="145"/>
      <c r="J72" s="31"/>
      <c r="K72" s="593"/>
      <c r="L72" s="145"/>
      <c r="M72" s="145"/>
      <c r="N72" s="145"/>
      <c r="O72" s="145"/>
      <c r="P72" s="145"/>
      <c r="Q72" s="145"/>
      <c r="R72" s="145"/>
      <c r="S72" s="594"/>
    </row>
    <row r="73" spans="1:23" s="572" customFormat="1" x14ac:dyDescent="0.25">
      <c r="A73" s="137" t="s">
        <v>119</v>
      </c>
      <c r="B73" s="587">
        <f>'Equipment Trans Segment 1'!Q35</f>
        <v>3.2187908646110479</v>
      </c>
      <c r="C73" s="587">
        <f>'Equipment Trans Segment 1'!R35</f>
        <v>13.815915193082457</v>
      </c>
      <c r="D73" s="587">
        <f>'Equipment Trans Segment 1'!S35</f>
        <v>18.474560132899562</v>
      </c>
      <c r="E73" s="587">
        <f>'Equipment Trans Segment 1'!T35</f>
        <v>3.2157718114233513E-2</v>
      </c>
      <c r="F73" s="587">
        <f>'Equipment Trans Segment 1'!U35</f>
        <v>0.99452684118322798</v>
      </c>
      <c r="G73" s="587">
        <f>'Equipment Trans Segment 1'!V35</f>
        <v>0.88512888865307304</v>
      </c>
      <c r="H73" s="587">
        <f>'Equipment Trans Segment 1'!W35</f>
        <v>2890.4488187654215</v>
      </c>
      <c r="I73" s="587">
        <f>'Equipment Trans Segment 1'!X35</f>
        <v>0.31829141152653628</v>
      </c>
      <c r="J73" s="587">
        <f>'Equipment Trans Segment 1'!Y35</f>
        <v>1.7550832126254585</v>
      </c>
      <c r="K73" s="587">
        <f>'Equipment Trans Segment 1'!E82</f>
        <v>0.21244019706432918</v>
      </c>
      <c r="L73" s="587">
        <f>'Equipment Trans Segment 1'!F82</f>
        <v>0.9118504027434422</v>
      </c>
      <c r="M73" s="587">
        <f>'Equipment Trans Segment 1'!G82</f>
        <v>1.2193209687713711</v>
      </c>
      <c r="N73" s="587">
        <f>'Equipment Trans Segment 1'!H82</f>
        <v>2.122409395539412E-3</v>
      </c>
      <c r="O73" s="587">
        <f>'Equipment Trans Segment 1'!I82</f>
        <v>6.5638771518093053E-2</v>
      </c>
      <c r="P73" s="587">
        <f>'Equipment Trans Segment 1'!J82</f>
        <v>5.8418506651102813E-2</v>
      </c>
      <c r="Q73" s="587">
        <f>'Equipment Trans Segment 1'!K82</f>
        <v>190.76962203851784</v>
      </c>
      <c r="R73" s="587">
        <f>'Equipment Trans Segment 1'!L82</f>
        <v>2.1007233160751398E-2</v>
      </c>
      <c r="S73" s="587">
        <f>'Equipment Trans Segment 1'!M82</f>
        <v>0.11583549203328027</v>
      </c>
    </row>
    <row r="74" spans="1:23" s="572" customFormat="1" x14ac:dyDescent="0.25">
      <c r="A74" s="137" t="s">
        <v>120</v>
      </c>
      <c r="B74" s="587">
        <f>WorkerTrips!I123</f>
        <v>0.99512344836950228</v>
      </c>
      <c r="C74" s="587">
        <f>WorkerTrips!G123</f>
        <v>10.018920890924033</v>
      </c>
      <c r="D74" s="587">
        <f>WorkerTrips!H123</f>
        <v>0.90481193465270437</v>
      </c>
      <c r="E74" s="587">
        <f>WorkerTrips!J123</f>
        <v>1.3053104830353402E-2</v>
      </c>
      <c r="F74" s="586">
        <f>WorkerTrips!K123+WorkerTrips!M123</f>
        <v>0.3071837100672844</v>
      </c>
      <c r="G74" s="586">
        <f>WorkerTrips!L123+WorkerTrips!N123</f>
        <v>0.13080156606507079</v>
      </c>
      <c r="H74" s="586">
        <f>WorkerTrips!O123</f>
        <v>1018.4389126356028</v>
      </c>
      <c r="I74" s="586">
        <f>WorkerTrips!P123</f>
        <v>5.707136156377033E-2</v>
      </c>
      <c r="J74" s="586">
        <f>WorkerTrips!Q123</f>
        <v>0.10388139246522908</v>
      </c>
      <c r="K74" s="590">
        <f>WorkerTrips!U123</f>
        <v>3.2839073796193573E-2</v>
      </c>
      <c r="L74" s="590">
        <f>WorkerTrips!S123</f>
        <v>0.3306243894004931</v>
      </c>
      <c r="M74" s="590">
        <f>WorkerTrips!T123</f>
        <v>2.9858793843539247E-2</v>
      </c>
      <c r="N74" s="590">
        <f>WorkerTrips!V123</f>
        <v>4.3075245940166223E-4</v>
      </c>
      <c r="O74" s="591">
        <f>WorkerTrips!W123+WorkerTrips!Y123</f>
        <v>1.0137062432220387E-2</v>
      </c>
      <c r="P74" s="591">
        <f>WorkerTrips!X123+WorkerTrips!Z123</f>
        <v>4.3164516801473367E-3</v>
      </c>
      <c r="Q74" s="591">
        <f>WorkerTrips!AA123</f>
        <v>33.608484116974893</v>
      </c>
      <c r="R74" s="591">
        <f>WorkerTrips!AB123</f>
        <v>1.8833549316044208E-3</v>
      </c>
      <c r="S74" s="591">
        <f>WorkerTrips!AC123</f>
        <v>3.4280859513525597E-3</v>
      </c>
    </row>
    <row r="75" spans="1:23" s="572" customFormat="1" x14ac:dyDescent="0.25">
      <c r="A75" s="137" t="s">
        <v>121</v>
      </c>
      <c r="B75" s="587">
        <f>'Construction Trucks'!V80</f>
        <v>0.61032869432553494</v>
      </c>
      <c r="C75" s="587">
        <f>'Construction Trucks'!T80</f>
        <v>2.5727186064537499</v>
      </c>
      <c r="D75" s="587">
        <f>'Construction Trucks'!U80</f>
        <v>10.78788291433019</v>
      </c>
      <c r="E75" s="587">
        <f>'Construction Trucks'!W80</f>
        <v>2.3935381994333406E-2</v>
      </c>
      <c r="F75" s="586">
        <f>'Construction Trucks'!X80+'Construction Trucks'!Z80</f>
        <v>0.53392872617850662</v>
      </c>
      <c r="G75" s="586">
        <f>'Construction Trucks'!Y80+'Construction Trucks'!AA80</f>
        <v>0.28723693333767125</v>
      </c>
      <c r="H75" s="586">
        <f>'Construction Trucks'!AB80</f>
        <v>3741.9375407238349</v>
      </c>
      <c r="I75" s="586">
        <f>'Construction Trucks'!AC80</f>
        <v>0.21382553688958211</v>
      </c>
      <c r="J75" s="586">
        <f>'Construction Trucks'!AD80</f>
        <v>9.5853472043181759E-2</v>
      </c>
      <c r="K75" s="592">
        <f>'Construction Trucks'!AH80</f>
        <v>1.5838561235242035E-2</v>
      </c>
      <c r="L75" s="592">
        <f>'Construction Trucks'!AF80</f>
        <v>6.8979957298428166E-2</v>
      </c>
      <c r="M75" s="592">
        <f>'Construction Trucks'!AG80</f>
        <v>0.24951529386575602</v>
      </c>
      <c r="N75" s="592">
        <f>'Construction Trucks'!AI80</f>
        <v>5.8221059177106964E-4</v>
      </c>
      <c r="O75" s="586">
        <f>'Construction Trucks'!AJ80+'Construction Trucks'!AL80</f>
        <v>1.531760988755022E-2</v>
      </c>
      <c r="P75" s="586">
        <f>'Construction Trucks'!AK80+'Construction Trucks'!AM80</f>
        <v>8.6440032226951149E-3</v>
      </c>
      <c r="Q75" s="586">
        <f>'Construction Trucks'!AN80</f>
        <v>87.658656553740869</v>
      </c>
      <c r="R75" s="586">
        <f>'Construction Trucks'!AO80</f>
        <v>5.0090786114504139E-3</v>
      </c>
      <c r="S75" s="586">
        <f>'Construction Trucks'!AP80</f>
        <v>2.245464146280626E-3</v>
      </c>
    </row>
    <row r="76" spans="1:23" s="612" customFormat="1" x14ac:dyDescent="0.25">
      <c r="A76" s="137" t="s">
        <v>655</v>
      </c>
      <c r="B76" s="615">
        <f>Helicopters!K$3</f>
        <v>12.830799050242181</v>
      </c>
      <c r="C76" s="587">
        <f>Helicopters!M$3</f>
        <v>66.887438003316817</v>
      </c>
      <c r="D76" s="587">
        <f>Helicopters!J$3</f>
        <v>66.887438003316817</v>
      </c>
      <c r="E76" s="587">
        <f>Helicopters!N$3</f>
        <v>12.314722567340549</v>
      </c>
      <c r="F76" s="586">
        <f>Helicopters!L$3</f>
        <v>22.109244879957675</v>
      </c>
      <c r="G76" s="586">
        <f>Helicopters!L$3</f>
        <v>22.109244879957675</v>
      </c>
      <c r="H76" s="586">
        <f>Helicopters!O$3</f>
        <v>30084.642801206399</v>
      </c>
      <c r="I76" s="215">
        <v>0</v>
      </c>
      <c r="J76" s="215">
        <v>0</v>
      </c>
      <c r="K76" s="592">
        <f>Helicopters!Q$3</f>
        <v>0.12830799050242181</v>
      </c>
      <c r="L76" s="592">
        <f>Helicopters!S$3</f>
        <v>0.66887438003316801</v>
      </c>
      <c r="M76" s="592">
        <f>Helicopters!P$3</f>
        <v>0.66887438003316801</v>
      </c>
      <c r="N76" s="592">
        <f>Helicopters!T$3</f>
        <v>0.1231472256734055</v>
      </c>
      <c r="O76" s="592">
        <f>Helicopters!R$3</f>
        <v>0.22109244879957674</v>
      </c>
      <c r="P76" s="592">
        <f>Helicopters!R$3</f>
        <v>0.22109244879957674</v>
      </c>
      <c r="Q76" s="592">
        <f>Helicopters!U$3</f>
        <v>300.846428012064</v>
      </c>
      <c r="R76" s="592">
        <v>0</v>
      </c>
      <c r="S76" s="586">
        <v>0</v>
      </c>
    </row>
    <row r="77" spans="1:23" s="572" customFormat="1" x14ac:dyDescent="0.25">
      <c r="A77" s="137" t="s">
        <v>122</v>
      </c>
      <c r="B77" s="588"/>
      <c r="C77" s="589"/>
      <c r="D77" s="589"/>
      <c r="E77" s="589"/>
      <c r="F77" s="586">
        <f>'Fugitive Dust Transmission'!$C$150</f>
        <v>89.771202104633829</v>
      </c>
      <c r="G77" s="586">
        <f>'Fugitive Dust Transmission'!$D$150</f>
        <v>26.788555913912528</v>
      </c>
      <c r="H77" s="589"/>
      <c r="I77" s="589"/>
      <c r="J77" s="588"/>
      <c r="K77" s="593"/>
      <c r="L77" s="145"/>
      <c r="M77" s="145"/>
      <c r="N77" s="145"/>
      <c r="O77" s="215">
        <f>'Fugitive Dust Transmission'!C156</f>
        <v>2.9624496694529161</v>
      </c>
      <c r="P77" s="215">
        <f>'Fugitive Dust Transmission'!D156</f>
        <v>0.88402234515911349</v>
      </c>
      <c r="Q77" s="145"/>
      <c r="R77" s="145"/>
      <c r="S77" s="594"/>
    </row>
    <row r="78" spans="1:23" s="572" customFormat="1" x14ac:dyDescent="0.25">
      <c r="A78" s="12" t="s">
        <v>123</v>
      </c>
      <c r="B78" s="588">
        <f>SUM(B73:B77)</f>
        <v>17.655042057548265</v>
      </c>
      <c r="C78" s="588">
        <f t="shared" ref="C78" si="101">SUM(C73:C77)</f>
        <v>93.294992693777061</v>
      </c>
      <c r="D78" s="588">
        <f t="shared" ref="D78" si="102">SUM(D73:D77)</f>
        <v>97.054692985199267</v>
      </c>
      <c r="E78" s="588">
        <f t="shared" ref="E78" si="103">SUM(E73:E77)</f>
        <v>12.38386877227947</v>
      </c>
      <c r="F78" s="588">
        <f t="shared" ref="F78" si="104">SUM(F73:F77)</f>
        <v>113.71608626202053</v>
      </c>
      <c r="G78" s="588">
        <f t="shared" ref="G78" si="105">SUM(G73:G77)</f>
        <v>50.200968181926015</v>
      </c>
      <c r="H78" s="588">
        <f t="shared" ref="H78" si="106">SUM(H73:H77)</f>
        <v>37735.468073331256</v>
      </c>
      <c r="I78" s="588">
        <f t="shared" ref="I78" si="107">SUM(I73:I77)</f>
        <v>0.58918830997988869</v>
      </c>
      <c r="J78" s="588">
        <f t="shared" ref="J78" si="108">SUM(J73:J77)</f>
        <v>1.9548180771338695</v>
      </c>
      <c r="K78" s="588">
        <f t="shared" ref="K78" si="109">SUM(K73:K77)</f>
        <v>0.38942582259818659</v>
      </c>
      <c r="L78" s="588">
        <f t="shared" ref="L78" si="110">SUM(L73:L77)</f>
        <v>1.9803291294755316</v>
      </c>
      <c r="M78" s="588">
        <f t="shared" ref="M78" si="111">SUM(M73:M77)</f>
        <v>2.1675694365138343</v>
      </c>
      <c r="N78" s="588">
        <f t="shared" ref="N78" si="112">SUM(N73:N77)</f>
        <v>0.12628259812011763</v>
      </c>
      <c r="O78" s="588">
        <f t="shared" ref="O78" si="113">SUM(O73:O77)</f>
        <v>3.2746355620903564</v>
      </c>
      <c r="P78" s="588">
        <f t="shared" ref="P78" si="114">SUM(P73:P77)</f>
        <v>1.1764937555126354</v>
      </c>
      <c r="Q78" s="588">
        <f t="shared" ref="Q78" si="115">SUM(Q73:Q77)</f>
        <v>612.88319072129752</v>
      </c>
      <c r="R78" s="588">
        <f t="shared" ref="R78" si="116">SUM(R73:R77)</f>
        <v>2.7899666703806236E-2</v>
      </c>
      <c r="S78" s="588">
        <f t="shared" ref="S78" si="117">SUM(S73:S77)</f>
        <v>0.12150904213091346</v>
      </c>
    </row>
    <row r="79" spans="1:23" s="572" customFormat="1" x14ac:dyDescent="0.25">
      <c r="A79" s="614" t="s">
        <v>124</v>
      </c>
      <c r="B79" s="216">
        <v>75</v>
      </c>
      <c r="C79" s="216">
        <v>550</v>
      </c>
      <c r="D79" s="216">
        <v>100</v>
      </c>
      <c r="E79" s="216">
        <v>150</v>
      </c>
      <c r="F79" s="216">
        <v>150</v>
      </c>
      <c r="G79" s="216">
        <v>55</v>
      </c>
      <c r="H79" s="216" t="s">
        <v>126</v>
      </c>
      <c r="I79" s="216" t="s">
        <v>126</v>
      </c>
      <c r="J79" s="216" t="s">
        <v>126</v>
      </c>
      <c r="K79" s="593"/>
      <c r="L79" s="145"/>
      <c r="M79" s="145"/>
      <c r="N79" s="145"/>
      <c r="O79" s="145"/>
      <c r="P79" s="145"/>
      <c r="Q79" s="145"/>
      <c r="R79" s="145"/>
      <c r="S79" s="594"/>
    </row>
    <row r="80" spans="1:23" s="572" customFormat="1" x14ac:dyDescent="0.25">
      <c r="A80" s="137" t="s">
        <v>125</v>
      </c>
      <c r="B80" s="27" t="str">
        <f>IF(B78&gt;B79,"Yes","No")</f>
        <v>No</v>
      </c>
      <c r="C80" s="27" t="str">
        <f t="shared" ref="C80:G80" si="118">IF(C78&gt;C79,"Yes","No")</f>
        <v>No</v>
      </c>
      <c r="D80" s="27" t="str">
        <f t="shared" si="118"/>
        <v>No</v>
      </c>
      <c r="E80" s="27" t="str">
        <f t="shared" si="118"/>
        <v>No</v>
      </c>
      <c r="F80" s="27" t="str">
        <f t="shared" si="118"/>
        <v>No</v>
      </c>
      <c r="G80" s="27" t="str">
        <f t="shared" si="118"/>
        <v>No</v>
      </c>
      <c r="H80" s="27" t="s">
        <v>126</v>
      </c>
      <c r="I80" s="27" t="s">
        <v>126</v>
      </c>
      <c r="J80" s="27" t="s">
        <v>126</v>
      </c>
      <c r="K80" s="593"/>
      <c r="L80" s="145"/>
      <c r="M80" s="145"/>
      <c r="N80" s="145"/>
      <c r="O80" s="145"/>
      <c r="P80" s="145"/>
      <c r="Q80" s="145"/>
      <c r="R80" s="145"/>
      <c r="S80" s="594"/>
    </row>
    <row r="81" spans="1:19" s="572" customFormat="1" x14ac:dyDescent="0.25">
      <c r="A81" s="613"/>
      <c r="B81" s="564"/>
      <c r="C81" s="563"/>
      <c r="D81" s="563"/>
      <c r="E81" s="563"/>
      <c r="F81" s="563"/>
      <c r="G81" s="563"/>
      <c r="H81" s="563"/>
      <c r="I81" s="563"/>
      <c r="J81" s="11"/>
      <c r="K81" s="565"/>
      <c r="L81" s="570"/>
      <c r="M81" s="570"/>
      <c r="N81" s="570"/>
      <c r="O81" s="570"/>
      <c r="P81" s="570"/>
      <c r="Q81" s="570"/>
      <c r="R81" s="570"/>
      <c r="S81" s="571"/>
    </row>
    <row r="82" spans="1:19" s="572" customFormat="1" x14ac:dyDescent="0.25">
      <c r="A82" s="613"/>
      <c r="B82" s="564"/>
      <c r="C82" s="563"/>
      <c r="D82" s="563"/>
      <c r="E82" s="563"/>
      <c r="F82" s="563"/>
      <c r="G82" s="563"/>
      <c r="H82" s="563"/>
      <c r="I82" s="563"/>
      <c r="J82" s="11"/>
      <c r="K82" s="565"/>
      <c r="L82" s="570"/>
      <c r="M82" s="570"/>
      <c r="N82" s="570"/>
      <c r="O82" s="570"/>
      <c r="P82" s="570"/>
      <c r="Q82" s="570"/>
      <c r="R82" s="570"/>
      <c r="S82" s="571"/>
    </row>
    <row r="83" spans="1:19" s="572" customFormat="1" ht="39.6" x14ac:dyDescent="0.25">
      <c r="A83" s="31" t="str">
        <f>'Equipment Trans Talega Seg 4 23'!A2</f>
        <v>Segment 4: Talega Hub/Corridor 230-kV from structure 42 to Talega Substation</v>
      </c>
      <c r="B83" s="16" t="s">
        <v>18</v>
      </c>
      <c r="C83" s="16" t="s">
        <v>19</v>
      </c>
      <c r="D83" s="16" t="s">
        <v>20</v>
      </c>
      <c r="E83" s="16" t="s">
        <v>21</v>
      </c>
      <c r="F83" s="16" t="s">
        <v>22</v>
      </c>
      <c r="G83" s="16" t="s">
        <v>23</v>
      </c>
      <c r="H83" s="17" t="s">
        <v>24</v>
      </c>
      <c r="I83" s="16" t="s">
        <v>25</v>
      </c>
      <c r="J83" s="16" t="s">
        <v>26</v>
      </c>
      <c r="K83" s="18" t="s">
        <v>27</v>
      </c>
      <c r="L83" s="18" t="s">
        <v>28</v>
      </c>
      <c r="M83" s="18" t="s">
        <v>29</v>
      </c>
      <c r="N83" s="18" t="s">
        <v>30</v>
      </c>
      <c r="O83" s="18" t="s">
        <v>31</v>
      </c>
      <c r="P83" s="18" t="s">
        <v>32</v>
      </c>
      <c r="Q83" s="17" t="s">
        <v>33</v>
      </c>
      <c r="R83" s="18" t="s">
        <v>34</v>
      </c>
      <c r="S83" s="18" t="s">
        <v>35</v>
      </c>
    </row>
    <row r="84" spans="1:19" s="572" customFormat="1" x14ac:dyDescent="0.25">
      <c r="A84" s="137" t="s">
        <v>75</v>
      </c>
      <c r="B84" s="600"/>
      <c r="C84" s="145"/>
      <c r="D84" s="145"/>
      <c r="E84" s="145"/>
      <c r="F84" s="145"/>
      <c r="G84" s="145"/>
      <c r="H84" s="145"/>
      <c r="I84" s="145"/>
      <c r="J84" s="31"/>
      <c r="K84" s="593"/>
      <c r="L84" s="145"/>
      <c r="M84" s="145"/>
      <c r="N84" s="145"/>
      <c r="O84" s="145"/>
      <c r="P84" s="145"/>
      <c r="Q84" s="145"/>
      <c r="R84" s="145"/>
      <c r="S84" s="594"/>
    </row>
    <row r="85" spans="1:19" s="572" customFormat="1" x14ac:dyDescent="0.25">
      <c r="A85" s="137" t="s">
        <v>119</v>
      </c>
      <c r="B85" s="587">
        <f>0.625*'Equipment Trans Talega Seg 4 23'!Q35</f>
        <v>1.5507310554532816</v>
      </c>
      <c r="C85" s="587">
        <f>0.625*'Equipment Trans Talega Seg 4 23'!R35</f>
        <v>6.7396694843346117</v>
      </c>
      <c r="D85" s="587">
        <f>0.625*'Equipment Trans Talega Seg 4 23'!S35</f>
        <v>8.0553255426987143</v>
      </c>
      <c r="E85" s="587">
        <f>0.625*'Equipment Trans Talega Seg 4 23'!T35</f>
        <v>1.332512966233425E-2</v>
      </c>
      <c r="F85" s="587">
        <f>0.625*'Equipment Trans Talega Seg 4 23'!U35</f>
        <v>0.47303809911321026</v>
      </c>
      <c r="G85" s="587">
        <f>0.625*'Equipment Trans Talega Seg 4 23'!V35</f>
        <v>0.42100390821075706</v>
      </c>
      <c r="H85" s="587">
        <f>0.625*'Equipment Trans Talega Seg 4 23'!W35</f>
        <v>1165.4792347253513</v>
      </c>
      <c r="I85" s="587">
        <f>0.625*'Equipment Trans Talega Seg 4 23'!X35</f>
        <v>0.1539103778931564</v>
      </c>
      <c r="J85" s="587">
        <f>0.625*'Equipment Trans Talega Seg 4 23'!Y35</f>
        <v>0.76525592655637764</v>
      </c>
      <c r="K85" s="587">
        <f>0.625*'Equipment Trans Talega Seg 4 23'!E81</f>
        <v>8.5290208049930455E-2</v>
      </c>
      <c r="L85" s="587">
        <f>0.625*'Equipment Trans Talega Seg 4 23'!F81</f>
        <v>0.37068182163840363</v>
      </c>
      <c r="M85" s="587">
        <f>0.625*'Equipment Trans Talega Seg 4 23'!G81</f>
        <v>0.44304290484842923</v>
      </c>
      <c r="N85" s="587">
        <f>0.625*'Equipment Trans Talega Seg 4 23'!H81</f>
        <v>7.3288213142838371E-4</v>
      </c>
      <c r="O85" s="587">
        <f>0.625*'Equipment Trans Talega Seg 4 23'!I81</f>
        <v>2.6017095451226567E-2</v>
      </c>
      <c r="P85" s="587">
        <f>0.625*'Equipment Trans Talega Seg 4 23'!J81</f>
        <v>2.3155214951591643E-2</v>
      </c>
      <c r="Q85" s="587">
        <f>0.625*'Equipment Trans Talega Seg 4 23'!K81</f>
        <v>64.101357909894318</v>
      </c>
      <c r="R85" s="587">
        <f>0.625*'Equipment Trans Talega Seg 4 23'!L81</f>
        <v>8.465070784123601E-3</v>
      </c>
      <c r="S85" s="587">
        <f>0.625*'Equipment Trans Talega Seg 4 23'!M81</f>
        <v>4.2089075960600776E-2</v>
      </c>
    </row>
    <row r="86" spans="1:19" s="572" customFormat="1" x14ac:dyDescent="0.25">
      <c r="A86" s="137" t="s">
        <v>120</v>
      </c>
      <c r="B86" s="587">
        <f>0.98275*WorkerTrips!I126</f>
        <v>0.97795756888512841</v>
      </c>
      <c r="C86" s="587">
        <f>0.98275*WorkerTrips!G126</f>
        <v>9.8460945055555928</v>
      </c>
      <c r="D86" s="587">
        <f>0.98275*WorkerTrips!H126</f>
        <v>0.88920392877994525</v>
      </c>
      <c r="E86" s="587">
        <f>0.98275*WorkerTrips!J126</f>
        <v>1.2827938772029805E-2</v>
      </c>
      <c r="F86" s="586">
        <f>0.98275*WorkerTrips!K126+0.98275*WorkerTrips!M126</f>
        <v>0.30188479106862376</v>
      </c>
      <c r="G86" s="586">
        <f>0.98275*WorkerTrips!L126+0.98275*WorkerTrips!N126</f>
        <v>0.12854523905044832</v>
      </c>
      <c r="H86" s="586">
        <f>0.98275*WorkerTrips!O126</f>
        <v>1000.8708413926387</v>
      </c>
      <c r="I86" s="586">
        <f>0.98275*WorkerTrips!P126</f>
        <v>5.6086880576795291E-2</v>
      </c>
      <c r="J86" s="586">
        <f>0.98275*WorkerTrips!Q126</f>
        <v>0.10208943844520388</v>
      </c>
      <c r="K86" s="590">
        <f>0.98275*WorkerTrips!U126</f>
        <v>3.2272599773209232E-2</v>
      </c>
      <c r="L86" s="590">
        <f>0.98275*WorkerTrips!S126</f>
        <v>0.32492111868333462</v>
      </c>
      <c r="M86" s="590">
        <f>0.98275*WorkerTrips!T126</f>
        <v>2.9343729649738196E-2</v>
      </c>
      <c r="N86" s="590">
        <f>0.98275*WorkerTrips!V126</f>
        <v>4.2332197947698356E-4</v>
      </c>
      <c r="O86" s="591">
        <f>0.98275*WorkerTrips!W126+0.98275*WorkerTrips!Y126</f>
        <v>9.9621981052645837E-3</v>
      </c>
      <c r="P86" s="591">
        <f>0.98275*WorkerTrips!X126+0.98275*WorkerTrips!Z126</f>
        <v>4.2419928886647945E-3</v>
      </c>
      <c r="Q86" s="591">
        <f>0.98275*WorkerTrips!AA126</f>
        <v>33.028737765957075</v>
      </c>
      <c r="R86" s="591">
        <f>0.98275*WorkerTrips!AB126</f>
        <v>1.8508670590342447E-3</v>
      </c>
      <c r="S86" s="591">
        <f>0.98275*WorkerTrips!AC126</f>
        <v>3.368951468691728E-3</v>
      </c>
    </row>
    <row r="87" spans="1:19" s="572" customFormat="1" x14ac:dyDescent="0.25">
      <c r="A87" s="137" t="s">
        <v>121</v>
      </c>
      <c r="B87" s="587">
        <f>'Construction Trucks'!V99</f>
        <v>0.58230253381431862</v>
      </c>
      <c r="C87" s="587">
        <f>'Construction Trucks'!T99</f>
        <v>2.4755616388368242</v>
      </c>
      <c r="D87" s="587">
        <f>'Construction Trucks'!U99</f>
        <v>10.004251286530817</v>
      </c>
      <c r="E87" s="587">
        <f>'Construction Trucks'!W99</f>
        <v>2.2467586789272805E-2</v>
      </c>
      <c r="F87" s="586">
        <f>'Construction Trucks'!X99+'Construction Trucks'!Z99</f>
        <v>0.52325263831157687</v>
      </c>
      <c r="G87" s="586">
        <f>'Construction Trucks'!Y99+'Construction Trucks'!AA99</f>
        <v>0.28531558557152392</v>
      </c>
      <c r="H87" s="586">
        <f>'Construction Trucks'!AB99</f>
        <v>3480.640005680717</v>
      </c>
      <c r="I87" s="586">
        <f>'Construction Trucks'!AC99</f>
        <v>0.1988942118446132</v>
      </c>
      <c r="J87" s="586">
        <f>'Construction Trucks'!AD99</f>
        <v>8.9160074385517235E-2</v>
      </c>
      <c r="K87" s="592">
        <f>'Construction Trucks'!AH99</f>
        <v>1.3988834641501762E-2</v>
      </c>
      <c r="L87" s="592">
        <f>'Construction Trucks'!AF99</f>
        <v>6.2567597435711095E-2</v>
      </c>
      <c r="M87" s="592">
        <f>'Construction Trucks'!AG99</f>
        <v>0.19779560643099739</v>
      </c>
      <c r="N87" s="592">
        <f>'Construction Trucks'!AI99</f>
        <v>4.8533610823707013E-4</v>
      </c>
      <c r="O87" s="586">
        <f>'Construction Trucks'!AJ99+'Construction Trucks'!AL99</f>
        <v>1.461298808833286E-2</v>
      </c>
      <c r="P87" s="586">
        <f>'Construction Trucks'!AK99+'Construction Trucks'!AM99</f>
        <v>8.5171942701293864E-3</v>
      </c>
      <c r="Q87" s="586">
        <f>'Construction Trucks'!AN99</f>
        <v>70.413019240895082</v>
      </c>
      <c r="R87" s="586">
        <f>'Construction Trucks'!AO99</f>
        <v>4.0236111584824675E-3</v>
      </c>
      <c r="S87" s="586">
        <f>'Construction Trucks'!AP99</f>
        <v>1.8036999008747684E-3</v>
      </c>
    </row>
    <row r="88" spans="1:19" s="572" customFormat="1" x14ac:dyDescent="0.25">
      <c r="A88" s="137" t="s">
        <v>122</v>
      </c>
      <c r="B88" s="588"/>
      <c r="C88" s="589"/>
      <c r="D88" s="589"/>
      <c r="E88" s="589"/>
      <c r="F88" s="586">
        <f>0.625*'Fugitive Dust Transmission'!$C$150</f>
        <v>56.107001315396147</v>
      </c>
      <c r="G88" s="586">
        <f>0.625*'Fugitive Dust Transmission'!$D$150</f>
        <v>16.742847446195331</v>
      </c>
      <c r="H88" s="589"/>
      <c r="I88" s="589"/>
      <c r="J88" s="588"/>
      <c r="K88" s="593"/>
      <c r="L88" s="145"/>
      <c r="M88" s="145"/>
      <c r="N88" s="145"/>
      <c r="O88" s="215">
        <f>0.625*'Fugitive Dust Transmission'!C157</f>
        <v>2.4687080578774303</v>
      </c>
      <c r="P88" s="215">
        <f>0.625*'Fugitive Dust Transmission'!D157</f>
        <v>0.73668528763259455</v>
      </c>
      <c r="Q88" s="145"/>
      <c r="R88" s="145"/>
      <c r="S88" s="594"/>
    </row>
    <row r="89" spans="1:19" s="572" customFormat="1" x14ac:dyDescent="0.25">
      <c r="A89" s="12" t="s">
        <v>123</v>
      </c>
      <c r="B89" s="588">
        <f>SUM(B85:B88)</f>
        <v>3.1109911581527285</v>
      </c>
      <c r="C89" s="588">
        <f t="shared" ref="C89" si="119">SUM(C85:C88)</f>
        <v>19.061325628727026</v>
      </c>
      <c r="D89" s="588">
        <f t="shared" ref="D89" si="120">SUM(D85:D88)</f>
        <v>18.948780758009477</v>
      </c>
      <c r="E89" s="588">
        <f t="shared" ref="E89" si="121">SUM(E85:E88)</f>
        <v>4.8620655223636858E-2</v>
      </c>
      <c r="F89" s="588">
        <f t="shared" ref="F89" si="122">SUM(F85:F88)</f>
        <v>57.405176843889556</v>
      </c>
      <c r="G89" s="588">
        <f t="shared" ref="G89" si="123">SUM(G85:G88)</f>
        <v>17.577712179028062</v>
      </c>
      <c r="H89" s="588">
        <f t="shared" ref="H89" si="124">SUM(H85:H88)</f>
        <v>5646.9900817987073</v>
      </c>
      <c r="I89" s="588">
        <f t="shared" ref="I89" si="125">SUM(I85:I88)</f>
        <v>0.40889147031456485</v>
      </c>
      <c r="J89" s="588">
        <f t="shared" ref="J89" si="126">SUM(J85:J88)</f>
        <v>0.95650543938709875</v>
      </c>
      <c r="K89" s="588">
        <f t="shared" ref="K89" si="127">SUM(K85:K88)</f>
        <v>0.13155164246464146</v>
      </c>
      <c r="L89" s="588">
        <f t="shared" ref="L89" si="128">SUM(L85:L88)</f>
        <v>0.75817053775744936</v>
      </c>
      <c r="M89" s="588">
        <f t="shared" ref="M89" si="129">SUM(M85:M88)</f>
        <v>0.67018224092916479</v>
      </c>
      <c r="N89" s="588">
        <f t="shared" ref="N89" si="130">SUM(N85:N88)</f>
        <v>1.6415402191424374E-3</v>
      </c>
      <c r="O89" s="588">
        <f t="shared" ref="O89" si="131">SUM(O85:O88)</f>
        <v>2.5193003395222542</v>
      </c>
      <c r="P89" s="588">
        <f t="shared" ref="P89" si="132">SUM(P85:P88)</f>
        <v>0.77259968974298032</v>
      </c>
      <c r="Q89" s="588">
        <f t="shared" ref="Q89" si="133">SUM(Q85:Q88)</f>
        <v>167.54311491674648</v>
      </c>
      <c r="R89" s="588">
        <f t="shared" ref="R89" si="134">SUM(R85:R88)</f>
        <v>1.4339549001640313E-2</v>
      </c>
      <c r="S89" s="588">
        <f t="shared" ref="S89" si="135">SUM(S85:S88)</f>
        <v>4.7261727330167272E-2</v>
      </c>
    </row>
    <row r="90" spans="1:19" s="572" customFormat="1" x14ac:dyDescent="0.25">
      <c r="A90" s="614" t="s">
        <v>124</v>
      </c>
      <c r="B90" s="216">
        <v>75</v>
      </c>
      <c r="C90" s="216">
        <v>550</v>
      </c>
      <c r="D90" s="216">
        <v>100</v>
      </c>
      <c r="E90" s="216">
        <v>150</v>
      </c>
      <c r="F90" s="216">
        <v>150</v>
      </c>
      <c r="G90" s="216">
        <v>55</v>
      </c>
      <c r="H90" s="216" t="s">
        <v>126</v>
      </c>
      <c r="I90" s="216" t="s">
        <v>126</v>
      </c>
      <c r="J90" s="216" t="s">
        <v>126</v>
      </c>
      <c r="K90" s="593"/>
      <c r="L90" s="145"/>
      <c r="M90" s="145"/>
      <c r="N90" s="145"/>
      <c r="O90" s="145"/>
      <c r="P90" s="145"/>
      <c r="Q90" s="145"/>
      <c r="R90" s="145"/>
      <c r="S90" s="594"/>
    </row>
    <row r="91" spans="1:19" s="572" customFormat="1" x14ac:dyDescent="0.25">
      <c r="A91" s="137" t="s">
        <v>125</v>
      </c>
      <c r="B91" s="27" t="str">
        <f>IF(B89&gt;B90,"Yes","No")</f>
        <v>No</v>
      </c>
      <c r="C91" s="27" t="str">
        <f t="shared" ref="C91:G91" si="136">IF(C89&gt;C90,"Yes","No")</f>
        <v>No</v>
      </c>
      <c r="D91" s="27" t="str">
        <f t="shared" si="136"/>
        <v>No</v>
      </c>
      <c r="E91" s="27" t="str">
        <f t="shared" si="136"/>
        <v>No</v>
      </c>
      <c r="F91" s="27" t="str">
        <f t="shared" si="136"/>
        <v>No</v>
      </c>
      <c r="G91" s="27" t="str">
        <f t="shared" si="136"/>
        <v>No</v>
      </c>
      <c r="H91" s="27" t="s">
        <v>126</v>
      </c>
      <c r="I91" s="27" t="s">
        <v>126</v>
      </c>
      <c r="J91" s="27" t="s">
        <v>126</v>
      </c>
      <c r="K91" s="593"/>
      <c r="L91" s="145"/>
      <c r="M91" s="145"/>
      <c r="N91" s="145"/>
      <c r="O91" s="145"/>
      <c r="P91" s="145"/>
      <c r="Q91" s="145"/>
      <c r="R91" s="145"/>
      <c r="S91" s="594"/>
    </row>
    <row r="92" spans="1:19" s="572" customFormat="1" x14ac:dyDescent="0.25">
      <c r="A92" s="613"/>
      <c r="B92" s="564"/>
      <c r="C92" s="563"/>
      <c r="D92" s="563"/>
      <c r="E92" s="563"/>
      <c r="F92" s="563"/>
      <c r="G92" s="563"/>
      <c r="H92" s="563"/>
      <c r="I92" s="563"/>
      <c r="J92" s="11"/>
      <c r="K92" s="565"/>
      <c r="L92" s="570"/>
      <c r="M92" s="570"/>
      <c r="N92" s="570"/>
      <c r="O92" s="570"/>
      <c r="P92" s="570"/>
      <c r="Q92" s="570"/>
      <c r="R92" s="570"/>
      <c r="S92" s="571"/>
    </row>
    <row r="93" spans="1:19" s="572" customFormat="1" x14ac:dyDescent="0.25">
      <c r="A93" s="613"/>
      <c r="B93" s="564"/>
      <c r="C93" s="563"/>
      <c r="D93" s="563"/>
      <c r="E93" s="563"/>
      <c r="F93" s="563"/>
      <c r="G93" s="563"/>
      <c r="H93" s="563"/>
      <c r="I93" s="563"/>
      <c r="J93" s="11"/>
      <c r="K93" s="565"/>
      <c r="L93" s="570"/>
      <c r="M93" s="570"/>
      <c r="N93" s="570"/>
      <c r="O93" s="570"/>
      <c r="P93" s="570"/>
      <c r="Q93" s="570"/>
      <c r="R93" s="570"/>
      <c r="S93" s="571"/>
    </row>
    <row r="94" spans="1:19" s="572" customFormat="1" x14ac:dyDescent="0.25">
      <c r="A94" s="613">
        <v>2017</v>
      </c>
      <c r="B94" s="564"/>
      <c r="C94" s="563"/>
      <c r="D94" s="563"/>
      <c r="E94" s="563"/>
      <c r="F94" s="563"/>
      <c r="G94" s="563"/>
      <c r="H94" s="563"/>
      <c r="I94" s="563"/>
      <c r="J94" s="11"/>
      <c r="K94" s="598"/>
      <c r="L94" s="112"/>
      <c r="M94" s="112"/>
      <c r="N94" s="112"/>
      <c r="O94" s="112"/>
      <c r="P94" s="112"/>
      <c r="Q94" s="112"/>
      <c r="R94" s="112"/>
      <c r="S94" s="599"/>
    </row>
    <row r="95" spans="1:19" s="572" customFormat="1" ht="39.6" x14ac:dyDescent="0.25">
      <c r="A95" s="31" t="str">
        <f>'Equipment Trans Talega Seg 2'!A2</f>
        <v>Segment 2: Underground 230-kV Transmission Lines Along Vista Montana Road (South)</v>
      </c>
      <c r="B95" s="16" t="s">
        <v>18</v>
      </c>
      <c r="C95" s="16" t="s">
        <v>19</v>
      </c>
      <c r="D95" s="16" t="s">
        <v>20</v>
      </c>
      <c r="E95" s="16" t="s">
        <v>21</v>
      </c>
      <c r="F95" s="16" t="s">
        <v>22</v>
      </c>
      <c r="G95" s="16" t="s">
        <v>23</v>
      </c>
      <c r="H95" s="17" t="s">
        <v>24</v>
      </c>
      <c r="I95" s="16" t="s">
        <v>25</v>
      </c>
      <c r="J95" s="16" t="s">
        <v>26</v>
      </c>
      <c r="K95" s="18" t="s">
        <v>27</v>
      </c>
      <c r="L95" s="18" t="s">
        <v>28</v>
      </c>
      <c r="M95" s="18" t="s">
        <v>29</v>
      </c>
      <c r="N95" s="18" t="s">
        <v>30</v>
      </c>
      <c r="O95" s="18" t="s">
        <v>31</v>
      </c>
      <c r="P95" s="18" t="s">
        <v>32</v>
      </c>
      <c r="Q95" s="17" t="s">
        <v>33</v>
      </c>
      <c r="R95" s="18" t="s">
        <v>34</v>
      </c>
      <c r="S95" s="18" t="s">
        <v>35</v>
      </c>
    </row>
    <row r="96" spans="1:19" s="572" customFormat="1" x14ac:dyDescent="0.25">
      <c r="A96" s="137" t="s">
        <v>75</v>
      </c>
      <c r="B96" s="600"/>
      <c r="C96" s="145"/>
      <c r="D96" s="145"/>
      <c r="E96" s="145"/>
      <c r="F96" s="145"/>
      <c r="G96" s="145"/>
      <c r="H96" s="145"/>
      <c r="I96" s="145"/>
      <c r="J96" s="31"/>
      <c r="K96" s="593"/>
      <c r="L96" s="145"/>
      <c r="M96" s="145"/>
      <c r="N96" s="145"/>
      <c r="O96" s="145"/>
      <c r="P96" s="145"/>
      <c r="Q96" s="145"/>
      <c r="R96" s="145"/>
      <c r="S96" s="594"/>
    </row>
    <row r="97" spans="1:19" s="572" customFormat="1" x14ac:dyDescent="0.25">
      <c r="A97" s="137" t="s">
        <v>119</v>
      </c>
      <c r="B97" s="587">
        <f>'Equipment Trans Talega Seg 2'!Q38</f>
        <v>8.9348563416741751</v>
      </c>
      <c r="C97" s="587">
        <f>'Equipment Trans Talega Seg 2'!R38</f>
        <v>43.327784433445743</v>
      </c>
      <c r="D97" s="587">
        <f>'Equipment Trans Talega Seg 2'!S38</f>
        <v>59.545681732981777</v>
      </c>
      <c r="E97" s="587">
        <f>'Equipment Trans Talega Seg 2'!T38</f>
        <v>0.14143425286069206</v>
      </c>
      <c r="F97" s="587">
        <f>'Equipment Trans Talega Seg 2'!U38</f>
        <v>2.6485163312225115</v>
      </c>
      <c r="G97" s="587">
        <f>'Equipment Trans Talega Seg 2'!V38</f>
        <v>2.357179534788036</v>
      </c>
      <c r="H97" s="587">
        <f>'Equipment Trans Talega Seg 2'!W38</f>
        <v>12749.317653614457</v>
      </c>
      <c r="I97" s="587">
        <f>'Equipment Trans Talega Seg 2'!X38</f>
        <v>0.96302596606695534</v>
      </c>
      <c r="J97" s="587">
        <f>'Equipment Trans Talega Seg 2'!Y38</f>
        <v>5.6568397646332702</v>
      </c>
      <c r="K97" s="587">
        <f>'Equipment Trans Talega Seg 2'!E89</f>
        <v>0.1238460124853961</v>
      </c>
      <c r="L97" s="587">
        <f>'Equipment Trans Talega Seg 2'!F89</f>
        <v>0.61723802744774459</v>
      </c>
      <c r="M97" s="587">
        <f>'Equipment Trans Talega Seg 2'!G89</f>
        <v>0.83147326820028877</v>
      </c>
      <c r="N97" s="587">
        <f>'Equipment Trans Talega Seg 2'!H89</f>
        <v>2.0677928288307286E-3</v>
      </c>
      <c r="O97" s="587">
        <f>'Equipment Trans Talega Seg 2'!I89</f>
        <v>3.7868902972593807E-2</v>
      </c>
      <c r="P97" s="587">
        <f>'Equipment Trans Talega Seg 2'!J89</f>
        <v>3.3703323645608498E-2</v>
      </c>
      <c r="Q97" s="587">
        <f>'Equipment Trans Talega Seg 2'!K89</f>
        <v>184.95246125473878</v>
      </c>
      <c r="R97" s="587">
        <f>'Equipment Trans Talega Seg 2'!L89</f>
        <v>1.330380487110186E-2</v>
      </c>
      <c r="S97" s="587">
        <f>'Equipment Trans Talega Seg 2'!M89</f>
        <v>7.8989960479027441E-2</v>
      </c>
    </row>
    <row r="98" spans="1:19" s="572" customFormat="1" x14ac:dyDescent="0.25">
      <c r="A98" s="137" t="s">
        <v>120</v>
      </c>
      <c r="B98" s="587">
        <f>WorkerTrips!I120</f>
        <v>0.68183768328983896</v>
      </c>
      <c r="C98" s="587">
        <f>WorkerTrips!G120</f>
        <v>6.15673961223471</v>
      </c>
      <c r="D98" s="587">
        <f>WorkerTrips!H120</f>
        <v>0.55351417227396571</v>
      </c>
      <c r="E98" s="587">
        <f>WorkerTrips!J120</f>
        <v>8.9695553990491068E-3</v>
      </c>
      <c r="F98" s="586">
        <f>WorkerTrips!K120+WorkerTrips!M120</f>
        <v>0.20433434088083352</v>
      </c>
      <c r="G98" s="586">
        <f>WorkerTrips!L120+WorkerTrips!N120</f>
        <v>8.6805343986821243E-2</v>
      </c>
      <c r="H98" s="586">
        <f>WorkerTrips!O120</f>
        <v>654.63087086317057</v>
      </c>
      <c r="I98" s="586">
        <f>WorkerTrips!P120</f>
        <v>3.802339521976663E-2</v>
      </c>
      <c r="J98" s="586">
        <f>WorkerTrips!Q120</f>
        <v>6.9243622736276711E-2</v>
      </c>
      <c r="K98" s="590">
        <f>WorkerTrips!U120</f>
        <v>2.2500643548564684E-2</v>
      </c>
      <c r="L98" s="590">
        <f>WorkerTrips!S120</f>
        <v>0.20317240720374541</v>
      </c>
      <c r="M98" s="590">
        <f>WorkerTrips!T120</f>
        <v>1.8265967685040869E-2</v>
      </c>
      <c r="N98" s="590">
        <f>WorkerTrips!V120</f>
        <v>2.9599532816862049E-4</v>
      </c>
      <c r="O98" s="591">
        <f>WorkerTrips!W120+WorkerTrips!Y120</f>
        <v>6.7430332490675052E-3</v>
      </c>
      <c r="P98" s="591">
        <f>WorkerTrips!X120+WorkerTrips!Z120</f>
        <v>2.8645763515651006E-3</v>
      </c>
      <c r="Q98" s="591">
        <f>WorkerTrips!AA120</f>
        <v>21.602818738484629</v>
      </c>
      <c r="R98" s="591">
        <f>WorkerTrips!AB120</f>
        <v>1.2547720422522988E-3</v>
      </c>
      <c r="S98" s="591">
        <f>WorkerTrips!AC120</f>
        <v>2.2850395502971316E-3</v>
      </c>
    </row>
    <row r="99" spans="1:19" s="572" customFormat="1" x14ac:dyDescent="0.25">
      <c r="A99" s="137" t="s">
        <v>121</v>
      </c>
      <c r="B99" s="587">
        <f>'Construction Trucks'!V112</f>
        <v>0.33678878092610265</v>
      </c>
      <c r="C99" s="587">
        <f>'Construction Trucks'!T112</f>
        <v>1.4154006943752075</v>
      </c>
      <c r="D99" s="587">
        <f>'Construction Trucks'!U112</f>
        <v>5.2048704545312674</v>
      </c>
      <c r="E99" s="587">
        <f>'Construction Trucks'!W112</f>
        <v>1.4067670155587922E-2</v>
      </c>
      <c r="F99" s="586">
        <f>'Construction Trucks'!X112+'Construction Trucks'!Z112</f>
        <v>0.30545459308651246</v>
      </c>
      <c r="G99" s="586">
        <f>'Construction Trucks'!Y112+'Construction Trucks'!AA112</f>
        <v>0.16021185922886377</v>
      </c>
      <c r="H99" s="586">
        <f>'Construction Trucks'!AB112</f>
        <v>2150.4893194338329</v>
      </c>
      <c r="I99" s="586">
        <f>'Construction Trucks'!AC112</f>
        <v>0.12288541118040749</v>
      </c>
      <c r="J99" s="586">
        <f>'Construction Trucks'!AD112</f>
        <v>5.5086934406617057E-2</v>
      </c>
      <c r="K99" s="592">
        <f>'Construction Trucks'!AH112</f>
        <v>5.3859004383871849E-3</v>
      </c>
      <c r="L99" s="592">
        <f>'Construction Trucks'!AF112</f>
        <v>2.3210289168710943E-2</v>
      </c>
      <c r="M99" s="592">
        <f>'Construction Trucks'!AG112</f>
        <v>7.6863543904927695E-2</v>
      </c>
      <c r="N99" s="592">
        <f>'Construction Trucks'!AI112</f>
        <v>2.148519601706677E-4</v>
      </c>
      <c r="O99" s="586">
        <f>'Construction Trucks'!AJ112+'Construction Trucks'!AL112</f>
        <v>5.2787025392089723E-3</v>
      </c>
      <c r="P99" s="586">
        <f>'Construction Trucks'!AK112+'Construction Trucks'!AM112</f>
        <v>2.8733754393736239E-3</v>
      </c>
      <c r="Q99" s="586">
        <f>'Construction Trucks'!AN112</f>
        <v>31.885256300332905</v>
      </c>
      <c r="R99" s="586">
        <f>'Construction Trucks'!AO112</f>
        <v>1.8220192007699233E-3</v>
      </c>
      <c r="S99" s="586">
        <f>'Construction Trucks'!AP112</f>
        <v>8.1677272538932771E-4</v>
      </c>
    </row>
    <row r="100" spans="1:19" s="572" customFormat="1" x14ac:dyDescent="0.25">
      <c r="A100" s="137" t="s">
        <v>122</v>
      </c>
      <c r="B100" s="588"/>
      <c r="C100" s="589"/>
      <c r="D100" s="589"/>
      <c r="E100" s="589"/>
      <c r="F100" s="586">
        <f>'Fugitive Dust Transmission'!$C$150</f>
        <v>89.771202104633829</v>
      </c>
      <c r="G100" s="586">
        <f>'Fugitive Dust Transmission'!$D$150</f>
        <v>26.788555913912528</v>
      </c>
      <c r="H100" s="589"/>
      <c r="I100" s="589"/>
      <c r="J100" s="588"/>
      <c r="K100" s="593"/>
      <c r="L100" s="145"/>
      <c r="M100" s="145"/>
      <c r="N100" s="145"/>
      <c r="O100" s="215">
        <f>'Fugitive Dust Transmission'!C155</f>
        <v>3.9499328926038886</v>
      </c>
      <c r="P100" s="215">
        <f>'Fugitive Dust Transmission'!D155</f>
        <v>1.1786964602121512</v>
      </c>
      <c r="Q100" s="145"/>
      <c r="R100" s="145"/>
      <c r="S100" s="594"/>
    </row>
    <row r="101" spans="1:19" s="572" customFormat="1" x14ac:dyDescent="0.25">
      <c r="A101" s="12" t="s">
        <v>123</v>
      </c>
      <c r="B101" s="588">
        <f>SUM(B97:B100)</f>
        <v>9.9534828058901166</v>
      </c>
      <c r="C101" s="588">
        <f t="shared" ref="C101" si="137">SUM(C97:C100)</f>
        <v>50.89992474005566</v>
      </c>
      <c r="D101" s="588">
        <f t="shared" ref="D101" si="138">SUM(D97:D100)</f>
        <v>65.304066359787015</v>
      </c>
      <c r="E101" s="588">
        <f t="shared" ref="E101" si="139">SUM(E97:E100)</f>
        <v>0.16447147841532911</v>
      </c>
      <c r="F101" s="588">
        <f t="shared" ref="F101" si="140">SUM(F97:F100)</f>
        <v>92.929507369823682</v>
      </c>
      <c r="G101" s="588">
        <f t="shared" ref="G101" si="141">SUM(G97:G100)</f>
        <v>29.392752651916251</v>
      </c>
      <c r="H101" s="588">
        <f t="shared" ref="H101" si="142">SUM(H97:H100)</f>
        <v>15554.437843911461</v>
      </c>
      <c r="I101" s="588">
        <f t="shared" ref="I101" si="143">SUM(I97:I100)</f>
        <v>1.1239347724671294</v>
      </c>
      <c r="J101" s="588">
        <f t="shared" ref="J101" si="144">SUM(J97:J100)</f>
        <v>5.7811703217761643</v>
      </c>
      <c r="K101" s="588">
        <f t="shared" ref="K101" si="145">SUM(K97:K100)</f>
        <v>0.15173255647234798</v>
      </c>
      <c r="L101" s="588">
        <f t="shared" ref="L101" si="146">SUM(L97:L100)</f>
        <v>0.84362072382020092</v>
      </c>
      <c r="M101" s="588">
        <f t="shared" ref="M101" si="147">SUM(M97:M100)</f>
        <v>0.92660277979025729</v>
      </c>
      <c r="N101" s="588">
        <f t="shared" ref="N101" si="148">SUM(N97:N100)</f>
        <v>2.5786401171700168E-3</v>
      </c>
      <c r="O101" s="588">
        <f t="shared" ref="O101" si="149">SUM(O97:O100)</f>
        <v>3.999823531364759</v>
      </c>
      <c r="P101" s="588">
        <f t="shared" ref="P101" si="150">SUM(P97:P100)</f>
        <v>1.2181377356486984</v>
      </c>
      <c r="Q101" s="588">
        <f t="shared" ref="Q101" si="151">SUM(Q97:Q100)</f>
        <v>238.44053629355631</v>
      </c>
      <c r="R101" s="588">
        <f t="shared" ref="R101" si="152">SUM(R97:R100)</f>
        <v>1.6380596114124082E-2</v>
      </c>
      <c r="S101" s="588">
        <f t="shared" ref="S101" si="153">SUM(S97:S100)</f>
        <v>8.2091772754713896E-2</v>
      </c>
    </row>
    <row r="102" spans="1:19" s="572" customFormat="1" x14ac:dyDescent="0.25">
      <c r="A102" s="614" t="s">
        <v>124</v>
      </c>
      <c r="B102" s="216">
        <v>75</v>
      </c>
      <c r="C102" s="216">
        <v>550</v>
      </c>
      <c r="D102" s="216">
        <v>100</v>
      </c>
      <c r="E102" s="216">
        <v>150</v>
      </c>
      <c r="F102" s="216">
        <v>150</v>
      </c>
      <c r="G102" s="216">
        <v>55</v>
      </c>
      <c r="H102" s="216" t="s">
        <v>126</v>
      </c>
      <c r="I102" s="216" t="s">
        <v>126</v>
      </c>
      <c r="J102" s="216" t="s">
        <v>126</v>
      </c>
      <c r="K102" s="593"/>
      <c r="L102" s="145"/>
      <c r="M102" s="145"/>
      <c r="N102" s="145"/>
      <c r="O102" s="145"/>
      <c r="P102" s="145"/>
      <c r="Q102" s="145"/>
      <c r="R102" s="145"/>
      <c r="S102" s="594"/>
    </row>
    <row r="103" spans="1:19" s="572" customFormat="1" x14ac:dyDescent="0.25">
      <c r="A103" s="137" t="s">
        <v>125</v>
      </c>
      <c r="B103" s="27" t="str">
        <f>IF(B101&gt;B102,"Yes","No")</f>
        <v>No</v>
      </c>
      <c r="C103" s="27" t="str">
        <f t="shared" ref="C103:G103" si="154">IF(C101&gt;C102,"Yes","No")</f>
        <v>No</v>
      </c>
      <c r="D103" s="27" t="str">
        <f t="shared" si="154"/>
        <v>No</v>
      </c>
      <c r="E103" s="27" t="str">
        <f t="shared" si="154"/>
        <v>No</v>
      </c>
      <c r="F103" s="27" t="str">
        <f t="shared" si="154"/>
        <v>No</v>
      </c>
      <c r="G103" s="27" t="str">
        <f t="shared" si="154"/>
        <v>No</v>
      </c>
      <c r="H103" s="27" t="s">
        <v>126</v>
      </c>
      <c r="I103" s="27" t="s">
        <v>126</v>
      </c>
      <c r="J103" s="27" t="s">
        <v>126</v>
      </c>
      <c r="K103" s="593"/>
      <c r="L103" s="145"/>
      <c r="M103" s="145"/>
      <c r="N103" s="145"/>
      <c r="O103" s="145"/>
      <c r="P103" s="145"/>
      <c r="Q103" s="145"/>
      <c r="R103" s="145"/>
      <c r="S103" s="594"/>
    </row>
    <row r="104" spans="1:19" s="572" customFormat="1" x14ac:dyDescent="0.25">
      <c r="A104" s="613"/>
      <c r="B104" s="564"/>
      <c r="C104" s="563"/>
      <c r="D104" s="563"/>
      <c r="E104" s="563"/>
      <c r="F104" s="563"/>
      <c r="G104" s="563"/>
      <c r="H104" s="563"/>
      <c r="I104" s="563"/>
      <c r="J104" s="11"/>
      <c r="K104" s="565"/>
      <c r="L104" s="570"/>
      <c r="M104" s="570"/>
      <c r="N104" s="570"/>
      <c r="O104" s="570"/>
      <c r="P104" s="570"/>
      <c r="Q104" s="570"/>
      <c r="R104" s="570"/>
      <c r="S104" s="571"/>
    </row>
    <row r="105" spans="1:19" s="572" customFormat="1" x14ac:dyDescent="0.25">
      <c r="A105" s="613"/>
      <c r="B105" s="564"/>
      <c r="C105" s="563"/>
      <c r="D105" s="563"/>
      <c r="E105" s="563"/>
      <c r="F105" s="563"/>
      <c r="G105" s="563"/>
      <c r="H105" s="563"/>
      <c r="I105" s="563"/>
      <c r="J105" s="11"/>
      <c r="K105" s="565"/>
      <c r="L105" s="570"/>
      <c r="M105" s="570"/>
      <c r="N105" s="570"/>
      <c r="O105" s="570"/>
      <c r="P105" s="570"/>
      <c r="Q105" s="570"/>
      <c r="R105" s="570"/>
      <c r="S105" s="571"/>
    </row>
    <row r="106" spans="1:19" s="572" customFormat="1" ht="39.6" x14ac:dyDescent="0.25">
      <c r="A106" s="31" t="str">
        <f>'Equipment Trans Seg 2 230'!A2</f>
        <v>Segment 2: Underground 230-kV Transmission Lines Along Vista Montana Road (North w/138kV )</v>
      </c>
      <c r="B106" s="16" t="s">
        <v>18</v>
      </c>
      <c r="C106" s="16" t="s">
        <v>19</v>
      </c>
      <c r="D106" s="16" t="s">
        <v>20</v>
      </c>
      <c r="E106" s="16" t="s">
        <v>21</v>
      </c>
      <c r="F106" s="16" t="s">
        <v>22</v>
      </c>
      <c r="G106" s="16" t="s">
        <v>23</v>
      </c>
      <c r="H106" s="17" t="s">
        <v>24</v>
      </c>
      <c r="I106" s="16" t="s">
        <v>25</v>
      </c>
      <c r="J106" s="16" t="s">
        <v>26</v>
      </c>
      <c r="K106" s="18" t="s">
        <v>27</v>
      </c>
      <c r="L106" s="18" t="s">
        <v>28</v>
      </c>
      <c r="M106" s="18" t="s">
        <v>29</v>
      </c>
      <c r="N106" s="18" t="s">
        <v>30</v>
      </c>
      <c r="O106" s="18" t="s">
        <v>31</v>
      </c>
      <c r="P106" s="18" t="s">
        <v>32</v>
      </c>
      <c r="Q106" s="17" t="s">
        <v>33</v>
      </c>
      <c r="R106" s="18" t="s">
        <v>34</v>
      </c>
      <c r="S106" s="18" t="s">
        <v>35</v>
      </c>
    </row>
    <row r="107" spans="1:19" s="572" customFormat="1" x14ac:dyDescent="0.25">
      <c r="A107" s="137" t="s">
        <v>75</v>
      </c>
      <c r="B107" s="600"/>
      <c r="C107" s="145"/>
      <c r="D107" s="145"/>
      <c r="E107" s="145"/>
      <c r="F107" s="145"/>
      <c r="G107" s="145"/>
      <c r="H107" s="145"/>
      <c r="I107" s="145"/>
      <c r="J107" s="31"/>
      <c r="K107" s="593"/>
      <c r="L107" s="145"/>
      <c r="M107" s="145"/>
      <c r="N107" s="145"/>
      <c r="O107" s="145"/>
      <c r="P107" s="145"/>
      <c r="Q107" s="145"/>
      <c r="R107" s="145"/>
      <c r="S107" s="594"/>
    </row>
    <row r="108" spans="1:19" s="572" customFormat="1" x14ac:dyDescent="0.25">
      <c r="A108" s="137" t="s">
        <v>119</v>
      </c>
      <c r="B108" s="587">
        <f>'Equipment Trans Seg 2 230'!Q30</f>
        <v>10.832215599585826</v>
      </c>
      <c r="C108" s="587">
        <f>'Equipment Trans Seg 2 230'!R30</f>
        <v>49.329301609210589</v>
      </c>
      <c r="D108" s="587">
        <f>'Equipment Trans Seg 2 230'!S30</f>
        <v>71.277356760309743</v>
      </c>
      <c r="E108" s="587">
        <f>'Equipment Trans Seg 2 230'!T30</f>
        <v>0.18090498930539239</v>
      </c>
      <c r="F108" s="587">
        <f>'Equipment Trans Seg 2 230'!U30</f>
        <v>2.9772084184344036</v>
      </c>
      <c r="G108" s="587">
        <f>'Equipment Trans Seg 2 230'!V30</f>
        <v>2.6497154924066191</v>
      </c>
      <c r="H108" s="587">
        <f>'Equipment Trans Seg 2 230'!W30</f>
        <v>16942.973208700896</v>
      </c>
      <c r="I108" s="587">
        <f>'Equipment Trans Seg 2 230'!X30</f>
        <v>1.1601295663926781</v>
      </c>
      <c r="J108" s="587">
        <f>'Equipment Trans Seg 2 230'!Y30</f>
        <v>6.7713488922294252</v>
      </c>
      <c r="K108" s="587">
        <f>'Equipment Trans Seg 2 230'!E73</f>
        <v>0.19507243406435251</v>
      </c>
      <c r="L108" s="587">
        <f>'Equipment Trans Seg 2 230'!F73</f>
        <v>0.87995624728447108</v>
      </c>
      <c r="M108" s="587">
        <f>'Equipment Trans Seg 2 230'!G73</f>
        <v>1.2682083320005877</v>
      </c>
      <c r="N108" s="587">
        <f>'Equipment Trans Seg 2 230'!H73</f>
        <v>3.4149647160386844E-3</v>
      </c>
      <c r="O108" s="587">
        <f>'Equipment Trans Seg 2 230'!I73</f>
        <v>5.3850079792896938E-2</v>
      </c>
      <c r="P108" s="587">
        <f>'Equipment Trans Seg 2 230'!J73</f>
        <v>4.7926571015678272E-2</v>
      </c>
      <c r="Q108" s="587">
        <f>'Equipment Trans Seg 2 230'!K73</f>
        <v>322.21045271055777</v>
      </c>
      <c r="R108" s="587">
        <f>'Equipment Trans Seg 2 230'!L73</f>
        <v>2.0839650067600204E-2</v>
      </c>
      <c r="S108" s="587">
        <f>'Equipment Trans Seg 2 230'!M73</f>
        <v>0.12047979154005585</v>
      </c>
    </row>
    <row r="109" spans="1:19" s="572" customFormat="1" x14ac:dyDescent="0.25">
      <c r="A109" s="137" t="s">
        <v>120</v>
      </c>
      <c r="B109" s="587">
        <f>WorkerTrips!I128</f>
        <v>0.68183768328983896</v>
      </c>
      <c r="C109" s="587">
        <f>WorkerTrips!G128</f>
        <v>6.15673961223471</v>
      </c>
      <c r="D109" s="587">
        <f>WorkerTrips!H128</f>
        <v>0.55351417227396571</v>
      </c>
      <c r="E109" s="587">
        <f>WorkerTrips!J128</f>
        <v>8.9695553990491068E-3</v>
      </c>
      <c r="F109" s="586">
        <f>WorkerTrips!K128+WorkerTrips!M128</f>
        <v>0.20433434088083352</v>
      </c>
      <c r="G109" s="586">
        <f>WorkerTrips!L128+WorkerTrips!N128</f>
        <v>8.6805343986821243E-2</v>
      </c>
      <c r="H109" s="586">
        <f>WorkerTrips!O128</f>
        <v>654.63087086317057</v>
      </c>
      <c r="I109" s="586">
        <f>WorkerTrips!P128</f>
        <v>3.802339521976663E-2</v>
      </c>
      <c r="J109" s="586">
        <f>WorkerTrips!Q128</f>
        <v>6.9243622736276711E-2</v>
      </c>
      <c r="K109" s="590">
        <f>WorkerTrips!U128</f>
        <v>2.2500643548564684E-2</v>
      </c>
      <c r="L109" s="590">
        <f>WorkerTrips!S128</f>
        <v>0.20317240720374541</v>
      </c>
      <c r="M109" s="590">
        <f>WorkerTrips!T128</f>
        <v>1.8265967685040869E-2</v>
      </c>
      <c r="N109" s="590">
        <f>WorkerTrips!V128</f>
        <v>2.9599532816862049E-4</v>
      </c>
      <c r="O109" s="591">
        <f>WorkerTrips!W128+WorkerTrips!Y128</f>
        <v>6.7430332490675052E-3</v>
      </c>
      <c r="P109" s="591">
        <f>WorkerTrips!X128+WorkerTrips!Z128</f>
        <v>2.8645763515651006E-3</v>
      </c>
      <c r="Q109" s="591">
        <f>WorkerTrips!AA128</f>
        <v>21.602818738484629</v>
      </c>
      <c r="R109" s="591">
        <f>WorkerTrips!AB128</f>
        <v>1.2547720422522988E-3</v>
      </c>
      <c r="S109" s="591">
        <f>WorkerTrips!AC128</f>
        <v>2.2850395502971316E-3</v>
      </c>
    </row>
    <row r="110" spans="1:19" s="572" customFormat="1" x14ac:dyDescent="0.25">
      <c r="A110" s="137" t="s">
        <v>121</v>
      </c>
      <c r="B110" s="587">
        <f>'Construction Trucks'!V112</f>
        <v>0.33678878092610265</v>
      </c>
      <c r="C110" s="587">
        <f>'Construction Trucks'!T112</f>
        <v>1.4154006943752075</v>
      </c>
      <c r="D110" s="587">
        <f>'Construction Trucks'!U112</f>
        <v>5.2048704545312674</v>
      </c>
      <c r="E110" s="587">
        <f>'Construction Trucks'!W112</f>
        <v>1.4067670155587922E-2</v>
      </c>
      <c r="F110" s="586">
        <f>'Construction Trucks'!X112+'Construction Trucks'!Z112</f>
        <v>0.30545459308651246</v>
      </c>
      <c r="G110" s="586">
        <f>'Construction Trucks'!Y112+'Construction Trucks'!AA112</f>
        <v>0.16021185922886377</v>
      </c>
      <c r="H110" s="586">
        <f>'Construction Trucks'!AB112</f>
        <v>2150.4893194338329</v>
      </c>
      <c r="I110" s="586">
        <f>'Construction Trucks'!AC112</f>
        <v>0.12288541118040749</v>
      </c>
      <c r="J110" s="586">
        <f>'Construction Trucks'!AD112</f>
        <v>5.5086934406617057E-2</v>
      </c>
      <c r="K110" s="592">
        <f>'Construction Trucks'!AH112</f>
        <v>5.3859004383871849E-3</v>
      </c>
      <c r="L110" s="592">
        <f>'Construction Trucks'!AF112</f>
        <v>2.3210289168710943E-2</v>
      </c>
      <c r="M110" s="592">
        <f>'Construction Trucks'!AG112</f>
        <v>7.6863543904927695E-2</v>
      </c>
      <c r="N110" s="592">
        <f>'Construction Trucks'!AI112</f>
        <v>2.148519601706677E-4</v>
      </c>
      <c r="O110" s="586">
        <f>'Construction Trucks'!AJ112+'Construction Trucks'!AL112</f>
        <v>5.2787025392089723E-3</v>
      </c>
      <c r="P110" s="586">
        <f>'Construction Trucks'!AK112+'Construction Trucks'!AM112</f>
        <v>2.8733754393736239E-3</v>
      </c>
      <c r="Q110" s="586">
        <f>'Construction Trucks'!AN112</f>
        <v>31.885256300332905</v>
      </c>
      <c r="R110" s="586">
        <f>'Construction Trucks'!AO112</f>
        <v>1.8220192007699233E-3</v>
      </c>
      <c r="S110" s="586">
        <f>'Construction Trucks'!AP112</f>
        <v>8.1677272538932771E-4</v>
      </c>
    </row>
    <row r="111" spans="1:19" s="572" customFormat="1" x14ac:dyDescent="0.25">
      <c r="A111" s="137" t="s">
        <v>122</v>
      </c>
      <c r="B111" s="588"/>
      <c r="C111" s="589"/>
      <c r="D111" s="589"/>
      <c r="E111" s="589"/>
      <c r="F111" s="586">
        <f>'Fugitive Dust Transmission'!$C$150</f>
        <v>89.771202104633829</v>
      </c>
      <c r="G111" s="586">
        <f>'Fugitive Dust Transmission'!$D$150</f>
        <v>26.788555913912528</v>
      </c>
      <c r="H111" s="589"/>
      <c r="I111" s="589"/>
      <c r="J111" s="588"/>
      <c r="K111" s="593"/>
      <c r="L111" s="145"/>
      <c r="M111" s="145"/>
      <c r="N111" s="145"/>
      <c r="O111" s="215">
        <f>'Fugitive Dust Transmission'!C158</f>
        <v>3.9499328926038886</v>
      </c>
      <c r="P111" s="215">
        <f>'Fugitive Dust Transmission'!D158</f>
        <v>1.1786964602121512</v>
      </c>
      <c r="Q111" s="145"/>
      <c r="R111" s="145"/>
      <c r="S111" s="594"/>
    </row>
    <row r="112" spans="1:19" s="572" customFormat="1" x14ac:dyDescent="0.25">
      <c r="A112" s="12" t="s">
        <v>123</v>
      </c>
      <c r="B112" s="588">
        <f>SUM(B108:B111)</f>
        <v>11.850842063801768</v>
      </c>
      <c r="C112" s="588">
        <f t="shared" ref="C112" si="155">SUM(C108:C111)</f>
        <v>56.901441915820506</v>
      </c>
      <c r="D112" s="588">
        <f t="shared" ref="D112" si="156">SUM(D108:D111)</f>
        <v>77.035741387114967</v>
      </c>
      <c r="E112" s="588">
        <f t="shared" ref="E112" si="157">SUM(E108:E111)</f>
        <v>0.20394221486002945</v>
      </c>
      <c r="F112" s="588">
        <f t="shared" ref="F112" si="158">SUM(F108:F111)</f>
        <v>93.258199457035573</v>
      </c>
      <c r="G112" s="588">
        <f t="shared" ref="G112" si="159">SUM(G108:G111)</f>
        <v>29.685288609534833</v>
      </c>
      <c r="H112" s="588">
        <f t="shared" ref="H112" si="160">SUM(H108:H111)</f>
        <v>19748.093398997898</v>
      </c>
      <c r="I112" s="588">
        <f t="shared" ref="I112" si="161">SUM(I108:I111)</f>
        <v>1.3210383727928521</v>
      </c>
      <c r="J112" s="588">
        <f t="shared" ref="J112" si="162">SUM(J108:J111)</f>
        <v>6.8956794493723192</v>
      </c>
      <c r="K112" s="588">
        <f t="shared" ref="K112" si="163">SUM(K108:K111)</f>
        <v>0.22295897805130438</v>
      </c>
      <c r="L112" s="588">
        <f t="shared" ref="L112" si="164">SUM(L108:L111)</f>
        <v>1.1063389436569273</v>
      </c>
      <c r="M112" s="588">
        <f t="shared" ref="M112" si="165">SUM(M108:M111)</f>
        <v>1.3633378435905563</v>
      </c>
      <c r="N112" s="588">
        <f t="shared" ref="N112" si="166">SUM(N108:N111)</f>
        <v>3.9258120043779727E-3</v>
      </c>
      <c r="O112" s="588">
        <f t="shared" ref="O112" si="167">SUM(O108:O111)</f>
        <v>4.0158047081850619</v>
      </c>
      <c r="P112" s="588">
        <f t="shared" ref="P112" si="168">SUM(P108:P111)</f>
        <v>1.2323609830187683</v>
      </c>
      <c r="Q112" s="588">
        <f t="shared" ref="Q112" si="169">SUM(Q108:Q111)</f>
        <v>375.69852774937533</v>
      </c>
      <c r="R112" s="588">
        <f t="shared" ref="R112" si="170">SUM(R108:R111)</f>
        <v>2.3916441310622427E-2</v>
      </c>
      <c r="S112" s="588">
        <f t="shared" ref="S112" si="171">SUM(S108:S111)</f>
        <v>0.12358160381574231</v>
      </c>
    </row>
    <row r="113" spans="1:19" s="572" customFormat="1" x14ac:dyDescent="0.25">
      <c r="A113" s="614" t="s">
        <v>124</v>
      </c>
      <c r="B113" s="216">
        <v>75</v>
      </c>
      <c r="C113" s="216">
        <v>550</v>
      </c>
      <c r="D113" s="216">
        <v>100</v>
      </c>
      <c r="E113" s="216">
        <v>150</v>
      </c>
      <c r="F113" s="216">
        <v>150</v>
      </c>
      <c r="G113" s="216">
        <v>55</v>
      </c>
      <c r="H113" s="216" t="s">
        <v>126</v>
      </c>
      <c r="I113" s="216" t="s">
        <v>126</v>
      </c>
      <c r="J113" s="216" t="s">
        <v>126</v>
      </c>
      <c r="K113" s="593"/>
      <c r="L113" s="145"/>
      <c r="M113" s="145"/>
      <c r="N113" s="145"/>
      <c r="O113" s="145"/>
      <c r="P113" s="145"/>
      <c r="Q113" s="145"/>
      <c r="R113" s="145"/>
      <c r="S113" s="594"/>
    </row>
    <row r="114" spans="1:19" s="572" customFormat="1" x14ac:dyDescent="0.25">
      <c r="A114" s="137" t="s">
        <v>125</v>
      </c>
      <c r="B114" s="27" t="str">
        <f>IF(B112&gt;B113,"Yes","No")</f>
        <v>No</v>
      </c>
      <c r="C114" s="27" t="str">
        <f t="shared" ref="C114:G114" si="172">IF(C112&gt;C113,"Yes","No")</f>
        <v>No</v>
      </c>
      <c r="D114" s="27" t="str">
        <f t="shared" si="172"/>
        <v>No</v>
      </c>
      <c r="E114" s="27" t="str">
        <f t="shared" si="172"/>
        <v>No</v>
      </c>
      <c r="F114" s="27" t="str">
        <f t="shared" si="172"/>
        <v>No</v>
      </c>
      <c r="G114" s="27" t="str">
        <f t="shared" si="172"/>
        <v>No</v>
      </c>
      <c r="H114" s="27" t="s">
        <v>126</v>
      </c>
      <c r="I114" s="27" t="s">
        <v>126</v>
      </c>
      <c r="J114" s="27" t="s">
        <v>126</v>
      </c>
      <c r="K114" s="593"/>
      <c r="L114" s="145"/>
      <c r="M114" s="145"/>
      <c r="N114" s="145"/>
      <c r="O114" s="145"/>
      <c r="P114" s="145"/>
      <c r="Q114" s="145"/>
      <c r="R114" s="145"/>
      <c r="S114" s="594"/>
    </row>
    <row r="115" spans="1:19" s="572" customFormat="1" x14ac:dyDescent="0.25">
      <c r="A115" s="613"/>
      <c r="B115" s="564"/>
      <c r="C115" s="563"/>
      <c r="D115" s="563"/>
      <c r="E115" s="563"/>
      <c r="F115" s="563"/>
      <c r="G115" s="563"/>
      <c r="H115" s="563"/>
      <c r="I115" s="563"/>
      <c r="J115" s="11"/>
      <c r="K115" s="565"/>
      <c r="L115" s="570"/>
      <c r="M115" s="570"/>
      <c r="N115" s="570"/>
      <c r="O115" s="570"/>
      <c r="P115" s="570"/>
      <c r="Q115" s="570"/>
      <c r="R115" s="570"/>
      <c r="S115" s="571"/>
    </row>
    <row r="116" spans="1:19" s="572" customFormat="1" x14ac:dyDescent="0.25">
      <c r="A116" s="613"/>
      <c r="B116" s="564"/>
      <c r="C116" s="563"/>
      <c r="D116" s="563"/>
      <c r="E116" s="563"/>
      <c r="F116" s="563"/>
      <c r="G116" s="563"/>
      <c r="H116" s="563"/>
      <c r="I116" s="563"/>
      <c r="J116" s="11"/>
      <c r="K116" s="565"/>
      <c r="L116" s="570"/>
      <c r="M116" s="570"/>
      <c r="N116" s="570"/>
      <c r="O116" s="570"/>
      <c r="P116" s="570"/>
      <c r="Q116" s="570"/>
      <c r="R116" s="570"/>
      <c r="S116" s="571"/>
    </row>
    <row r="117" spans="1:19" s="572" customFormat="1" x14ac:dyDescent="0.25">
      <c r="A117" s="613">
        <v>2018</v>
      </c>
      <c r="B117" s="564"/>
      <c r="C117" s="563"/>
      <c r="D117" s="563"/>
      <c r="E117" s="563"/>
      <c r="F117" s="563"/>
      <c r="G117" s="563"/>
      <c r="H117" s="563"/>
      <c r="I117" s="563"/>
      <c r="J117" s="11"/>
      <c r="K117" s="598"/>
      <c r="L117" s="112"/>
      <c r="M117" s="112"/>
      <c r="N117" s="112"/>
      <c r="O117" s="112"/>
      <c r="P117" s="112"/>
      <c r="Q117" s="112"/>
      <c r="R117" s="112"/>
      <c r="S117" s="599"/>
    </row>
    <row r="118" spans="1:19" s="572" customFormat="1" ht="39.6" x14ac:dyDescent="0.25">
      <c r="A118" s="31" t="str">
        <f>'Equipment Trans Talega Seg 3'!A2</f>
        <v>Segment 3: Overhead Double-Circuit 230-kV Transmission Line South of Vista Montana Road to structure 42</v>
      </c>
      <c r="B118" s="16" t="s">
        <v>18</v>
      </c>
      <c r="C118" s="16" t="s">
        <v>19</v>
      </c>
      <c r="D118" s="16" t="s">
        <v>20</v>
      </c>
      <c r="E118" s="16" t="s">
        <v>21</v>
      </c>
      <c r="F118" s="16" t="s">
        <v>22</v>
      </c>
      <c r="G118" s="16" t="s">
        <v>23</v>
      </c>
      <c r="H118" s="17" t="s">
        <v>24</v>
      </c>
      <c r="I118" s="16" t="s">
        <v>25</v>
      </c>
      <c r="J118" s="16" t="s">
        <v>26</v>
      </c>
      <c r="K118" s="18" t="s">
        <v>27</v>
      </c>
      <c r="L118" s="18" t="s">
        <v>28</v>
      </c>
      <c r="M118" s="18" t="s">
        <v>29</v>
      </c>
      <c r="N118" s="18" t="s">
        <v>30</v>
      </c>
      <c r="O118" s="18" t="s">
        <v>31</v>
      </c>
      <c r="P118" s="18" t="s">
        <v>32</v>
      </c>
      <c r="Q118" s="17" t="s">
        <v>33</v>
      </c>
      <c r="R118" s="18" t="s">
        <v>34</v>
      </c>
      <c r="S118" s="18" t="s">
        <v>35</v>
      </c>
    </row>
    <row r="119" spans="1:19" s="572" customFormat="1" x14ac:dyDescent="0.25">
      <c r="A119" s="137" t="s">
        <v>75</v>
      </c>
      <c r="B119" s="600"/>
      <c r="C119" s="145"/>
      <c r="D119" s="145"/>
      <c r="E119" s="145"/>
      <c r="F119" s="145"/>
      <c r="G119" s="145"/>
      <c r="H119" s="145"/>
      <c r="I119" s="145"/>
      <c r="J119" s="31"/>
      <c r="K119" s="593"/>
      <c r="L119" s="145"/>
      <c r="M119" s="145"/>
      <c r="N119" s="145"/>
      <c r="O119" s="145"/>
      <c r="P119" s="145"/>
      <c r="Q119" s="145"/>
      <c r="R119" s="145"/>
      <c r="S119" s="594"/>
    </row>
    <row r="120" spans="1:19" s="572" customFormat="1" x14ac:dyDescent="0.25">
      <c r="A120" s="137" t="s">
        <v>119</v>
      </c>
      <c r="B120" s="587">
        <f>'Equipment Trans Talega Seg 3'!Q51</f>
        <v>4.0789595939337637</v>
      </c>
      <c r="C120" s="587">
        <f>'Equipment Trans Talega Seg 3'!R51</f>
        <v>24.861016072663059</v>
      </c>
      <c r="D120" s="587">
        <f>'Equipment Trans Talega Seg 3'!S51</f>
        <v>27.137340243764577</v>
      </c>
      <c r="E120" s="587">
        <f>'Equipment Trans Talega Seg 3'!T51</f>
        <v>9.7750556501515817E-2</v>
      </c>
      <c r="F120" s="587">
        <f>'Equipment Trans Talega Seg 3'!U51</f>
        <v>1.1600573403258569</v>
      </c>
      <c r="G120" s="587">
        <f>'Equipment Trans Talega Seg 3'!V51</f>
        <v>1.0324510328900127</v>
      </c>
      <c r="H120" s="587">
        <f>'Equipment Trans Talega Seg 3'!W51</f>
        <v>9403.2504677130983</v>
      </c>
      <c r="I120" s="587">
        <f>'Equipment Trans Talega Seg 3'!X51</f>
        <v>0.46661839941695249</v>
      </c>
      <c r="J120" s="587">
        <f>'Equipment Trans Talega Seg 3'!Y51</f>
        <v>2.5780473231576346</v>
      </c>
      <c r="K120" s="587">
        <f>'Equipment Trans Talega Seg 3'!E98</f>
        <v>0.18453504819464797</v>
      </c>
      <c r="L120" s="587">
        <f>'Equipment Trans Talega Seg 3'!F98</f>
        <v>1.1169181131861827</v>
      </c>
      <c r="M120" s="587">
        <f>'Equipment Trans Talega Seg 3'!G98</f>
        <v>1.2302879530353961</v>
      </c>
      <c r="N120" s="587">
        <f>'Equipment Trans Talega Seg 3'!H98</f>
        <v>4.2393472649571613E-3</v>
      </c>
      <c r="O120" s="587">
        <f>'Equipment Trans Talega Seg 3'!I98</f>
        <v>5.3923212333549568E-2</v>
      </c>
      <c r="P120" s="587">
        <f>'Equipment Trans Talega Seg 3'!J98</f>
        <v>4.7991658976859114E-2</v>
      </c>
      <c r="Q120" s="587">
        <f>'Equipment Trans Talega Seg 3'!K98</f>
        <v>399.15573541856054</v>
      </c>
      <c r="R120" s="587">
        <f>'Equipment Trans Talega Seg 3'!L98</f>
        <v>2.1219763747880368E-2</v>
      </c>
      <c r="S120" s="587">
        <f>'Equipment Trans Talega Seg 3'!M98</f>
        <v>0.11687735553836259</v>
      </c>
    </row>
    <row r="121" spans="1:19" s="572" customFormat="1" x14ac:dyDescent="0.25">
      <c r="A121" s="137" t="s">
        <v>120</v>
      </c>
      <c r="B121" s="587">
        <f>WorkerTrips!I119</f>
        <v>0.95145178644954631</v>
      </c>
      <c r="C121" s="587">
        <f>WorkerTrips!G119</f>
        <v>8.4540488489516186</v>
      </c>
      <c r="D121" s="587">
        <f>WorkerTrips!H119</f>
        <v>0.76018652056123881</v>
      </c>
      <c r="E121" s="587">
        <f>WorkerTrips!J119</f>
        <v>1.3447151486435285E-2</v>
      </c>
      <c r="F121" s="586">
        <f>WorkerTrips!K119+WorkerTrips!M119</f>
        <v>0.30583057602769281</v>
      </c>
      <c r="G121" s="586">
        <f>WorkerTrips!L119+WorkerTrips!N119</f>
        <v>0.1296204592972024</v>
      </c>
      <c r="H121" s="586">
        <f>WorkerTrips!O119</f>
        <v>947.83081392704582</v>
      </c>
      <c r="I121" s="586">
        <f>WorkerTrips!P119</f>
        <v>5.7005635653440592E-2</v>
      </c>
      <c r="J121" s="586">
        <f>WorkerTrips!Q119</f>
        <v>0.10385247285120588</v>
      </c>
      <c r="K121" s="590">
        <f>WorkerTrips!U119</f>
        <v>3.1397908952835028E-2</v>
      </c>
      <c r="L121" s="590">
        <f>WorkerTrips!S119</f>
        <v>0.27898361201540345</v>
      </c>
      <c r="M121" s="590">
        <f>WorkerTrips!T119</f>
        <v>2.5086155178520881E-2</v>
      </c>
      <c r="N121" s="590">
        <f>WorkerTrips!V119</f>
        <v>4.4375599905236438E-4</v>
      </c>
      <c r="O121" s="591">
        <f>WorkerTrips!W119+WorkerTrips!Y119</f>
        <v>1.0092409008913863E-2</v>
      </c>
      <c r="P121" s="591">
        <f>WorkerTrips!X119+WorkerTrips!Z119</f>
        <v>4.277475156807679E-3</v>
      </c>
      <c r="Q121" s="591">
        <f>WorkerTrips!AA119</f>
        <v>31.278416859592511</v>
      </c>
      <c r="R121" s="591">
        <f>WorkerTrips!AB119</f>
        <v>1.8811859765635395E-3</v>
      </c>
      <c r="S121" s="591">
        <f>WorkerTrips!AC119</f>
        <v>3.4271316040897942E-3</v>
      </c>
    </row>
    <row r="122" spans="1:19" s="572" customFormat="1" x14ac:dyDescent="0.25">
      <c r="A122" s="137" t="s">
        <v>121</v>
      </c>
      <c r="B122" s="587">
        <f>'Construction Trucks'!V54</f>
        <v>0.25266240212120333</v>
      </c>
      <c r="C122" s="587">
        <f>'Construction Trucks'!T54</f>
        <v>1.0823970375386243</v>
      </c>
      <c r="D122" s="587">
        <f>'Construction Trucks'!U54</f>
        <v>3.2761330479851773</v>
      </c>
      <c r="E122" s="587">
        <f>'Construction Trucks'!W54</f>
        <v>1.0710623776559644E-2</v>
      </c>
      <c r="F122" s="586">
        <f>'Construction Trucks'!X54+'Construction Trucks'!Z54</f>
        <v>0.25158736704856299</v>
      </c>
      <c r="G122" s="586">
        <f>'Construction Trucks'!Y54+'Construction Trucks'!AA54</f>
        <v>0.13373329215327112</v>
      </c>
      <c r="H122" s="586">
        <f>'Construction Trucks'!AB54</f>
        <v>1566.2138370224297</v>
      </c>
      <c r="I122" s="586">
        <f>'Construction Trucks'!AC54</f>
        <v>8.9498157288972688E-2</v>
      </c>
      <c r="J122" s="586">
        <f>'Construction Trucks'!AD54</f>
        <v>4.0120133649166563E-2</v>
      </c>
      <c r="K122" s="592">
        <f>'Construction Trucks'!AH54</f>
        <v>1.6675718539999419E-2</v>
      </c>
      <c r="L122" s="592">
        <f>'Construction Trucks'!AF54</f>
        <v>7.14382044775492E-2</v>
      </c>
      <c r="M122" s="592">
        <f>'Construction Trucks'!AG54</f>
        <v>0.21622478116702168</v>
      </c>
      <c r="N122" s="592">
        <f>'Construction Trucks'!AI54</f>
        <v>7.0690116925293644E-4</v>
      </c>
      <c r="O122" s="586">
        <f>'Construction Trucks'!AJ54+'Construction Trucks'!AL54</f>
        <v>1.6604766225205157E-2</v>
      </c>
      <c r="P122" s="586">
        <f>'Construction Trucks'!AK54+'Construction Trucks'!AM54</f>
        <v>8.8263972821158929E-3</v>
      </c>
      <c r="Q122" s="586">
        <f>'Construction Trucks'!AN54</f>
        <v>103.37011324348035</v>
      </c>
      <c r="R122" s="586">
        <f>'Construction Trucks'!AO54</f>
        <v>5.9068783810721972E-3</v>
      </c>
      <c r="S122" s="586">
        <f>'Construction Trucks'!AP54</f>
        <v>2.647928820844993E-3</v>
      </c>
    </row>
    <row r="123" spans="1:19" s="572" customFormat="1" x14ac:dyDescent="0.25">
      <c r="A123" s="137" t="s">
        <v>122</v>
      </c>
      <c r="B123" s="588"/>
      <c r="C123" s="589"/>
      <c r="D123" s="589"/>
      <c r="E123" s="589"/>
      <c r="F123" s="586">
        <f>'Fugitive Dust Transmission'!$C$150</f>
        <v>89.771202104633829</v>
      </c>
      <c r="G123" s="586">
        <f>'Fugitive Dust Transmission'!$D$150</f>
        <v>26.788555913912528</v>
      </c>
      <c r="H123" s="589"/>
      <c r="I123" s="589"/>
      <c r="J123" s="588"/>
      <c r="K123" s="593"/>
      <c r="L123" s="145"/>
      <c r="M123" s="145"/>
      <c r="N123" s="145"/>
      <c r="O123" s="215">
        <f>'Fugitive Dust Transmission'!C154</f>
        <v>1.9749664463019443</v>
      </c>
      <c r="P123" s="215">
        <f>'Fugitive Dust Transmission'!D154</f>
        <v>0.58934823010607562</v>
      </c>
      <c r="Q123" s="145"/>
      <c r="R123" s="145"/>
      <c r="S123" s="594"/>
    </row>
    <row r="124" spans="1:19" s="572" customFormat="1" x14ac:dyDescent="0.25">
      <c r="A124" s="12" t="s">
        <v>123</v>
      </c>
      <c r="B124" s="588">
        <f>SUM(B120:B123)</f>
        <v>5.2830737825045126</v>
      </c>
      <c r="C124" s="588">
        <f t="shared" ref="C124" si="173">SUM(C120:C123)</f>
        <v>34.397461959153304</v>
      </c>
      <c r="D124" s="588">
        <f t="shared" ref="D124" si="174">SUM(D120:D123)</f>
        <v>31.173659812310991</v>
      </c>
      <c r="E124" s="588">
        <f t="shared" ref="E124" si="175">SUM(E120:E123)</f>
        <v>0.12190833176451074</v>
      </c>
      <c r="F124" s="588">
        <f t="shared" ref="F124" si="176">SUM(F120:F123)</f>
        <v>91.488677388035939</v>
      </c>
      <c r="G124" s="588">
        <f t="shared" ref="G124" si="177">SUM(G120:G123)</f>
        <v>28.084360698253015</v>
      </c>
      <c r="H124" s="588">
        <f t="shared" ref="H124" si="178">SUM(H120:H123)</f>
        <v>11917.295118662574</v>
      </c>
      <c r="I124" s="588">
        <f t="shared" ref="I124" si="179">SUM(I120:I123)</f>
        <v>0.61312219235936583</v>
      </c>
      <c r="J124" s="588">
        <f t="shared" ref="J124" si="180">SUM(J120:J123)</f>
        <v>2.7220199296580074</v>
      </c>
      <c r="K124" s="588">
        <f t="shared" ref="K124" si="181">SUM(K120:K123)</f>
        <v>0.23260867568748242</v>
      </c>
      <c r="L124" s="588">
        <f t="shared" ref="L124" si="182">SUM(L120:L123)</f>
        <v>1.4673399296791354</v>
      </c>
      <c r="M124" s="588">
        <f t="shared" ref="M124" si="183">SUM(M120:M123)</f>
        <v>1.4715988893809386</v>
      </c>
      <c r="N124" s="588">
        <f t="shared" ref="N124" si="184">SUM(N120:N123)</f>
        <v>5.3900044332624618E-3</v>
      </c>
      <c r="O124" s="588">
        <f t="shared" ref="O124" si="185">SUM(O120:O123)</f>
        <v>2.0555868338696128</v>
      </c>
      <c r="P124" s="588">
        <f t="shared" ref="P124" si="186">SUM(P120:P123)</f>
        <v>0.65044376152185834</v>
      </c>
      <c r="Q124" s="588">
        <f t="shared" ref="Q124" si="187">SUM(Q120:Q123)</f>
        <v>533.8042655216334</v>
      </c>
      <c r="R124" s="588">
        <f t="shared" ref="R124" si="188">SUM(R120:R123)</f>
        <v>2.9007828105516102E-2</v>
      </c>
      <c r="S124" s="588">
        <f t="shared" ref="S124" si="189">SUM(S120:S123)</f>
        <v>0.12295241596329738</v>
      </c>
    </row>
    <row r="125" spans="1:19" s="572" customFormat="1" x14ac:dyDescent="0.25">
      <c r="A125" s="614" t="s">
        <v>124</v>
      </c>
      <c r="B125" s="216">
        <v>75</v>
      </c>
      <c r="C125" s="216">
        <v>550</v>
      </c>
      <c r="D125" s="216">
        <v>100</v>
      </c>
      <c r="E125" s="216">
        <v>150</v>
      </c>
      <c r="F125" s="216">
        <v>150</v>
      </c>
      <c r="G125" s="216">
        <v>55</v>
      </c>
      <c r="H125" s="216" t="s">
        <v>126</v>
      </c>
      <c r="I125" s="216" t="s">
        <v>126</v>
      </c>
      <c r="J125" s="216" t="s">
        <v>126</v>
      </c>
      <c r="K125" s="593"/>
      <c r="L125" s="145"/>
      <c r="M125" s="145"/>
      <c r="N125" s="145"/>
      <c r="O125" s="145"/>
      <c r="P125" s="145"/>
      <c r="Q125" s="145"/>
      <c r="R125" s="145"/>
      <c r="S125" s="594"/>
    </row>
    <row r="126" spans="1:19" s="572" customFormat="1" x14ac:dyDescent="0.25">
      <c r="A126" s="137" t="s">
        <v>125</v>
      </c>
      <c r="B126" s="27" t="str">
        <f>IF(B124&gt;B125,"Yes","No")</f>
        <v>No</v>
      </c>
      <c r="C126" s="27" t="str">
        <f t="shared" ref="C126:G126" si="190">IF(C124&gt;C125,"Yes","No")</f>
        <v>No</v>
      </c>
      <c r="D126" s="27" t="str">
        <f t="shared" si="190"/>
        <v>No</v>
      </c>
      <c r="E126" s="27" t="str">
        <f t="shared" si="190"/>
        <v>No</v>
      </c>
      <c r="F126" s="27" t="str">
        <f t="shared" si="190"/>
        <v>No</v>
      </c>
      <c r="G126" s="27" t="str">
        <f t="shared" si="190"/>
        <v>No</v>
      </c>
      <c r="H126" s="27" t="s">
        <v>126</v>
      </c>
      <c r="I126" s="27" t="s">
        <v>126</v>
      </c>
      <c r="J126" s="27" t="s">
        <v>126</v>
      </c>
      <c r="K126" s="593"/>
      <c r="L126" s="145"/>
      <c r="M126" s="145"/>
      <c r="N126" s="145"/>
      <c r="O126" s="145"/>
      <c r="P126" s="145"/>
      <c r="Q126" s="145"/>
      <c r="R126" s="145"/>
      <c r="S126" s="594"/>
    </row>
    <row r="127" spans="1:19" s="572" customFormat="1" x14ac:dyDescent="0.25">
      <c r="A127" s="613"/>
      <c r="B127" s="564"/>
      <c r="C127" s="563"/>
      <c r="D127" s="563"/>
      <c r="E127" s="563"/>
      <c r="F127" s="563"/>
      <c r="G127" s="563"/>
      <c r="H127" s="563"/>
      <c r="I127" s="563"/>
      <c r="J127" s="11"/>
      <c r="K127" s="565"/>
      <c r="L127" s="570"/>
      <c r="M127" s="570"/>
      <c r="N127" s="570"/>
      <c r="O127" s="570"/>
      <c r="P127" s="570"/>
      <c r="Q127" s="570"/>
      <c r="R127" s="570"/>
      <c r="S127" s="571"/>
    </row>
    <row r="128" spans="1:19" s="572" customFormat="1" x14ac:dyDescent="0.25">
      <c r="A128" s="613"/>
      <c r="B128" s="564"/>
      <c r="C128" s="563"/>
      <c r="D128" s="563"/>
      <c r="E128" s="563"/>
      <c r="F128" s="563"/>
      <c r="G128" s="563"/>
      <c r="H128" s="563"/>
      <c r="I128" s="563"/>
      <c r="J128" s="11"/>
      <c r="K128" s="565"/>
      <c r="L128" s="570"/>
      <c r="M128" s="570"/>
      <c r="N128" s="570"/>
      <c r="O128" s="570"/>
      <c r="P128" s="570"/>
      <c r="Q128" s="570"/>
      <c r="R128" s="570"/>
      <c r="S128" s="571"/>
    </row>
    <row r="129" spans="1:19" s="572" customFormat="1" ht="39.6" x14ac:dyDescent="0.25">
      <c r="A129" s="31" t="str">
        <f>'Equipment Trans Talega Seg 2'!A2</f>
        <v>Segment 2: Underground 230-kV Transmission Lines Along Vista Montana Road (South)</v>
      </c>
      <c r="B129" s="16" t="s">
        <v>18</v>
      </c>
      <c r="C129" s="16" t="s">
        <v>19</v>
      </c>
      <c r="D129" s="16" t="s">
        <v>20</v>
      </c>
      <c r="E129" s="16" t="s">
        <v>21</v>
      </c>
      <c r="F129" s="16" t="s">
        <v>22</v>
      </c>
      <c r="G129" s="16" t="s">
        <v>23</v>
      </c>
      <c r="H129" s="17" t="s">
        <v>24</v>
      </c>
      <c r="I129" s="16" t="s">
        <v>25</v>
      </c>
      <c r="J129" s="16" t="s">
        <v>26</v>
      </c>
      <c r="K129" s="18" t="s">
        <v>27</v>
      </c>
      <c r="L129" s="18" t="s">
        <v>28</v>
      </c>
      <c r="M129" s="18" t="s">
        <v>29</v>
      </c>
      <c r="N129" s="18" t="s">
        <v>30</v>
      </c>
      <c r="O129" s="18" t="s">
        <v>31</v>
      </c>
      <c r="P129" s="18" t="s">
        <v>32</v>
      </c>
      <c r="Q129" s="17" t="s">
        <v>33</v>
      </c>
      <c r="R129" s="18" t="s">
        <v>34</v>
      </c>
      <c r="S129" s="18" t="s">
        <v>35</v>
      </c>
    </row>
    <row r="130" spans="1:19" s="572" customFormat="1" x14ac:dyDescent="0.25">
      <c r="A130" s="137" t="s">
        <v>75</v>
      </c>
      <c r="B130" s="600"/>
      <c r="C130" s="145"/>
      <c r="D130" s="145"/>
      <c r="E130" s="145"/>
      <c r="F130" s="145"/>
      <c r="G130" s="145"/>
      <c r="H130" s="145"/>
      <c r="I130" s="145"/>
      <c r="J130" s="31"/>
      <c r="K130" s="593"/>
      <c r="L130" s="145"/>
      <c r="M130" s="145"/>
      <c r="N130" s="145"/>
      <c r="O130" s="145"/>
      <c r="P130" s="145"/>
      <c r="Q130" s="145"/>
      <c r="R130" s="145"/>
      <c r="S130" s="594"/>
    </row>
    <row r="131" spans="1:19" s="572" customFormat="1" x14ac:dyDescent="0.25">
      <c r="A131" s="137" t="s">
        <v>119</v>
      </c>
      <c r="B131" s="587">
        <f>'Equipment Trans Seg 2 230'!Q47</f>
        <v>4.4519368924017106</v>
      </c>
      <c r="C131" s="587">
        <f>'Equipment Trans Seg 2 230'!R47</f>
        <v>27.572994118618606</v>
      </c>
      <c r="D131" s="587">
        <f>'Equipment Trans Seg 2 230'!S47</f>
        <v>29.426016487918289</v>
      </c>
      <c r="E131" s="587">
        <f>'Equipment Trans Seg 2 230'!T47</f>
        <v>0.10372271246562326</v>
      </c>
      <c r="F131" s="587">
        <f>'Equipment Trans Seg 2 230'!U47</f>
        <v>1.2427823520018355</v>
      </c>
      <c r="G131" s="587">
        <f>'Equipment Trans Seg 2 230'!V47</f>
        <v>1.1060762932816335</v>
      </c>
      <c r="H131" s="587">
        <f>'Equipment Trans Seg 2 230'!W47</f>
        <v>10077.620571733067</v>
      </c>
      <c r="I131" s="587">
        <f>'Equipment Trans Seg 2 230'!X47</f>
        <v>0.50465545081629504</v>
      </c>
      <c r="J131" s="587">
        <f>'Equipment Trans Seg 2 230'!Y47</f>
        <v>2.795471566352238</v>
      </c>
      <c r="K131" s="587">
        <f>'Equipment Trans Seg 2 230'!E90</f>
        <v>0.10055649321176199</v>
      </c>
      <c r="L131" s="587">
        <f>'Equipment Trans Seg 2 230'!F90</f>
        <v>0.63647342473136181</v>
      </c>
      <c r="M131" s="587">
        <f>'Equipment Trans Seg 2 230'!G90</f>
        <v>0.6696771815882846</v>
      </c>
      <c r="N131" s="587">
        <f>'Equipment Trans Seg 2 230'!H90</f>
        <v>2.5122185732477614E-3</v>
      </c>
      <c r="O131" s="587">
        <f>'Equipment Trans Seg 2 230'!I90</f>
        <v>2.8363583188493892E-2</v>
      </c>
      <c r="P131" s="587">
        <f>'Equipment Trans Seg 2 230'!J90</f>
        <v>2.524358903775956E-2</v>
      </c>
      <c r="Q131" s="587">
        <f>'Equipment Trans Seg 2 230'!K90</f>
        <v>248.35171199822793</v>
      </c>
      <c r="R131" s="587">
        <f>'Equipment Trans Seg 2 230'!L90</f>
        <v>1.14053076058771E-2</v>
      </c>
      <c r="S131" s="587">
        <f>'Equipment Trans Seg 2 230'!M90</f>
        <v>6.3619332250887034E-2</v>
      </c>
    </row>
    <row r="132" spans="1:19" s="572" customFormat="1" x14ac:dyDescent="0.25">
      <c r="A132" s="137" t="s">
        <v>120</v>
      </c>
      <c r="B132" s="587">
        <f>WorkerTrips!I121</f>
        <v>0.63430119096636417</v>
      </c>
      <c r="C132" s="587">
        <f>WorkerTrips!G121</f>
        <v>5.6360325659677457</v>
      </c>
      <c r="D132" s="587">
        <f>WorkerTrips!H121</f>
        <v>0.50679101370749258</v>
      </c>
      <c r="E132" s="587">
        <f>WorkerTrips!J121</f>
        <v>8.9647676576235218E-3</v>
      </c>
      <c r="F132" s="586">
        <f>WorkerTrips!K121+WorkerTrips!M121</f>
        <v>0.20388705068512855</v>
      </c>
      <c r="G132" s="586">
        <f>WorkerTrips!L121+WorkerTrips!N121</f>
        <v>8.6413639531468273E-2</v>
      </c>
      <c r="H132" s="586">
        <f>WorkerTrips!O121</f>
        <v>631.88720928469718</v>
      </c>
      <c r="I132" s="586">
        <f>WorkerTrips!P121</f>
        <v>3.8003757102293735E-2</v>
      </c>
      <c r="J132" s="586">
        <f>WorkerTrips!Q121</f>
        <v>6.9234981900803919E-2</v>
      </c>
      <c r="K132" s="590">
        <f>WorkerTrips!U121</f>
        <v>2.093193930189002E-2</v>
      </c>
      <c r="L132" s="590">
        <f>WorkerTrips!S121</f>
        <v>0.18598907467693562</v>
      </c>
      <c r="M132" s="590">
        <f>WorkerTrips!T121</f>
        <v>1.6724103452347254E-2</v>
      </c>
      <c r="N132" s="590">
        <f>WorkerTrips!V121</f>
        <v>2.9583733270157622E-4</v>
      </c>
      <c r="O132" s="591">
        <f>WorkerTrips!W121+WorkerTrips!Y121</f>
        <v>6.7282726726092422E-3</v>
      </c>
      <c r="P132" s="591">
        <f>WorkerTrips!X121+WorkerTrips!Z121</f>
        <v>2.8516501045384524E-3</v>
      </c>
      <c r="Q132" s="591">
        <f>WorkerTrips!AA121</f>
        <v>20.852277906395006</v>
      </c>
      <c r="R132" s="591">
        <f>WorkerTrips!AB121</f>
        <v>1.2541239843756934E-3</v>
      </c>
      <c r="S132" s="591">
        <f>WorkerTrips!AC121</f>
        <v>2.2847544027265296E-3</v>
      </c>
    </row>
    <row r="133" spans="1:19" s="572" customFormat="1" x14ac:dyDescent="0.25">
      <c r="A133" s="137" t="s">
        <v>121</v>
      </c>
      <c r="B133" s="587">
        <f>'Construction Trucks'!V67</f>
        <v>0.36351712810192405</v>
      </c>
      <c r="C133" s="587">
        <f>'Construction Trucks'!T67</f>
        <v>1.5211788581451868</v>
      </c>
      <c r="D133" s="587">
        <f>'Construction Trucks'!U67</f>
        <v>5.0173130389212179</v>
      </c>
      <c r="E133" s="587">
        <f>'Construction Trucks'!W67</f>
        <v>1.5956921329555604E-2</v>
      </c>
      <c r="F133" s="586">
        <f>'Construction Trucks'!X67+'Construction Trucks'!Z67</f>
        <v>0.33581274682007184</v>
      </c>
      <c r="G133" s="586">
        <f>'Construction Trucks'!Y67+'Construction Trucks'!AA67</f>
        <v>0.17296272882126723</v>
      </c>
      <c r="H133" s="586">
        <f>'Construction Trucks'!AB67</f>
        <v>2400.5777575571856</v>
      </c>
      <c r="I133" s="586">
        <f>'Construction Trucks'!AC67</f>
        <v>0.13717621480009023</v>
      </c>
      <c r="J133" s="586">
        <f>'Construction Trucks'!AD67</f>
        <v>6.1493199837584861E-2</v>
      </c>
      <c r="K133" s="592">
        <f>'Construction Trucks'!AH67</f>
        <v>2.4795262062163115E-3</v>
      </c>
      <c r="L133" s="592">
        <f>'Construction Trucks'!AF67</f>
        <v>1.0849219885244312E-2</v>
      </c>
      <c r="M133" s="592">
        <f>'Construction Trucks'!AG67</f>
        <v>3.0241112660215688E-2</v>
      </c>
      <c r="N133" s="592">
        <f>'Construction Trucks'!AI67</f>
        <v>1.0167111428648952E-4</v>
      </c>
      <c r="O133" s="586">
        <f>'Construction Trucks'!AJ67+'Construction Trucks'!AL67</f>
        <v>2.6333959414753085E-3</v>
      </c>
      <c r="P133" s="586">
        <f>'Construction Trucks'!AK67+'Construction Trucks'!AM67</f>
        <v>1.4346334994422899E-3</v>
      </c>
      <c r="Q133" s="586">
        <f>'Construction Trucks'!AN67</f>
        <v>14.444972164920653</v>
      </c>
      <c r="R133" s="586">
        <f>'Construction Trucks'!AO67</f>
        <v>8.2542904442006076E-4</v>
      </c>
      <c r="S133" s="586">
        <f>'Construction Trucks'!AP67</f>
        <v>3.7002240697660738E-4</v>
      </c>
    </row>
    <row r="134" spans="1:19" s="572" customFormat="1" x14ac:dyDescent="0.25">
      <c r="A134" s="137" t="s">
        <v>122</v>
      </c>
      <c r="B134" s="588"/>
      <c r="C134" s="589"/>
      <c r="D134" s="589"/>
      <c r="E134" s="589"/>
      <c r="F134" s="586">
        <f>'Fugitive Dust Transmission'!$C$150</f>
        <v>89.771202104633829</v>
      </c>
      <c r="G134" s="586">
        <f>'Fugitive Dust Transmission'!$D$150</f>
        <v>26.788555913912528</v>
      </c>
      <c r="H134" s="589"/>
      <c r="I134" s="589"/>
      <c r="J134" s="588"/>
      <c r="K134" s="593"/>
      <c r="L134" s="145"/>
      <c r="M134" s="145"/>
      <c r="N134" s="145"/>
      <c r="O134" s="215">
        <f>'Fugitive Dust Transmission'!C155</f>
        <v>3.9499328926038886</v>
      </c>
      <c r="P134" s="215">
        <f>'Fugitive Dust Transmission'!D155</f>
        <v>1.1786964602121512</v>
      </c>
      <c r="Q134" s="145"/>
      <c r="R134" s="145"/>
      <c r="S134" s="594"/>
    </row>
    <row r="135" spans="1:19" s="572" customFormat="1" x14ac:dyDescent="0.25">
      <c r="A135" s="12" t="s">
        <v>123</v>
      </c>
      <c r="B135" s="588">
        <f>SUM(B131:B134)</f>
        <v>5.4497552114699985</v>
      </c>
      <c r="C135" s="588">
        <f t="shared" ref="C135" si="191">SUM(C131:C134)</f>
        <v>34.730205542731532</v>
      </c>
      <c r="D135" s="588">
        <f t="shared" ref="D135" si="192">SUM(D131:D134)</f>
        <v>34.950120540546997</v>
      </c>
      <c r="E135" s="588">
        <f t="shared" ref="E135" si="193">SUM(E131:E134)</f>
        <v>0.12864440145280237</v>
      </c>
      <c r="F135" s="588">
        <f t="shared" ref="F135" si="194">SUM(F131:F134)</f>
        <v>91.553684254140862</v>
      </c>
      <c r="G135" s="588">
        <f t="shared" ref="G135" si="195">SUM(G131:G134)</f>
        <v>28.154008575546897</v>
      </c>
      <c r="H135" s="588">
        <f t="shared" ref="H135" si="196">SUM(H131:H134)</f>
        <v>13110.085538574949</v>
      </c>
      <c r="I135" s="588">
        <f t="shared" ref="I135" si="197">SUM(I131:I134)</f>
        <v>0.67983542271867903</v>
      </c>
      <c r="J135" s="588">
        <f t="shared" ref="J135" si="198">SUM(J131:J134)</f>
        <v>2.9261997480906268</v>
      </c>
      <c r="K135" s="588">
        <f t="shared" ref="K135" si="199">SUM(K131:K134)</f>
        <v>0.12396795871986833</v>
      </c>
      <c r="L135" s="588">
        <f t="shared" ref="L135" si="200">SUM(L131:L134)</f>
        <v>0.83331171929354175</v>
      </c>
      <c r="M135" s="588">
        <f t="shared" ref="M135" si="201">SUM(M131:M134)</f>
        <v>0.71664239770084748</v>
      </c>
      <c r="N135" s="588">
        <f t="shared" ref="N135" si="202">SUM(N131:N134)</f>
        <v>2.9097270202358269E-3</v>
      </c>
      <c r="O135" s="588">
        <f t="shared" ref="O135" si="203">SUM(O131:O134)</f>
        <v>3.9876581444064669</v>
      </c>
      <c r="P135" s="588">
        <f t="shared" ref="P135" si="204">SUM(P131:P134)</f>
        <v>1.2082263328538916</v>
      </c>
      <c r="Q135" s="588">
        <f t="shared" ref="Q135" si="205">SUM(Q131:Q134)</f>
        <v>283.64896206954359</v>
      </c>
      <c r="R135" s="588">
        <f t="shared" ref="R135" si="206">SUM(R131:R134)</f>
        <v>1.3484860634672854E-2</v>
      </c>
      <c r="S135" s="588">
        <f t="shared" ref="S135" si="207">SUM(S131:S134)</f>
        <v>6.6274109060590169E-2</v>
      </c>
    </row>
    <row r="136" spans="1:19" s="572" customFormat="1" x14ac:dyDescent="0.25">
      <c r="A136" s="614" t="s">
        <v>124</v>
      </c>
      <c r="B136" s="216">
        <v>75</v>
      </c>
      <c r="C136" s="216">
        <v>550</v>
      </c>
      <c r="D136" s="216">
        <v>100</v>
      </c>
      <c r="E136" s="216">
        <v>150</v>
      </c>
      <c r="F136" s="216">
        <v>150</v>
      </c>
      <c r="G136" s="216">
        <v>55</v>
      </c>
      <c r="H136" s="216" t="s">
        <v>126</v>
      </c>
      <c r="I136" s="216" t="s">
        <v>126</v>
      </c>
      <c r="J136" s="216" t="s">
        <v>126</v>
      </c>
      <c r="K136" s="593"/>
      <c r="L136" s="145"/>
      <c r="M136" s="145"/>
      <c r="N136" s="145"/>
      <c r="O136" s="145"/>
      <c r="P136" s="145"/>
      <c r="Q136" s="145"/>
      <c r="R136" s="145"/>
      <c r="S136" s="594"/>
    </row>
    <row r="137" spans="1:19" s="572" customFormat="1" x14ac:dyDescent="0.25">
      <c r="A137" s="137" t="s">
        <v>125</v>
      </c>
      <c r="B137" s="27" t="str">
        <f>IF(B135&gt;B136,"Yes","No")</f>
        <v>No</v>
      </c>
      <c r="C137" s="27" t="str">
        <f t="shared" ref="C137:G137" si="208">IF(C135&gt;C136,"Yes","No")</f>
        <v>No</v>
      </c>
      <c r="D137" s="27" t="str">
        <f t="shared" si="208"/>
        <v>No</v>
      </c>
      <c r="E137" s="27" t="str">
        <f t="shared" si="208"/>
        <v>No</v>
      </c>
      <c r="F137" s="27" t="str">
        <f t="shared" si="208"/>
        <v>No</v>
      </c>
      <c r="G137" s="27" t="str">
        <f t="shared" si="208"/>
        <v>No</v>
      </c>
      <c r="H137" s="27" t="s">
        <v>126</v>
      </c>
      <c r="I137" s="27" t="s">
        <v>126</v>
      </c>
      <c r="J137" s="27" t="s">
        <v>126</v>
      </c>
      <c r="K137" s="593"/>
      <c r="L137" s="145"/>
      <c r="M137" s="145"/>
      <c r="N137" s="145"/>
      <c r="O137" s="145"/>
      <c r="P137" s="145"/>
      <c r="Q137" s="145"/>
      <c r="R137" s="145"/>
      <c r="S137" s="594"/>
    </row>
    <row r="138" spans="1:19" s="572" customFormat="1" x14ac:dyDescent="0.25">
      <c r="A138" s="613"/>
      <c r="B138" s="564"/>
      <c r="C138" s="563"/>
      <c r="D138" s="563"/>
      <c r="E138" s="563"/>
      <c r="F138" s="563"/>
      <c r="G138" s="563"/>
      <c r="H138" s="563"/>
      <c r="I138" s="563"/>
      <c r="J138" s="11"/>
      <c r="K138" s="565"/>
      <c r="L138" s="570"/>
      <c r="M138" s="570"/>
      <c r="N138" s="570"/>
      <c r="O138" s="570"/>
      <c r="P138" s="570"/>
      <c r="Q138" s="570"/>
      <c r="R138" s="570"/>
      <c r="S138" s="571"/>
    </row>
    <row r="139" spans="1:19" s="572" customFormat="1" x14ac:dyDescent="0.25">
      <c r="A139" s="613"/>
      <c r="B139" s="564"/>
      <c r="C139" s="563"/>
      <c r="D139" s="563"/>
      <c r="E139" s="563"/>
      <c r="F139" s="563"/>
      <c r="G139" s="563"/>
      <c r="H139" s="563"/>
      <c r="I139" s="563"/>
      <c r="J139" s="11"/>
      <c r="K139" s="565"/>
      <c r="L139" s="570"/>
      <c r="M139" s="570"/>
      <c r="N139" s="570"/>
      <c r="O139" s="570"/>
      <c r="P139" s="570"/>
      <c r="Q139" s="570"/>
      <c r="R139" s="570"/>
      <c r="S139" s="571"/>
    </row>
    <row r="140" spans="1:19" s="572" customFormat="1" ht="39.6" x14ac:dyDescent="0.25">
      <c r="A140" s="31" t="str">
        <f>'Equipment Trans Segment 1'!A2</f>
        <v>Segment 1b: Overhead Double-Circuit 230-kV Transmission Line from Capistrano Substation to Vista Montana Rd. and 138-kV Getaways East of San Juan Capistrano Substation to Vista Montana Road</v>
      </c>
      <c r="B140" s="16" t="s">
        <v>18</v>
      </c>
      <c r="C140" s="16" t="s">
        <v>19</v>
      </c>
      <c r="D140" s="16" t="s">
        <v>20</v>
      </c>
      <c r="E140" s="16" t="s">
        <v>21</v>
      </c>
      <c r="F140" s="16" t="s">
        <v>22</v>
      </c>
      <c r="G140" s="16" t="s">
        <v>23</v>
      </c>
      <c r="H140" s="17" t="s">
        <v>24</v>
      </c>
      <c r="I140" s="16" t="s">
        <v>25</v>
      </c>
      <c r="J140" s="16" t="s">
        <v>26</v>
      </c>
      <c r="K140" s="18" t="s">
        <v>27</v>
      </c>
      <c r="L140" s="18" t="s">
        <v>28</v>
      </c>
      <c r="M140" s="18" t="s">
        <v>29</v>
      </c>
      <c r="N140" s="18" t="s">
        <v>30</v>
      </c>
      <c r="O140" s="18" t="s">
        <v>31</v>
      </c>
      <c r="P140" s="18" t="s">
        <v>32</v>
      </c>
      <c r="Q140" s="17" t="s">
        <v>33</v>
      </c>
      <c r="R140" s="18" t="s">
        <v>34</v>
      </c>
      <c r="S140" s="18" t="s">
        <v>35</v>
      </c>
    </row>
    <row r="141" spans="1:19" s="572" customFormat="1" x14ac:dyDescent="0.25">
      <c r="A141" s="137" t="s">
        <v>75</v>
      </c>
      <c r="B141" s="600"/>
      <c r="C141" s="145"/>
      <c r="D141" s="145"/>
      <c r="E141" s="145"/>
      <c r="F141" s="145"/>
      <c r="G141" s="145"/>
      <c r="H141" s="145"/>
      <c r="I141" s="145"/>
      <c r="J141" s="31"/>
      <c r="K141" s="593"/>
      <c r="L141" s="145"/>
      <c r="M141" s="145"/>
      <c r="N141" s="145"/>
      <c r="O141" s="145"/>
      <c r="P141" s="145"/>
      <c r="Q141" s="145"/>
      <c r="R141" s="145"/>
      <c r="S141" s="594"/>
    </row>
    <row r="142" spans="1:19" s="572" customFormat="1" x14ac:dyDescent="0.25">
      <c r="A142" s="137" t="s">
        <v>119</v>
      </c>
      <c r="B142" s="587">
        <f>'Equipment Trans Segment 1'!Q51</f>
        <v>3.6419581905405147</v>
      </c>
      <c r="C142" s="587">
        <f>'Equipment Trans Segment 1'!R51</f>
        <v>21.824423726764056</v>
      </c>
      <c r="D142" s="587">
        <f>'Equipment Trans Segment 1'!S51</f>
        <v>24.236381001639057</v>
      </c>
      <c r="E142" s="587">
        <f>'Equipment Trans Segment 1'!T51</f>
        <v>8.8939642649644185E-2</v>
      </c>
      <c r="F142" s="587">
        <f>'Equipment Trans Segment 1'!U51</f>
        <v>0.98176243857820256</v>
      </c>
      <c r="G142" s="587">
        <f>'Equipment Trans Segment 1'!V51</f>
        <v>0.8737685703346002</v>
      </c>
      <c r="H142" s="587">
        <f>'Equipment Trans Segment 1'!W51</f>
        <v>8708.514760516864</v>
      </c>
      <c r="I142" s="587">
        <f>'Equipment Trans Segment 1'!X51</f>
        <v>0.41385512044857869</v>
      </c>
      <c r="J142" s="587">
        <f>'Equipment Trans Segment 1'!Y51</f>
        <v>2.3024561951557101</v>
      </c>
      <c r="K142" s="587">
        <f>'Equipment Trans Segment 1'!E98</f>
        <v>0.15569295557069351</v>
      </c>
      <c r="L142" s="587">
        <f>'Equipment Trans Segment 1'!F98</f>
        <v>0.91650301835684855</v>
      </c>
      <c r="M142" s="587">
        <f>'Equipment Trans Segment 1'!G98</f>
        <v>1.0388246430551116</v>
      </c>
      <c r="N142" s="587">
        <f>'Equipment Trans Segment 1'!H98</f>
        <v>3.6578269507336332E-3</v>
      </c>
      <c r="O142" s="587">
        <f>'Equipment Trans Segment 1'!I98</f>
        <v>4.2155748818204372E-2</v>
      </c>
      <c r="P142" s="587">
        <f>'Equipment Trans Segment 1'!J98</f>
        <v>3.751861644820189E-2</v>
      </c>
      <c r="Q142" s="587">
        <f>'Equipment Trans Segment 1'!K98</f>
        <v>353.30317874360912</v>
      </c>
      <c r="R142" s="587">
        <f>'Equipment Trans Segment 1'!L98</f>
        <v>1.7737387335967698E-2</v>
      </c>
      <c r="S142" s="587">
        <f>'Equipment Trans Segment 1'!M98</f>
        <v>9.8688341090235582E-2</v>
      </c>
    </row>
    <row r="143" spans="1:19" s="572" customFormat="1" x14ac:dyDescent="0.25">
      <c r="A143" s="137" t="s">
        <v>120</v>
      </c>
      <c r="B143" s="587">
        <f>WorkerTrips!I124</f>
        <v>0.95145178644954631</v>
      </c>
      <c r="C143" s="587">
        <f>WorkerTrips!G124</f>
        <v>8.4540488489516186</v>
      </c>
      <c r="D143" s="587">
        <f>WorkerTrips!H124</f>
        <v>0.76018652056123881</v>
      </c>
      <c r="E143" s="587">
        <f>WorkerTrips!J124</f>
        <v>1.3447151486435285E-2</v>
      </c>
      <c r="F143" s="586">
        <f>WorkerTrips!K124+WorkerTrips!M124</f>
        <v>0.30583057602769281</v>
      </c>
      <c r="G143" s="586">
        <f>WorkerTrips!L124+WorkerTrips!N124</f>
        <v>0.1296204592972024</v>
      </c>
      <c r="H143" s="586">
        <f>WorkerTrips!O124</f>
        <v>947.83081392704582</v>
      </c>
      <c r="I143" s="586">
        <f>WorkerTrips!P124</f>
        <v>5.7005635653440592E-2</v>
      </c>
      <c r="J143" s="586">
        <f>WorkerTrips!Q124</f>
        <v>0.10385247285120588</v>
      </c>
      <c r="K143" s="590">
        <f>WorkerTrips!U124</f>
        <v>3.1397908952835028E-2</v>
      </c>
      <c r="L143" s="590">
        <f>WorkerTrips!S124</f>
        <v>0.27898361201540345</v>
      </c>
      <c r="M143" s="590">
        <f>WorkerTrips!T124</f>
        <v>2.5086155178520881E-2</v>
      </c>
      <c r="N143" s="590">
        <f>WorkerTrips!V124</f>
        <v>4.4375599905236438E-4</v>
      </c>
      <c r="O143" s="591">
        <f>WorkerTrips!W124+WorkerTrips!Y124</f>
        <v>1.0092409008913863E-2</v>
      </c>
      <c r="P143" s="591">
        <f>WorkerTrips!X124+WorkerTrips!Z124</f>
        <v>4.277475156807679E-3</v>
      </c>
      <c r="Q143" s="591">
        <f>WorkerTrips!AA124</f>
        <v>31.278416859592511</v>
      </c>
      <c r="R143" s="591">
        <f>WorkerTrips!AB124</f>
        <v>1.8811859765635395E-3</v>
      </c>
      <c r="S143" s="591">
        <f>WorkerTrips!AC124</f>
        <v>3.4271316040897942E-3</v>
      </c>
    </row>
    <row r="144" spans="1:19" s="572" customFormat="1" x14ac:dyDescent="0.25">
      <c r="A144" s="137" t="s">
        <v>121</v>
      </c>
      <c r="B144" s="587">
        <f>'Construction Trucks'!V86</f>
        <v>0.61032869432553494</v>
      </c>
      <c r="C144" s="587">
        <f>'Construction Trucks'!T86</f>
        <v>2.5727186064537499</v>
      </c>
      <c r="D144" s="587">
        <f>'Construction Trucks'!U86</f>
        <v>10.78788291433019</v>
      </c>
      <c r="E144" s="587">
        <f>'Construction Trucks'!W86</f>
        <v>2.3935381994333406E-2</v>
      </c>
      <c r="F144" s="586">
        <f>'Construction Trucks'!X86+'Construction Trucks'!Z86</f>
        <v>0.53392872617850662</v>
      </c>
      <c r="G144" s="586">
        <f>'Construction Trucks'!Y86+'Construction Trucks'!AA86</f>
        <v>0.28723693333767125</v>
      </c>
      <c r="H144" s="586">
        <f>'Construction Trucks'!AB86</f>
        <v>3741.9375407238349</v>
      </c>
      <c r="I144" s="586">
        <f>'Construction Trucks'!AC86</f>
        <v>0.21382553688958211</v>
      </c>
      <c r="J144" s="586">
        <f>'Construction Trucks'!AD86</f>
        <v>9.5853472043181759E-2</v>
      </c>
      <c r="K144" s="592">
        <f>'Construction Trucks'!AH86</f>
        <v>1.5838561235242035E-2</v>
      </c>
      <c r="L144" s="592">
        <f>'Construction Trucks'!AF86</f>
        <v>6.8979957298428166E-2</v>
      </c>
      <c r="M144" s="592">
        <f>'Construction Trucks'!AG86</f>
        <v>0.24951529386575602</v>
      </c>
      <c r="N144" s="592">
        <f>'Construction Trucks'!AI86</f>
        <v>5.8221059177106964E-4</v>
      </c>
      <c r="O144" s="586">
        <f>'Construction Trucks'!AJ86+'Construction Trucks'!AL86</f>
        <v>1.531760988755022E-2</v>
      </c>
      <c r="P144" s="586">
        <f>'Construction Trucks'!AK86+'Construction Trucks'!AM86</f>
        <v>8.6440032226951149E-3</v>
      </c>
      <c r="Q144" s="586">
        <f>'Construction Trucks'!AN86</f>
        <v>87.658656553740869</v>
      </c>
      <c r="R144" s="586">
        <f>'Construction Trucks'!AO86</f>
        <v>5.0090786114504139E-3</v>
      </c>
      <c r="S144" s="586">
        <f>'Construction Trucks'!AP86</f>
        <v>2.245464146280626E-3</v>
      </c>
    </row>
    <row r="145" spans="1:19" s="612" customFormat="1" x14ac:dyDescent="0.25">
      <c r="A145" s="137" t="s">
        <v>655</v>
      </c>
      <c r="B145" s="615">
        <f>Helicopters!K$3</f>
        <v>12.830799050242181</v>
      </c>
      <c r="C145" s="587">
        <f>Helicopters!M$3</f>
        <v>66.887438003316817</v>
      </c>
      <c r="D145" s="587">
        <f>Helicopters!J$3</f>
        <v>66.887438003316817</v>
      </c>
      <c r="E145" s="587">
        <f>Helicopters!N$3</f>
        <v>12.314722567340549</v>
      </c>
      <c r="F145" s="586">
        <f>Helicopters!L$3</f>
        <v>22.109244879957675</v>
      </c>
      <c r="G145" s="586">
        <f>Helicopters!L$3</f>
        <v>22.109244879957675</v>
      </c>
      <c r="H145" s="586">
        <f>Helicopters!O$3</f>
        <v>30084.642801206399</v>
      </c>
      <c r="I145" s="215">
        <v>0</v>
      </c>
      <c r="J145" s="215">
        <v>0</v>
      </c>
      <c r="K145" s="592">
        <f>Helicopters!Q$3</f>
        <v>0.12830799050242181</v>
      </c>
      <c r="L145" s="592">
        <f>Helicopters!S$3</f>
        <v>0.66887438003316801</v>
      </c>
      <c r="M145" s="592">
        <f>Helicopters!P$3</f>
        <v>0.66887438003316801</v>
      </c>
      <c r="N145" s="592">
        <f>Helicopters!T$3</f>
        <v>0.1231472256734055</v>
      </c>
      <c r="O145" s="592">
        <f>Helicopters!R$3</f>
        <v>0.22109244879957674</v>
      </c>
      <c r="P145" s="592">
        <f>Helicopters!R$3</f>
        <v>0.22109244879957674</v>
      </c>
      <c r="Q145" s="592">
        <f>Helicopters!U$3</f>
        <v>300.846428012064</v>
      </c>
      <c r="R145" s="592">
        <v>0</v>
      </c>
      <c r="S145" s="586">
        <v>0</v>
      </c>
    </row>
    <row r="146" spans="1:19" s="572" customFormat="1" x14ac:dyDescent="0.25">
      <c r="A146" s="137" t="s">
        <v>122</v>
      </c>
      <c r="B146" s="588"/>
      <c r="C146" s="589"/>
      <c r="D146" s="589"/>
      <c r="E146" s="589"/>
      <c r="F146" s="586">
        <f>'Fugitive Dust Transmission'!$C$150</f>
        <v>89.771202104633829</v>
      </c>
      <c r="G146" s="586">
        <f>'Fugitive Dust Transmission'!$D$150</f>
        <v>26.788555913912528</v>
      </c>
      <c r="H146" s="589"/>
      <c r="I146" s="589"/>
      <c r="J146" s="588"/>
      <c r="K146" s="593"/>
      <c r="L146" s="145"/>
      <c r="M146" s="145"/>
      <c r="N146" s="145"/>
      <c r="O146" s="215">
        <f>'Fugitive Dust Transmission'!C156</f>
        <v>2.9624496694529161</v>
      </c>
      <c r="P146" s="215">
        <f>'Fugitive Dust Transmission'!D156</f>
        <v>0.88402234515911349</v>
      </c>
      <c r="Q146" s="145"/>
      <c r="R146" s="145"/>
      <c r="S146" s="594"/>
    </row>
    <row r="147" spans="1:19" s="572" customFormat="1" x14ac:dyDescent="0.25">
      <c r="A147" s="12" t="s">
        <v>123</v>
      </c>
      <c r="B147" s="588">
        <f>SUM(B142:B146)</f>
        <v>18.034537721557776</v>
      </c>
      <c r="C147" s="588">
        <f t="shared" ref="C147" si="209">SUM(C142:C146)</f>
        <v>99.738629185486246</v>
      </c>
      <c r="D147" s="588">
        <f t="shared" ref="D147" si="210">SUM(D142:D146)</f>
        <v>102.67188843984729</v>
      </c>
      <c r="E147" s="588">
        <f t="shared" ref="E147" si="211">SUM(E142:E146)</f>
        <v>12.441044743470963</v>
      </c>
      <c r="F147" s="588">
        <f t="shared" ref="F147" si="212">SUM(F142:F146)</f>
        <v>113.70196872537591</v>
      </c>
      <c r="G147" s="588">
        <f t="shared" ref="G147" si="213">SUM(G142:G146)</f>
        <v>50.188426756839675</v>
      </c>
      <c r="H147" s="588">
        <f t="shared" ref="H147" si="214">SUM(H142:H146)</f>
        <v>43482.925916374144</v>
      </c>
      <c r="I147" s="588">
        <f t="shared" ref="I147" si="215">SUM(I142:I146)</f>
        <v>0.68468629299160133</v>
      </c>
      <c r="J147" s="588">
        <f t="shared" ref="J147" si="216">SUM(J142:J146)</f>
        <v>2.502162140050098</v>
      </c>
      <c r="K147" s="588">
        <f t="shared" ref="K147" si="217">SUM(K142:K146)</f>
        <v>0.33123741626119241</v>
      </c>
      <c r="L147" s="588">
        <f t="shared" ref="L147" si="218">SUM(L142:L146)</f>
        <v>1.9333409677038482</v>
      </c>
      <c r="M147" s="588">
        <f t="shared" ref="M147" si="219">SUM(M142:M146)</f>
        <v>1.9823004721325566</v>
      </c>
      <c r="N147" s="588">
        <f t="shared" ref="N147" si="220">SUM(N142:N146)</f>
        <v>0.12783101921496257</v>
      </c>
      <c r="O147" s="588">
        <f t="shared" ref="O147" si="221">SUM(O142:O146)</f>
        <v>3.2511078859671612</v>
      </c>
      <c r="P147" s="588">
        <f t="shared" ref="P147" si="222">SUM(P142:P146)</f>
        <v>1.1555548887863949</v>
      </c>
      <c r="Q147" s="588">
        <f t="shared" ref="Q147" si="223">SUM(Q142:Q146)</f>
        <v>773.08668016900651</v>
      </c>
      <c r="R147" s="588">
        <f t="shared" ref="R147" si="224">SUM(R142:R146)</f>
        <v>2.4627651923981652E-2</v>
      </c>
      <c r="S147" s="588">
        <f t="shared" ref="S147" si="225">SUM(S142:S146)</f>
        <v>0.104360936840606</v>
      </c>
    </row>
    <row r="148" spans="1:19" s="572" customFormat="1" x14ac:dyDescent="0.25">
      <c r="A148" s="614" t="s">
        <v>124</v>
      </c>
      <c r="B148" s="216">
        <v>75</v>
      </c>
      <c r="C148" s="216">
        <v>550</v>
      </c>
      <c r="D148" s="216">
        <v>100</v>
      </c>
      <c r="E148" s="216">
        <v>150</v>
      </c>
      <c r="F148" s="216">
        <v>150</v>
      </c>
      <c r="G148" s="216">
        <v>55</v>
      </c>
      <c r="H148" s="216" t="s">
        <v>126</v>
      </c>
      <c r="I148" s="216" t="s">
        <v>126</v>
      </c>
      <c r="J148" s="216" t="s">
        <v>126</v>
      </c>
      <c r="K148" s="593"/>
      <c r="L148" s="145"/>
      <c r="M148" s="145"/>
      <c r="N148" s="145"/>
      <c r="O148" s="145"/>
      <c r="P148" s="145"/>
      <c r="Q148" s="145"/>
      <c r="R148" s="145"/>
      <c r="S148" s="594"/>
    </row>
    <row r="149" spans="1:19" s="572" customFormat="1" x14ac:dyDescent="0.25">
      <c r="A149" s="137" t="s">
        <v>125</v>
      </c>
      <c r="B149" s="27" t="str">
        <f>IF(B147&gt;B148,"Yes","No")</f>
        <v>No</v>
      </c>
      <c r="C149" s="27" t="str">
        <f t="shared" ref="C149:G149" si="226">IF(C147&gt;C148,"Yes","No")</f>
        <v>No</v>
      </c>
      <c r="D149" s="27" t="str">
        <f t="shared" si="226"/>
        <v>Yes</v>
      </c>
      <c r="E149" s="27" t="str">
        <f t="shared" si="226"/>
        <v>No</v>
      </c>
      <c r="F149" s="27" t="str">
        <f t="shared" si="226"/>
        <v>No</v>
      </c>
      <c r="G149" s="27" t="str">
        <f t="shared" si="226"/>
        <v>No</v>
      </c>
      <c r="H149" s="27" t="s">
        <v>126</v>
      </c>
      <c r="I149" s="27" t="s">
        <v>126</v>
      </c>
      <c r="J149" s="27" t="s">
        <v>126</v>
      </c>
      <c r="K149" s="593"/>
      <c r="L149" s="145"/>
      <c r="M149" s="145"/>
      <c r="N149" s="145"/>
      <c r="O149" s="145"/>
      <c r="P149" s="145"/>
      <c r="Q149" s="145"/>
      <c r="R149" s="145"/>
      <c r="S149" s="594"/>
    </row>
    <row r="150" spans="1:19" s="572" customFormat="1" x14ac:dyDescent="0.25">
      <c r="A150" s="613"/>
      <c r="B150" s="564"/>
      <c r="C150" s="563"/>
      <c r="D150" s="563"/>
      <c r="E150" s="563"/>
      <c r="F150" s="563"/>
      <c r="G150" s="563"/>
      <c r="H150" s="563"/>
      <c r="I150" s="563"/>
      <c r="J150" s="11"/>
      <c r="K150" s="565"/>
      <c r="L150" s="570"/>
      <c r="M150" s="570"/>
      <c r="N150" s="570"/>
      <c r="O150" s="570"/>
      <c r="P150" s="570"/>
      <c r="Q150" s="570"/>
      <c r="R150" s="570"/>
      <c r="S150" s="571"/>
    </row>
    <row r="151" spans="1:19" s="572" customFormat="1" x14ac:dyDescent="0.25">
      <c r="A151" s="613"/>
      <c r="B151" s="564"/>
      <c r="C151" s="563"/>
      <c r="D151" s="563"/>
      <c r="E151" s="563"/>
      <c r="F151" s="563"/>
      <c r="G151" s="563"/>
      <c r="H151" s="563"/>
      <c r="I151" s="563"/>
      <c r="J151" s="11"/>
      <c r="K151" s="565"/>
      <c r="L151" s="570"/>
      <c r="M151" s="570"/>
      <c r="N151" s="570"/>
      <c r="O151" s="570"/>
      <c r="P151" s="570"/>
      <c r="Q151" s="570"/>
      <c r="R151" s="570"/>
      <c r="S151" s="571"/>
    </row>
    <row r="152" spans="1:19" s="572" customFormat="1" ht="39.6" x14ac:dyDescent="0.25">
      <c r="A152" s="31" t="str">
        <f>'Equipment Trans Talega Seg 4 23'!A2</f>
        <v>Segment 4: Talega Hub/Corridor 230-kV from structure 42 to Talega Substation</v>
      </c>
      <c r="B152" s="16" t="s">
        <v>18</v>
      </c>
      <c r="C152" s="16" t="s">
        <v>19</v>
      </c>
      <c r="D152" s="16" t="s">
        <v>20</v>
      </c>
      <c r="E152" s="16" t="s">
        <v>21</v>
      </c>
      <c r="F152" s="16" t="s">
        <v>22</v>
      </c>
      <c r="G152" s="16" t="s">
        <v>23</v>
      </c>
      <c r="H152" s="17" t="s">
        <v>24</v>
      </c>
      <c r="I152" s="16" t="s">
        <v>25</v>
      </c>
      <c r="J152" s="16" t="s">
        <v>26</v>
      </c>
      <c r="K152" s="18" t="s">
        <v>27</v>
      </c>
      <c r="L152" s="18" t="s">
        <v>28</v>
      </c>
      <c r="M152" s="18" t="s">
        <v>29</v>
      </c>
      <c r="N152" s="18" t="s">
        <v>30</v>
      </c>
      <c r="O152" s="18" t="s">
        <v>31</v>
      </c>
      <c r="P152" s="18" t="s">
        <v>32</v>
      </c>
      <c r="Q152" s="17" t="s">
        <v>33</v>
      </c>
      <c r="R152" s="18" t="s">
        <v>34</v>
      </c>
      <c r="S152" s="18" t="s">
        <v>35</v>
      </c>
    </row>
    <row r="153" spans="1:19" s="572" customFormat="1" x14ac:dyDescent="0.25">
      <c r="A153" s="137" t="s">
        <v>75</v>
      </c>
      <c r="B153" s="600"/>
      <c r="C153" s="145"/>
      <c r="D153" s="145"/>
      <c r="E153" s="145"/>
      <c r="F153" s="145"/>
      <c r="G153" s="145"/>
      <c r="H153" s="145"/>
      <c r="I153" s="145"/>
      <c r="J153" s="31"/>
      <c r="K153" s="593"/>
      <c r="L153" s="145"/>
      <c r="M153" s="145"/>
      <c r="N153" s="145"/>
      <c r="O153" s="145"/>
      <c r="P153" s="145"/>
      <c r="Q153" s="145"/>
      <c r="R153" s="145"/>
      <c r="S153" s="594"/>
    </row>
    <row r="154" spans="1:19" s="572" customFormat="1" x14ac:dyDescent="0.25">
      <c r="A154" s="137" t="s">
        <v>119</v>
      </c>
      <c r="B154" s="587">
        <f>0.625*'Equipment Trans Talega Seg 4 23'!Q50</f>
        <v>1.9660728123137916</v>
      </c>
      <c r="C154" s="587">
        <f>0.625*'Equipment Trans Talega Seg 4 23'!R50</f>
        <v>11.785972161497135</v>
      </c>
      <c r="D154" s="587">
        <f>0.625*'Equipment Trans Talega Seg 4 23'!S50</f>
        <v>13.053388769412154</v>
      </c>
      <c r="E154" s="587">
        <f>0.625*'Equipment Trans Talega Seg 4 23'!T50</f>
        <v>4.9312805427850631E-2</v>
      </c>
      <c r="F154" s="587">
        <f>0.625*'Equipment Trans Talega Seg 4 23'!U50</f>
        <v>0.51985644521764784</v>
      </c>
      <c r="G154" s="587">
        <f>0.625*'Equipment Trans Talega Seg 4 23'!V50</f>
        <v>0.46267223624370668</v>
      </c>
      <c r="H154" s="587">
        <f>0.625*'Equipment Trans Talega Seg 4 23'!W50</f>
        <v>4877.9360293351037</v>
      </c>
      <c r="I154" s="587">
        <f>0.625*'Equipment Trans Talega Seg 4 23'!X50</f>
        <v>0.22284007383687215</v>
      </c>
      <c r="J154" s="587">
        <f>0.625*'Equipment Trans Talega Seg 4 23'!Y50</f>
        <v>1.2400719330941543</v>
      </c>
      <c r="K154" s="587">
        <f>0.625*'Equipment Trans Talega Seg 4 23'!E96</f>
        <v>6.9554719715694519E-2</v>
      </c>
      <c r="L154" s="587">
        <f>0.625*'Equipment Trans Talega Seg 4 23'!F96</f>
        <v>0.41546397361275045</v>
      </c>
      <c r="M154" s="587">
        <f>0.625*'Equipment Trans Talega Seg 4 23'!G96</f>
        <v>0.4625857100131433</v>
      </c>
      <c r="N154" s="587">
        <f>0.625*'Equipment Trans Talega Seg 4 23'!H96</f>
        <v>1.721172188116631E-3</v>
      </c>
      <c r="O154" s="587">
        <f>0.625*'Equipment Trans Talega Seg 4 23'!I96</f>
        <v>1.8489539831150426E-2</v>
      </c>
      <c r="P154" s="587">
        <f>0.625*'Equipment Trans Talega Seg 4 23'!J96</f>
        <v>1.6455690449723878E-2</v>
      </c>
      <c r="Q154" s="587">
        <f>0.625*'Equipment Trans Talega Seg 4 23'!K96</f>
        <v>169.5389115691741</v>
      </c>
      <c r="R154" s="587">
        <f>0.625*'Equipment Trans Talega Seg 4 23'!L96</f>
        <v>7.8908477603587789E-3</v>
      </c>
      <c r="S154" s="587">
        <f>0.625*'Equipment Trans Talega Seg 4 23'!M96</f>
        <v>4.3945642451248608E-2</v>
      </c>
    </row>
    <row r="155" spans="1:19" s="572" customFormat="1" x14ac:dyDescent="0.25">
      <c r="A155" s="137" t="s">
        <v>120</v>
      </c>
      <c r="B155" s="587">
        <f>0.98275*WorkerTrips!I127</f>
        <v>0.93503924313329168</v>
      </c>
      <c r="C155" s="587">
        <f>0.98275*WorkerTrips!G127</f>
        <v>8.308216506307204</v>
      </c>
      <c r="D155" s="587">
        <f>0.98275*WorkerTrips!H127</f>
        <v>0.7470733030815575</v>
      </c>
      <c r="E155" s="587">
        <f>0.98275*WorkerTrips!J127</f>
        <v>1.3215188123294277E-2</v>
      </c>
      <c r="F155" s="586">
        <f>0.98275*WorkerTrips!K127+0.98275*WorkerTrips!M127</f>
        <v>0.30055499859121504</v>
      </c>
      <c r="G155" s="586">
        <f>0.98275*WorkerTrips!L127+0.98275*WorkerTrips!N127</f>
        <v>0.12738450637432566</v>
      </c>
      <c r="H155" s="586">
        <f>0.98275*WorkerTrips!O127</f>
        <v>931.48073238680433</v>
      </c>
      <c r="I155" s="586">
        <f>0.98275*WorkerTrips!P127</f>
        <v>5.6022288438418742E-2</v>
      </c>
      <c r="J155" s="586">
        <f>0.98275*WorkerTrips!Q127</f>
        <v>0.10206101769452258</v>
      </c>
      <c r="K155" s="590">
        <f>0.98275*WorkerTrips!U127</f>
        <v>3.0856295023398626E-2</v>
      </c>
      <c r="L155" s="590">
        <f>0.98275*WorkerTrips!S127</f>
        <v>0.27417114470813775</v>
      </c>
      <c r="M155" s="590">
        <f>0.98275*WorkerTrips!T127</f>
        <v>2.4653419001691396E-2</v>
      </c>
      <c r="N155" s="590">
        <f>0.98275*WorkerTrips!V127</f>
        <v>4.3610120806871112E-4</v>
      </c>
      <c r="O155" s="591">
        <f>0.98275*WorkerTrips!W127+0.98275*WorkerTrips!Y127</f>
        <v>9.9183149535100983E-3</v>
      </c>
      <c r="P155" s="591">
        <f>0.98275*WorkerTrips!X127+0.98275*WorkerTrips!Z127</f>
        <v>4.2036887103527477E-3</v>
      </c>
      <c r="Q155" s="591">
        <f>0.98275*WorkerTrips!AA127</f>
        <v>30.73886416876454</v>
      </c>
      <c r="R155" s="591">
        <f>0.98275*WorkerTrips!AB127</f>
        <v>1.8487355184678184E-3</v>
      </c>
      <c r="S155" s="591">
        <f>0.98275*WorkerTrips!AC127</f>
        <v>3.3680135839192454E-3</v>
      </c>
    </row>
    <row r="156" spans="1:19" s="572" customFormat="1" x14ac:dyDescent="0.25">
      <c r="A156" s="137" t="s">
        <v>121</v>
      </c>
      <c r="B156" s="587">
        <f>'Construction Trucks'!V105</f>
        <v>0.51802476332407466</v>
      </c>
      <c r="C156" s="587">
        <f>'Construction Trucks'!T105</f>
        <v>2.1856639665195479</v>
      </c>
      <c r="D156" s="587">
        <f>'Construction Trucks'!U105</f>
        <v>6.9990285704162574</v>
      </c>
      <c r="E156" s="587">
        <f>'Construction Trucks'!W105</f>
        <v>2.2467586789272805E-2</v>
      </c>
      <c r="F156" s="586">
        <f>'Construction Trucks'!X105+'Construction Trucks'!Z105</f>
        <v>0.49153138422475462</v>
      </c>
      <c r="G156" s="586">
        <f>'Construction Trucks'!Y105+'Construction Trucks'!AA105</f>
        <v>0.25613202830065607</v>
      </c>
      <c r="H156" s="586">
        <f>'Construction Trucks'!AB105</f>
        <v>3347.8320870334073</v>
      </c>
      <c r="I156" s="586">
        <f>'Construction Trucks'!AC105</f>
        <v>0.19130516894934999</v>
      </c>
      <c r="J156" s="586">
        <f>'Construction Trucks'!AD105</f>
        <v>8.5758066741447772E-2</v>
      </c>
      <c r="K156" s="592">
        <f>'Construction Trucks'!AH105</f>
        <v>1.2118231931284864E-2</v>
      </c>
      <c r="L156" s="592">
        <f>'Construction Trucks'!AF105</f>
        <v>5.3786961814490983E-2</v>
      </c>
      <c r="M156" s="592">
        <f>'Construction Trucks'!AG105</f>
        <v>0.14137678886326857</v>
      </c>
      <c r="N156" s="592">
        <f>'Construction Trucks'!AI105</f>
        <v>4.8533610823707013E-4</v>
      </c>
      <c r="O156" s="586">
        <f>'Construction Trucks'!AJ105+'Construction Trucks'!AL105</f>
        <v>1.3423133404568712E-2</v>
      </c>
      <c r="P156" s="586">
        <f>'Construction Trucks'!AK105+'Construction Trucks'!AM105</f>
        <v>7.4225277293409435E-3</v>
      </c>
      <c r="Q156" s="586">
        <f>'Construction Trucks'!AN105</f>
        <v>67.48596373885519</v>
      </c>
      <c r="R156" s="586">
        <f>'Construction Trucks'!AO105</f>
        <v>3.8563504259294021E-3</v>
      </c>
      <c r="S156" s="586">
        <f>'Construction Trucks'!AP105</f>
        <v>1.7287204471345147E-3</v>
      </c>
    </row>
    <row r="157" spans="1:19" s="572" customFormat="1" x14ac:dyDescent="0.25">
      <c r="A157" s="137" t="s">
        <v>122</v>
      </c>
      <c r="B157" s="588"/>
      <c r="C157" s="589"/>
      <c r="D157" s="589"/>
      <c r="E157" s="589"/>
      <c r="F157" s="586">
        <f>0.625*'Fugitive Dust Transmission'!$C$150</f>
        <v>56.107001315396147</v>
      </c>
      <c r="G157" s="586">
        <f>0.625*'Fugitive Dust Transmission'!$D$150</f>
        <v>16.742847446195331</v>
      </c>
      <c r="H157" s="589"/>
      <c r="I157" s="589"/>
      <c r="J157" s="588"/>
      <c r="K157" s="593"/>
      <c r="L157" s="145"/>
      <c r="M157" s="145"/>
      <c r="N157" s="145"/>
      <c r="O157" s="215">
        <f>0.625*'Fugitive Dust Transmission'!C157</f>
        <v>2.4687080578774303</v>
      </c>
      <c r="P157" s="215">
        <f>0.625*'Fugitive Dust Transmission'!D157</f>
        <v>0.73668528763259455</v>
      </c>
      <c r="Q157" s="145"/>
      <c r="R157" s="145"/>
      <c r="S157" s="594"/>
    </row>
    <row r="158" spans="1:19" s="572" customFormat="1" x14ac:dyDescent="0.25">
      <c r="A158" s="12" t="s">
        <v>123</v>
      </c>
      <c r="B158" s="588">
        <f>SUM(B154:B157)</f>
        <v>3.4191368187711579</v>
      </c>
      <c r="C158" s="588">
        <f t="shared" ref="C158" si="227">SUM(C154:C157)</f>
        <v>22.279852634323888</v>
      </c>
      <c r="D158" s="588">
        <f t="shared" ref="D158" si="228">SUM(D154:D157)</f>
        <v>20.799490642909969</v>
      </c>
      <c r="E158" s="588">
        <f t="shared" ref="E158" si="229">SUM(E154:E157)</f>
        <v>8.4995580340417709E-2</v>
      </c>
      <c r="F158" s="588">
        <f t="shared" ref="F158" si="230">SUM(F154:F157)</f>
        <v>57.418944143429762</v>
      </c>
      <c r="G158" s="588">
        <f t="shared" ref="G158" si="231">SUM(G154:G157)</f>
        <v>17.589036217114018</v>
      </c>
      <c r="H158" s="588">
        <f t="shared" ref="H158" si="232">SUM(H154:H157)</f>
        <v>9157.2488487553164</v>
      </c>
      <c r="I158" s="588">
        <f t="shared" ref="I158" si="233">SUM(I154:I157)</f>
        <v>0.47016753122464083</v>
      </c>
      <c r="J158" s="588">
        <f t="shared" ref="J158" si="234">SUM(J154:J157)</f>
        <v>1.4278910175301247</v>
      </c>
      <c r="K158" s="588">
        <f t="shared" ref="K158" si="235">SUM(K154:K157)</f>
        <v>0.112529246670378</v>
      </c>
      <c r="L158" s="588">
        <f t="shared" ref="L158" si="236">SUM(L154:L157)</f>
        <v>0.74342208013537914</v>
      </c>
      <c r="M158" s="588">
        <f t="shared" ref="M158" si="237">SUM(M154:M157)</f>
        <v>0.62861591787810323</v>
      </c>
      <c r="N158" s="588">
        <f t="shared" ref="N158" si="238">SUM(N154:N157)</f>
        <v>2.6426095044224125E-3</v>
      </c>
      <c r="O158" s="588">
        <f t="shared" ref="O158" si="239">SUM(O154:O157)</f>
        <v>2.5105390460666595</v>
      </c>
      <c r="P158" s="588">
        <f t="shared" ref="P158" si="240">SUM(P154:P157)</f>
        <v>0.76476719452201214</v>
      </c>
      <c r="Q158" s="588">
        <f t="shared" ref="Q158" si="241">SUM(Q154:Q157)</f>
        <v>267.76373947679383</v>
      </c>
      <c r="R158" s="588">
        <f t="shared" ref="R158" si="242">SUM(R154:R157)</f>
        <v>1.3595933704755999E-2</v>
      </c>
      <c r="S158" s="588">
        <f t="shared" ref="S158" si="243">SUM(S154:S157)</f>
        <v>4.9042376482302363E-2</v>
      </c>
    </row>
    <row r="159" spans="1:19" s="572" customFormat="1" x14ac:dyDescent="0.25">
      <c r="A159" s="614" t="s">
        <v>124</v>
      </c>
      <c r="B159" s="216">
        <v>75</v>
      </c>
      <c r="C159" s="216">
        <v>550</v>
      </c>
      <c r="D159" s="216">
        <v>100</v>
      </c>
      <c r="E159" s="216">
        <v>150</v>
      </c>
      <c r="F159" s="216">
        <v>150</v>
      </c>
      <c r="G159" s="216">
        <v>55</v>
      </c>
      <c r="H159" s="216" t="s">
        <v>126</v>
      </c>
      <c r="I159" s="216" t="s">
        <v>126</v>
      </c>
      <c r="J159" s="216" t="s">
        <v>126</v>
      </c>
      <c r="K159" s="593"/>
      <c r="L159" s="145"/>
      <c r="M159" s="145"/>
      <c r="N159" s="145"/>
      <c r="O159" s="145"/>
      <c r="P159" s="145"/>
      <c r="Q159" s="145"/>
      <c r="R159" s="145"/>
      <c r="S159" s="594"/>
    </row>
    <row r="160" spans="1:19" s="572" customFormat="1" x14ac:dyDescent="0.25">
      <c r="A160" s="137" t="s">
        <v>125</v>
      </c>
      <c r="B160" s="27" t="str">
        <f>IF(B158&gt;B159,"Yes","No")</f>
        <v>No</v>
      </c>
      <c r="C160" s="27" t="str">
        <f t="shared" ref="C160:G160" si="244">IF(C158&gt;C159,"Yes","No")</f>
        <v>No</v>
      </c>
      <c r="D160" s="27" t="str">
        <f t="shared" si="244"/>
        <v>No</v>
      </c>
      <c r="E160" s="27" t="str">
        <f t="shared" si="244"/>
        <v>No</v>
      </c>
      <c r="F160" s="27" t="str">
        <f t="shared" si="244"/>
        <v>No</v>
      </c>
      <c r="G160" s="27" t="str">
        <f t="shared" si="244"/>
        <v>No</v>
      </c>
      <c r="H160" s="27" t="s">
        <v>126</v>
      </c>
      <c r="I160" s="27" t="s">
        <v>126</v>
      </c>
      <c r="J160" s="27" t="s">
        <v>126</v>
      </c>
      <c r="K160" s="593"/>
      <c r="L160" s="145"/>
      <c r="M160" s="145"/>
      <c r="N160" s="145"/>
      <c r="O160" s="145"/>
      <c r="P160" s="145"/>
      <c r="Q160" s="145"/>
      <c r="R160" s="145"/>
      <c r="S160" s="594"/>
    </row>
    <row r="161" spans="1:19" s="572" customFormat="1" x14ac:dyDescent="0.25">
      <c r="A161" s="613"/>
      <c r="B161" s="564"/>
      <c r="C161" s="563"/>
      <c r="D161" s="563"/>
      <c r="E161" s="563"/>
      <c r="F161" s="563"/>
      <c r="G161" s="563"/>
      <c r="H161" s="563"/>
      <c r="I161" s="563"/>
      <c r="J161" s="11"/>
      <c r="K161" s="565"/>
      <c r="L161" s="570"/>
      <c r="M161" s="570"/>
      <c r="N161" s="570"/>
      <c r="O161" s="570"/>
      <c r="P161" s="570"/>
      <c r="Q161" s="570"/>
      <c r="R161" s="570"/>
      <c r="S161" s="571"/>
    </row>
    <row r="162" spans="1:19" s="572" customFormat="1" x14ac:dyDescent="0.25">
      <c r="A162" s="613"/>
      <c r="B162" s="564"/>
      <c r="C162" s="563"/>
      <c r="D162" s="563"/>
      <c r="E162" s="563"/>
      <c r="F162" s="563"/>
      <c r="G162" s="563"/>
      <c r="H162" s="563"/>
      <c r="I162" s="563"/>
      <c r="J162" s="11"/>
      <c r="K162" s="565"/>
      <c r="L162" s="570"/>
      <c r="M162" s="570"/>
      <c r="N162" s="570"/>
      <c r="O162" s="570"/>
      <c r="P162" s="570"/>
      <c r="Q162" s="570"/>
      <c r="R162" s="570"/>
      <c r="S162" s="571"/>
    </row>
    <row r="163" spans="1:19" s="572" customFormat="1" ht="39.6" x14ac:dyDescent="0.25">
      <c r="A163" s="31" t="str">
        <f>'Equipment Trans Seg 2 230'!A2</f>
        <v>Segment 2: Underground 230-kV Transmission Lines Along Vista Montana Road (North w/138kV )</v>
      </c>
      <c r="B163" s="16" t="s">
        <v>18</v>
      </c>
      <c r="C163" s="16" t="s">
        <v>19</v>
      </c>
      <c r="D163" s="16" t="s">
        <v>20</v>
      </c>
      <c r="E163" s="16" t="s">
        <v>21</v>
      </c>
      <c r="F163" s="16" t="s">
        <v>22</v>
      </c>
      <c r="G163" s="16" t="s">
        <v>23</v>
      </c>
      <c r="H163" s="17" t="s">
        <v>24</v>
      </c>
      <c r="I163" s="16" t="s">
        <v>25</v>
      </c>
      <c r="J163" s="16" t="s">
        <v>26</v>
      </c>
      <c r="K163" s="18" t="s">
        <v>27</v>
      </c>
      <c r="L163" s="18" t="s">
        <v>28</v>
      </c>
      <c r="M163" s="18" t="s">
        <v>29</v>
      </c>
      <c r="N163" s="18" t="s">
        <v>30</v>
      </c>
      <c r="O163" s="18" t="s">
        <v>31</v>
      </c>
      <c r="P163" s="18" t="s">
        <v>32</v>
      </c>
      <c r="Q163" s="17" t="s">
        <v>33</v>
      </c>
      <c r="R163" s="18" t="s">
        <v>34</v>
      </c>
      <c r="S163" s="18" t="s">
        <v>35</v>
      </c>
    </row>
    <row r="164" spans="1:19" s="572" customFormat="1" x14ac:dyDescent="0.25">
      <c r="A164" s="137" t="s">
        <v>75</v>
      </c>
      <c r="B164" s="600"/>
      <c r="C164" s="145"/>
      <c r="D164" s="145"/>
      <c r="E164" s="145"/>
      <c r="F164" s="145"/>
      <c r="G164" s="145"/>
      <c r="H164" s="145"/>
      <c r="I164" s="145"/>
      <c r="J164" s="31"/>
      <c r="K164" s="593"/>
      <c r="L164" s="145"/>
      <c r="M164" s="145"/>
      <c r="N164" s="145"/>
      <c r="O164" s="145"/>
      <c r="P164" s="145"/>
      <c r="Q164" s="145"/>
      <c r="R164" s="145"/>
      <c r="S164" s="594"/>
    </row>
    <row r="165" spans="1:19" s="572" customFormat="1" x14ac:dyDescent="0.25">
      <c r="A165" s="137" t="s">
        <v>119</v>
      </c>
      <c r="B165" s="587">
        <f>'Equipment Trans Seg 2 230'!Q47</f>
        <v>4.4519368924017106</v>
      </c>
      <c r="C165" s="587">
        <f>'Equipment Trans Seg 2 230'!R47</f>
        <v>27.572994118618606</v>
      </c>
      <c r="D165" s="587">
        <f>'Equipment Trans Seg 2 230'!S47</f>
        <v>29.426016487918289</v>
      </c>
      <c r="E165" s="587">
        <f>'Equipment Trans Seg 2 230'!T47</f>
        <v>0.10372271246562326</v>
      </c>
      <c r="F165" s="587">
        <f>'Equipment Trans Seg 2 230'!U47</f>
        <v>1.2427823520018355</v>
      </c>
      <c r="G165" s="587">
        <f>'Equipment Trans Seg 2 230'!V47</f>
        <v>1.1060762932816335</v>
      </c>
      <c r="H165" s="587">
        <f>'Equipment Trans Seg 2 230'!W47</f>
        <v>10077.620571733067</v>
      </c>
      <c r="I165" s="587">
        <f>'Equipment Trans Seg 2 230'!X47</f>
        <v>0.50465545081629504</v>
      </c>
      <c r="J165" s="587">
        <f>'Equipment Trans Seg 2 230'!Y47</f>
        <v>2.795471566352238</v>
      </c>
      <c r="K165" s="587">
        <f>'Equipment Trans Seg 2 230'!E90</f>
        <v>0.10055649321176199</v>
      </c>
      <c r="L165" s="587">
        <f>'Equipment Trans Seg 2 230'!F90</f>
        <v>0.63647342473136181</v>
      </c>
      <c r="M165" s="587">
        <f>'Equipment Trans Seg 2 230'!G90</f>
        <v>0.6696771815882846</v>
      </c>
      <c r="N165" s="587">
        <f>'Equipment Trans Seg 2 230'!H90</f>
        <v>2.5122185732477614E-3</v>
      </c>
      <c r="O165" s="587">
        <f>'Equipment Trans Seg 2 230'!I90</f>
        <v>2.8363583188493892E-2</v>
      </c>
      <c r="P165" s="587">
        <f>'Equipment Trans Seg 2 230'!J90</f>
        <v>2.524358903775956E-2</v>
      </c>
      <c r="Q165" s="587">
        <f>'Equipment Trans Seg 2 230'!K90</f>
        <v>248.35171199822793</v>
      </c>
      <c r="R165" s="587">
        <f>'Equipment Trans Seg 2 230'!L90</f>
        <v>1.14053076058771E-2</v>
      </c>
      <c r="S165" s="587">
        <f>'Equipment Trans Seg 2 230'!M90</f>
        <v>6.3619332250887034E-2</v>
      </c>
    </row>
    <row r="166" spans="1:19" s="572" customFormat="1" x14ac:dyDescent="0.25">
      <c r="A166" s="137" t="s">
        <v>120</v>
      </c>
      <c r="B166" s="587">
        <f>WorkerTrips!I129</f>
        <v>0.63430119096636417</v>
      </c>
      <c r="C166" s="587">
        <f>WorkerTrips!G129</f>
        <v>5.6360325659677457</v>
      </c>
      <c r="D166" s="587">
        <f>WorkerTrips!H129</f>
        <v>0.50679101370749258</v>
      </c>
      <c r="E166" s="587">
        <f>WorkerTrips!J129</f>
        <v>8.9647676576235218E-3</v>
      </c>
      <c r="F166" s="586">
        <f>WorkerTrips!K129+WorkerTrips!M129</f>
        <v>0.20388705068512855</v>
      </c>
      <c r="G166" s="586">
        <f>WorkerTrips!L129+WorkerTrips!N129</f>
        <v>8.6413639531468273E-2</v>
      </c>
      <c r="H166" s="586">
        <f>WorkerTrips!O129</f>
        <v>631.88720928469718</v>
      </c>
      <c r="I166" s="586">
        <f>WorkerTrips!P129</f>
        <v>3.8003757102293735E-2</v>
      </c>
      <c r="J166" s="586">
        <f>WorkerTrips!Q129</f>
        <v>6.9234981900803919E-2</v>
      </c>
      <c r="K166" s="590">
        <f>WorkerTrips!U129</f>
        <v>2.093193930189002E-2</v>
      </c>
      <c r="L166" s="590">
        <f>WorkerTrips!S129</f>
        <v>0.18598907467693562</v>
      </c>
      <c r="M166" s="590">
        <f>WorkerTrips!T129</f>
        <v>1.6724103452347254E-2</v>
      </c>
      <c r="N166" s="590">
        <f>WorkerTrips!V129</f>
        <v>2.9583733270157622E-4</v>
      </c>
      <c r="O166" s="591">
        <f>WorkerTrips!W129+WorkerTrips!Y129</f>
        <v>6.7282726726092422E-3</v>
      </c>
      <c r="P166" s="591">
        <f>WorkerTrips!X129+WorkerTrips!Z129</f>
        <v>2.8516501045384524E-3</v>
      </c>
      <c r="Q166" s="591">
        <f>WorkerTrips!AA129</f>
        <v>20.852277906395006</v>
      </c>
      <c r="R166" s="591">
        <f>WorkerTrips!AB129</f>
        <v>1.2541239843756934E-3</v>
      </c>
      <c r="S166" s="591">
        <f>WorkerTrips!AC129</f>
        <v>2.2847544027265296E-3</v>
      </c>
    </row>
    <row r="167" spans="1:19" s="572" customFormat="1" x14ac:dyDescent="0.25">
      <c r="A167" s="137" t="s">
        <v>121</v>
      </c>
      <c r="B167" s="587">
        <f>'Construction Trucks'!V118</f>
        <v>0.23811143237405999</v>
      </c>
      <c r="C167" s="587">
        <f>'Construction Trucks'!T118</f>
        <v>1.0071626082826914</v>
      </c>
      <c r="D167" s="587">
        <f>'Construction Trucks'!U118</f>
        <v>3.1959545344655109</v>
      </c>
      <c r="E167" s="587">
        <f>'Construction Trucks'!W118</f>
        <v>1.0289167807652563E-2</v>
      </c>
      <c r="F167" s="586">
        <f>'Construction Trucks'!X118+'Construction Trucks'!Z118</f>
        <v>0.2277562811708384</v>
      </c>
      <c r="G167" s="586">
        <f>'Construction Trucks'!Y118+'Construction Trucks'!AA118</f>
        <v>0.11908667121614021</v>
      </c>
      <c r="H167" s="586">
        <f>'Construction Trucks'!AB118</f>
        <v>1528.5837007086075</v>
      </c>
      <c r="I167" s="586">
        <f>'Construction Trucks'!AC118</f>
        <v>8.7347858409591944E-2</v>
      </c>
      <c r="J167" s="586">
        <f>'Construction Trucks'!AD118</f>
        <v>3.915620007735169E-2</v>
      </c>
      <c r="K167" s="592">
        <f>'Construction Trucks'!AH118</f>
        <v>2.3398266563179637E-3</v>
      </c>
      <c r="L167" s="592">
        <f>'Construction Trucks'!AF118</f>
        <v>1.0619651079379022E-2</v>
      </c>
      <c r="M167" s="592">
        <f>'Construction Trucks'!AG118</f>
        <v>2.5326725441310757E-2</v>
      </c>
      <c r="N167" s="592">
        <f>'Construction Trucks'!AI118</f>
        <v>9.0161382688800807E-5</v>
      </c>
      <c r="O167" s="586">
        <f>'Construction Trucks'!AJ118+'Construction Trucks'!AL118</f>
        <v>2.7614727900713938E-3</v>
      </c>
      <c r="P167" s="586">
        <f>'Construction Trucks'!AK118+'Construction Trucks'!AM118</f>
        <v>1.5593136155070374E-3</v>
      </c>
      <c r="Q167" s="586">
        <f>'Construction Trucks'!AN118</f>
        <v>12.075523622046621</v>
      </c>
      <c r="R167" s="586">
        <f>'Construction Trucks'!AO118</f>
        <v>6.9003164633460999E-4</v>
      </c>
      <c r="S167" s="586">
        <f>'Construction Trucks'!AP118</f>
        <v>3.0932661310234619E-4</v>
      </c>
    </row>
    <row r="168" spans="1:19" s="572" customFormat="1" x14ac:dyDescent="0.25">
      <c r="A168" s="137" t="s">
        <v>122</v>
      </c>
      <c r="B168" s="588"/>
      <c r="C168" s="589"/>
      <c r="D168" s="589"/>
      <c r="E168" s="589"/>
      <c r="F168" s="586">
        <f>'Fugitive Dust Transmission'!$C$150</f>
        <v>89.771202104633829</v>
      </c>
      <c r="G168" s="586">
        <f>'Fugitive Dust Transmission'!$D$150</f>
        <v>26.788555913912528</v>
      </c>
      <c r="H168" s="589"/>
      <c r="I168" s="589"/>
      <c r="J168" s="588"/>
      <c r="K168" s="593"/>
      <c r="L168" s="145"/>
      <c r="M168" s="145"/>
      <c r="N168" s="145"/>
      <c r="O168" s="215">
        <f>'Fugitive Dust Transmission'!C158</f>
        <v>3.9499328926038886</v>
      </c>
      <c r="P168" s="215">
        <f>'Fugitive Dust Transmission'!D158</f>
        <v>1.1786964602121512</v>
      </c>
      <c r="Q168" s="145"/>
      <c r="R168" s="145"/>
      <c r="S168" s="594"/>
    </row>
    <row r="169" spans="1:19" s="572" customFormat="1" x14ac:dyDescent="0.25">
      <c r="A169" s="12" t="s">
        <v>123</v>
      </c>
      <c r="B169" s="588">
        <f>SUM(B165:B168)</f>
        <v>5.324349515742135</v>
      </c>
      <c r="C169" s="588">
        <f t="shared" ref="C169" si="245">SUM(C165:C168)</f>
        <v>34.216189292869039</v>
      </c>
      <c r="D169" s="588">
        <f t="shared" ref="D169" si="246">SUM(D165:D168)</f>
        <v>33.128762036091295</v>
      </c>
      <c r="E169" s="588">
        <f t="shared" ref="E169" si="247">SUM(E165:E168)</f>
        <v>0.12297664793089934</v>
      </c>
      <c r="F169" s="588">
        <f t="shared" ref="F169" si="248">SUM(F165:F168)</f>
        <v>91.445627788491635</v>
      </c>
      <c r="G169" s="588">
        <f t="shared" ref="G169" si="249">SUM(G165:G168)</f>
        <v>28.10013251794177</v>
      </c>
      <c r="H169" s="588">
        <f t="shared" ref="H169" si="250">SUM(H165:H168)</f>
        <v>12238.091481726373</v>
      </c>
      <c r="I169" s="588">
        <f t="shared" ref="I169" si="251">SUM(I165:I168)</f>
        <v>0.63000706632818071</v>
      </c>
      <c r="J169" s="588">
        <f t="shared" ref="J169" si="252">SUM(J165:J168)</f>
        <v>2.9038627483303938</v>
      </c>
      <c r="K169" s="588">
        <f t="shared" ref="K169" si="253">SUM(K165:K168)</f>
        <v>0.12382825916996998</v>
      </c>
      <c r="L169" s="588">
        <f t="shared" ref="L169" si="254">SUM(L165:L168)</f>
        <v>0.83308215048767642</v>
      </c>
      <c r="M169" s="588">
        <f t="shared" ref="M169" si="255">SUM(M165:M168)</f>
        <v>0.71172801048194256</v>
      </c>
      <c r="N169" s="588">
        <f t="shared" ref="N169" si="256">SUM(N165:N168)</f>
        <v>2.8982172886381384E-3</v>
      </c>
      <c r="O169" s="588">
        <f t="shared" ref="O169" si="257">SUM(O165:O168)</f>
        <v>3.987786221255063</v>
      </c>
      <c r="P169" s="588">
        <f t="shared" ref="P169" si="258">SUM(P165:P168)</f>
        <v>1.2083510129699564</v>
      </c>
      <c r="Q169" s="588">
        <f t="shared" ref="Q169" si="259">SUM(Q165:Q168)</f>
        <v>281.27951352666952</v>
      </c>
      <c r="R169" s="588">
        <f t="shared" ref="R169" si="260">SUM(R165:R168)</f>
        <v>1.3349463236587403E-2</v>
      </c>
      <c r="S169" s="588">
        <f t="shared" ref="S169" si="261">SUM(S165:S168)</f>
        <v>6.6213413266715912E-2</v>
      </c>
    </row>
    <row r="170" spans="1:19" s="572" customFormat="1" x14ac:dyDescent="0.25">
      <c r="A170" s="614" t="s">
        <v>124</v>
      </c>
      <c r="B170" s="216">
        <v>75</v>
      </c>
      <c r="C170" s="216">
        <v>550</v>
      </c>
      <c r="D170" s="216">
        <v>100</v>
      </c>
      <c r="E170" s="216">
        <v>150</v>
      </c>
      <c r="F170" s="216">
        <v>150</v>
      </c>
      <c r="G170" s="216">
        <v>55</v>
      </c>
      <c r="H170" s="216" t="s">
        <v>126</v>
      </c>
      <c r="I170" s="216" t="s">
        <v>126</v>
      </c>
      <c r="J170" s="216" t="s">
        <v>126</v>
      </c>
      <c r="K170" s="593"/>
      <c r="L170" s="145"/>
      <c r="M170" s="145"/>
      <c r="N170" s="145"/>
      <c r="O170" s="145"/>
      <c r="P170" s="145"/>
      <c r="Q170" s="145"/>
      <c r="R170" s="145"/>
      <c r="S170" s="594"/>
    </row>
    <row r="171" spans="1:19" s="572" customFormat="1" x14ac:dyDescent="0.25">
      <c r="A171" s="137" t="s">
        <v>125</v>
      </c>
      <c r="B171" s="27" t="str">
        <f>IF(B169&gt;B170,"Yes","No")</f>
        <v>No</v>
      </c>
      <c r="C171" s="27" t="str">
        <f t="shared" ref="C171:G171" si="262">IF(C169&gt;C170,"Yes","No")</f>
        <v>No</v>
      </c>
      <c r="D171" s="27" t="str">
        <f t="shared" si="262"/>
        <v>No</v>
      </c>
      <c r="E171" s="27" t="str">
        <f t="shared" si="262"/>
        <v>No</v>
      </c>
      <c r="F171" s="27" t="str">
        <f t="shared" si="262"/>
        <v>No</v>
      </c>
      <c r="G171" s="27" t="str">
        <f t="shared" si="262"/>
        <v>No</v>
      </c>
      <c r="H171" s="27" t="s">
        <v>126</v>
      </c>
      <c r="I171" s="27" t="s">
        <v>126</v>
      </c>
      <c r="J171" s="27" t="s">
        <v>126</v>
      </c>
      <c r="K171" s="593"/>
      <c r="L171" s="145"/>
      <c r="M171" s="145"/>
      <c r="N171" s="145"/>
      <c r="O171" s="145"/>
      <c r="P171" s="145"/>
      <c r="Q171" s="145"/>
      <c r="R171" s="145"/>
      <c r="S171" s="594"/>
    </row>
    <row r="172" spans="1:19" s="572" customFormat="1" x14ac:dyDescent="0.25">
      <c r="A172" s="613"/>
      <c r="B172" s="564"/>
      <c r="C172" s="563"/>
      <c r="D172" s="563"/>
      <c r="E172" s="563"/>
      <c r="F172" s="563"/>
      <c r="G172" s="563"/>
      <c r="H172" s="563"/>
      <c r="I172" s="563"/>
      <c r="J172" s="11"/>
      <c r="K172" s="565"/>
      <c r="L172" s="570"/>
      <c r="M172" s="570"/>
      <c r="N172" s="570"/>
      <c r="O172" s="570"/>
      <c r="P172" s="570"/>
      <c r="Q172" s="570"/>
      <c r="R172" s="570"/>
      <c r="S172" s="571"/>
    </row>
    <row r="173" spans="1:19" s="572" customFormat="1" x14ac:dyDescent="0.25">
      <c r="A173" s="613"/>
      <c r="B173" s="564"/>
      <c r="C173" s="563"/>
      <c r="D173" s="563"/>
      <c r="E173" s="563"/>
      <c r="F173" s="563"/>
      <c r="G173" s="563"/>
      <c r="H173" s="563"/>
      <c r="I173" s="563"/>
      <c r="J173" s="11"/>
      <c r="K173" s="565"/>
      <c r="L173" s="570"/>
      <c r="M173" s="570"/>
      <c r="N173" s="570"/>
      <c r="O173" s="570"/>
      <c r="P173" s="570"/>
      <c r="Q173" s="570"/>
      <c r="R173" s="570"/>
      <c r="S173" s="571"/>
    </row>
    <row r="174" spans="1:19" s="572" customFormat="1" x14ac:dyDescent="0.25">
      <c r="A174" s="613">
        <v>2019</v>
      </c>
      <c r="B174" s="564"/>
      <c r="C174" s="563"/>
      <c r="D174" s="563"/>
      <c r="E174" s="563"/>
      <c r="F174" s="563"/>
      <c r="G174" s="563"/>
      <c r="H174" s="563"/>
      <c r="I174" s="563"/>
      <c r="J174" s="11"/>
      <c r="K174" s="598"/>
      <c r="L174" s="112"/>
      <c r="M174" s="112"/>
      <c r="N174" s="112"/>
      <c r="O174" s="112"/>
      <c r="P174" s="112"/>
      <c r="Q174" s="112"/>
      <c r="R174" s="112"/>
      <c r="S174" s="599"/>
    </row>
    <row r="175" spans="1:19" s="572" customFormat="1" ht="39.6" x14ac:dyDescent="0.25">
      <c r="A175" s="31" t="str">
        <f>'Equipment Trans Talega Seg 4'!A2</f>
        <v>Segment 4: Talega Hub 138-kV and 69-kV Transmission Lines</v>
      </c>
      <c r="B175" s="16" t="s">
        <v>18</v>
      </c>
      <c r="C175" s="16" t="s">
        <v>19</v>
      </c>
      <c r="D175" s="16" t="s">
        <v>20</v>
      </c>
      <c r="E175" s="16" t="s">
        <v>21</v>
      </c>
      <c r="F175" s="16" t="s">
        <v>22</v>
      </c>
      <c r="G175" s="16" t="s">
        <v>23</v>
      </c>
      <c r="H175" s="17" t="s">
        <v>24</v>
      </c>
      <c r="I175" s="16" t="s">
        <v>25</v>
      </c>
      <c r="J175" s="16" t="s">
        <v>26</v>
      </c>
      <c r="K175" s="18" t="s">
        <v>27</v>
      </c>
      <c r="L175" s="18" t="s">
        <v>28</v>
      </c>
      <c r="M175" s="18" t="s">
        <v>29</v>
      </c>
      <c r="N175" s="18" t="s">
        <v>30</v>
      </c>
      <c r="O175" s="18" t="s">
        <v>31</v>
      </c>
      <c r="P175" s="18" t="s">
        <v>32</v>
      </c>
      <c r="Q175" s="17" t="s">
        <v>33</v>
      </c>
      <c r="R175" s="18" t="s">
        <v>34</v>
      </c>
      <c r="S175" s="18" t="s">
        <v>35</v>
      </c>
    </row>
    <row r="176" spans="1:19" s="572" customFormat="1" x14ac:dyDescent="0.25">
      <c r="A176" s="137" t="s">
        <v>75</v>
      </c>
      <c r="B176" s="600"/>
      <c r="C176" s="145"/>
      <c r="D176" s="145"/>
      <c r="E176" s="145"/>
      <c r="F176" s="145"/>
      <c r="G176" s="145"/>
      <c r="H176" s="145"/>
      <c r="I176" s="145"/>
      <c r="J176" s="31"/>
      <c r="K176" s="593"/>
      <c r="L176" s="145"/>
      <c r="M176" s="145"/>
      <c r="N176" s="145"/>
      <c r="O176" s="145"/>
      <c r="P176" s="145"/>
      <c r="Q176" s="145"/>
      <c r="R176" s="145"/>
      <c r="S176" s="594"/>
    </row>
    <row r="177" spans="1:19" s="572" customFormat="1" x14ac:dyDescent="0.25">
      <c r="A177" s="137" t="s">
        <v>119</v>
      </c>
      <c r="B177" s="587">
        <f>0.625*'Equipment Trans Talega Seg 4'!Q20</f>
        <v>5.9315854345293486</v>
      </c>
      <c r="C177" s="587">
        <f>0.625*'Equipment Trans Talega Seg 4'!R20</f>
        <v>35.99652672082199</v>
      </c>
      <c r="D177" s="587">
        <f>0.625*'Equipment Trans Talega Seg 4'!S20</f>
        <v>35.201237478052015</v>
      </c>
      <c r="E177" s="587">
        <f>0.625*'Equipment Trans Talega Seg 4'!T20</f>
        <v>0.14005977752500484</v>
      </c>
      <c r="F177" s="587">
        <f>0.625*'Equipment Trans Talega Seg 4'!U20</f>
        <v>1.3680330533866902</v>
      </c>
      <c r="G177" s="587">
        <f>0.625*'Equipment Trans Talega Seg 4'!V20</f>
        <v>1.2175494175141541</v>
      </c>
      <c r="H177" s="587">
        <f>0.625*'Equipment Trans Talega Seg 4'!W20</f>
        <v>13094.507677236697</v>
      </c>
      <c r="I177" s="587">
        <f>0.625*'Equipment Trans Talega Seg 4'!X20</f>
        <v>0.76555293851896178</v>
      </c>
      <c r="J177" s="587">
        <f>0.625*'Equipment Trans Talega Seg 4'!Y20</f>
        <v>3.3441175604149418</v>
      </c>
      <c r="K177" s="587">
        <f>0.625*'Equipment Trans Talega Seg 4'!E66</f>
        <v>0.11042855393579198</v>
      </c>
      <c r="L177" s="587">
        <f>0.625*'Equipment Trans Talega Seg 4'!F66</f>
        <v>0.63978996682580347</v>
      </c>
      <c r="M177" s="587">
        <f>0.625*'Equipment Trans Talega Seg 4'!G66</f>
        <v>0.65155467645623699</v>
      </c>
      <c r="N177" s="587">
        <f>0.625*'Equipment Trans Talega Seg 4'!H66</f>
        <v>2.6560342755560322E-3</v>
      </c>
      <c r="O177" s="587">
        <f>0.625*'Equipment Trans Talega Seg 4'!I66</f>
        <v>2.4690045661307225E-2</v>
      </c>
      <c r="P177" s="587">
        <f>0.625*'Equipment Trans Talega Seg 4'!J66</f>
        <v>2.1974140638563427E-2</v>
      </c>
      <c r="Q177" s="587">
        <f>0.625*'Equipment Trans Talega Seg 4'!K66</f>
        <v>247.87185038478947</v>
      </c>
      <c r="R177" s="587">
        <f>0.625*'Equipment Trans Talega Seg 4'!L66</f>
        <v>1.4255457568135472E-2</v>
      </c>
      <c r="S177" s="587">
        <f>0.625*'Equipment Trans Talega Seg 4'!M66</f>
        <v>6.1897694263342511E-2</v>
      </c>
    </row>
    <row r="178" spans="1:19" s="572" customFormat="1" x14ac:dyDescent="0.25">
      <c r="A178" s="137" t="s">
        <v>120</v>
      </c>
      <c r="B178" s="587">
        <f>0.98275*WorkerTrips!I114</f>
        <v>0.83950060628465339</v>
      </c>
      <c r="C178" s="587">
        <f>0.98275*WorkerTrips!G114</f>
        <v>7.1639307662860201</v>
      </c>
      <c r="D178" s="587">
        <f>0.98275*WorkerTrips!H114</f>
        <v>0.64113071740246597</v>
      </c>
      <c r="E178" s="587">
        <f>0.98275*WorkerTrips!J114</f>
        <v>1.318628153042517E-2</v>
      </c>
      <c r="F178" s="586">
        <f>0.98275*WorkerTrips!K114+0.98275*WorkerTrips!M114</f>
        <v>0.29962583650721236</v>
      </c>
      <c r="G178" s="586">
        <f>0.98275*WorkerTrips!L114+0.98275*WorkerTrips!N114</f>
        <v>0.12653685258380493</v>
      </c>
      <c r="H178" s="586">
        <f>0.98275*WorkerTrips!O114</f>
        <v>865.48591283297822</v>
      </c>
      <c r="I178" s="586">
        <f>0.98275*WorkerTrips!P114</f>
        <v>5.5965235560304562E-2</v>
      </c>
      <c r="J178" s="586">
        <f>0.98275*WorkerTrips!Q114</f>
        <v>0.10203591424284426</v>
      </c>
      <c r="K178" s="590">
        <f>0.98275*WorkerTrips!U114</f>
        <v>2.7703520007393564E-2</v>
      </c>
      <c r="L178" s="590">
        <f>0.98275*WorkerTrips!S114</f>
        <v>0.23640971528743868</v>
      </c>
      <c r="M178" s="590">
        <f>0.98275*WorkerTrips!T114</f>
        <v>2.1157313674281381E-2</v>
      </c>
      <c r="N178" s="590">
        <f>0.98275*WorkerTrips!V114</f>
        <v>4.3514729050403065E-4</v>
      </c>
      <c r="O178" s="591">
        <f>0.98275*WorkerTrips!W114+0.98275*WorkerTrips!Y114</f>
        <v>9.8876526047380099E-3</v>
      </c>
      <c r="P178" s="591">
        <f>0.98275*WorkerTrips!X114+0.98275*WorkerTrips!Z114</f>
        <v>4.1757161352655621E-3</v>
      </c>
      <c r="Q178" s="591">
        <f>0.98275*WorkerTrips!AA114</f>
        <v>28.561035123488281</v>
      </c>
      <c r="R178" s="591">
        <f>0.98275*WorkerTrips!AB114</f>
        <v>1.8468527734900504E-3</v>
      </c>
      <c r="S178" s="591">
        <f>0.98275*WorkerTrips!AC114</f>
        <v>3.3671851700138606E-3</v>
      </c>
    </row>
    <row r="179" spans="1:19" s="572" customFormat="1" x14ac:dyDescent="0.25">
      <c r="A179" s="137" t="s">
        <v>121</v>
      </c>
      <c r="B179" s="587">
        <f>0.98275*'Construction Trucks'!V13</f>
        <v>0.6175666897241926</v>
      </c>
      <c r="C179" s="587">
        <f>0.98275*'Construction Trucks'!T13</f>
        <v>2.6014657250523947</v>
      </c>
      <c r="D179" s="587">
        <f>0.98275*'Construction Trucks'!U13</f>
        <v>7.669580114722133</v>
      </c>
      <c r="E179" s="587">
        <f>0.98275*'Construction Trucks'!W13</f>
        <v>2.8064191544251493E-2</v>
      </c>
      <c r="F179" s="586">
        <f>0.98275*'Construction Trucks'!X13+0.98275*'Construction Trucks'!Z13</f>
        <v>0.59976944683715216</v>
      </c>
      <c r="G179" s="586">
        <f>0.98275*'Construction Trucks'!Y13+0.98275*'Construction Trucks'!AA13</f>
        <v>0.30719054290138437</v>
      </c>
      <c r="H179" s="586">
        <f>0.98275*'Construction Trucks'!AB13</f>
        <v>4106.0381802507727</v>
      </c>
      <c r="I179" s="586">
        <f>0.98275*'Construction Trucks'!AC13</f>
        <v>0.23463133973406985</v>
      </c>
      <c r="J179" s="586">
        <f>0.98275*'Construction Trucks'!AD13</f>
        <v>0.10518027402530378</v>
      </c>
      <c r="K179" s="592">
        <f>0.98275*'Construction Trucks'!AH13</f>
        <v>1.2105286111814013E-2</v>
      </c>
      <c r="L179" s="592">
        <f>0.98275*'Construction Trucks'!AF13</f>
        <v>5.3522979686584718E-2</v>
      </c>
      <c r="M179" s="592">
        <f>0.98275*'Construction Trucks'!AG13</f>
        <v>0.13462627268678887</v>
      </c>
      <c r="N179" s="592">
        <f>0.98275*'Construction Trucks'!AI13</f>
        <v>5.2236665976462674E-4</v>
      </c>
      <c r="O179" s="586">
        <f>0.98275*'Construction Trucks'!AJ13+0.98275*'Construction Trucks'!AL13</f>
        <v>1.3675358275425934E-2</v>
      </c>
      <c r="P179" s="586">
        <f>0.98275*'Construction Trucks'!AK13+0.98275*'Construction Trucks'!AM13</f>
        <v>7.3327148536086375E-3</v>
      </c>
      <c r="Q179" s="586">
        <f>0.98275*'Construction Trucks'!AN13</f>
        <v>71.508318880632714</v>
      </c>
      <c r="R179" s="586">
        <f>0.98275*'Construction Trucks'!AO13</f>
        <v>4.0861998657959952E-3</v>
      </c>
      <c r="S179" s="586">
        <f>0.98275*'Construction Trucks'!AP13</f>
        <v>1.8317570964462879E-3</v>
      </c>
    </row>
    <row r="180" spans="1:19" s="572" customFormat="1" x14ac:dyDescent="0.25">
      <c r="A180" s="137" t="s">
        <v>122</v>
      </c>
      <c r="B180" s="588"/>
      <c r="C180" s="589"/>
      <c r="D180" s="589"/>
      <c r="E180" s="589"/>
      <c r="F180" s="586">
        <f>0.625*'Fugitive Dust Transmission'!$C$150</f>
        <v>56.107001315396147</v>
      </c>
      <c r="G180" s="586">
        <f>0.625*'Fugitive Dust Transmission'!$D$150</f>
        <v>16.742847446195331</v>
      </c>
      <c r="H180" s="589"/>
      <c r="I180" s="589"/>
      <c r="J180" s="588"/>
      <c r="K180" s="593"/>
      <c r="L180" s="145"/>
      <c r="M180" s="145"/>
      <c r="N180" s="145"/>
      <c r="O180" s="215">
        <f>0.625*'Fugitive Dust Transmission'!C152</f>
        <v>4.3202391012855026</v>
      </c>
      <c r="P180" s="215">
        <f>0.625*'Fugitive Dust Transmission'!D152</f>
        <v>1.2891992533570404</v>
      </c>
      <c r="Q180" s="145"/>
      <c r="R180" s="145"/>
      <c r="S180" s="594"/>
    </row>
    <row r="181" spans="1:19" s="572" customFormat="1" x14ac:dyDescent="0.25">
      <c r="A181" s="12" t="s">
        <v>123</v>
      </c>
      <c r="B181" s="588">
        <f>SUM(B177:B180)</f>
        <v>7.3886527305381948</v>
      </c>
      <c r="C181" s="588">
        <f t="shared" ref="C181" si="263">SUM(C177:C180)</f>
        <v>45.761923212160404</v>
      </c>
      <c r="D181" s="588">
        <f t="shared" ref="D181" si="264">SUM(D177:D180)</f>
        <v>43.511948310176614</v>
      </c>
      <c r="E181" s="588">
        <f t="shared" ref="E181" si="265">SUM(E177:E180)</f>
        <v>0.18131025059968151</v>
      </c>
      <c r="F181" s="588">
        <f t="shared" ref="F181" si="266">SUM(F177:F180)</f>
        <v>58.374429652127205</v>
      </c>
      <c r="G181" s="588">
        <f t="shared" ref="G181" si="267">SUM(G177:G180)</f>
        <v>18.394124259194673</v>
      </c>
      <c r="H181" s="588">
        <f t="shared" ref="H181" si="268">SUM(H177:H180)</f>
        <v>18066.031770320449</v>
      </c>
      <c r="I181" s="588">
        <f t="shared" ref="I181" si="269">SUM(I177:I180)</f>
        <v>1.0561495138133361</v>
      </c>
      <c r="J181" s="588">
        <f t="shared" ref="J181" si="270">SUM(J177:J180)</f>
        <v>3.5513337486830898</v>
      </c>
      <c r="K181" s="588">
        <f t="shared" ref="K181" si="271">SUM(K177:K180)</f>
        <v>0.15023736005499957</v>
      </c>
      <c r="L181" s="588">
        <f t="shared" ref="L181" si="272">SUM(L177:L180)</f>
        <v>0.92972266179982688</v>
      </c>
      <c r="M181" s="588">
        <f t="shared" ref="M181" si="273">SUM(M177:M180)</f>
        <v>0.80733826281730725</v>
      </c>
      <c r="N181" s="588">
        <f t="shared" ref="N181" si="274">SUM(N177:N180)</f>
        <v>3.6135482258246895E-3</v>
      </c>
      <c r="O181" s="588">
        <f t="shared" ref="O181" si="275">SUM(O177:O180)</f>
        <v>4.3684921578269735</v>
      </c>
      <c r="P181" s="588">
        <f t="shared" ref="P181" si="276">SUM(P177:P180)</f>
        <v>1.3226818249844781</v>
      </c>
      <c r="Q181" s="588">
        <f t="shared" ref="Q181" si="277">SUM(Q177:Q180)</f>
        <v>347.94120438891048</v>
      </c>
      <c r="R181" s="588">
        <f t="shared" ref="R181" si="278">SUM(R177:R180)</f>
        <v>2.0188510207421517E-2</v>
      </c>
      <c r="S181" s="588">
        <f t="shared" ref="S181" si="279">SUM(S177:S180)</f>
        <v>6.7096636529802661E-2</v>
      </c>
    </row>
    <row r="182" spans="1:19" s="572" customFormat="1" x14ac:dyDescent="0.25">
      <c r="A182" s="614" t="s">
        <v>124</v>
      </c>
      <c r="B182" s="216">
        <v>75</v>
      </c>
      <c r="C182" s="216">
        <v>550</v>
      </c>
      <c r="D182" s="216">
        <v>100</v>
      </c>
      <c r="E182" s="216">
        <v>150</v>
      </c>
      <c r="F182" s="216">
        <v>150</v>
      </c>
      <c r="G182" s="216">
        <v>55</v>
      </c>
      <c r="H182" s="216" t="s">
        <v>126</v>
      </c>
      <c r="I182" s="216" t="s">
        <v>126</v>
      </c>
      <c r="J182" s="216" t="s">
        <v>126</v>
      </c>
      <c r="K182" s="593"/>
      <c r="L182" s="145"/>
      <c r="M182" s="145"/>
      <c r="N182" s="145"/>
      <c r="O182" s="145"/>
      <c r="P182" s="145"/>
      <c r="Q182" s="145"/>
      <c r="R182" s="145"/>
      <c r="S182" s="594"/>
    </row>
    <row r="183" spans="1:19" s="572" customFormat="1" x14ac:dyDescent="0.25">
      <c r="A183" s="137" t="s">
        <v>125</v>
      </c>
      <c r="B183" s="27" t="str">
        <f>IF(B181&gt;B182,"Yes","No")</f>
        <v>No</v>
      </c>
      <c r="C183" s="27" t="str">
        <f t="shared" ref="C183:G183" si="280">IF(C181&gt;C182,"Yes","No")</f>
        <v>No</v>
      </c>
      <c r="D183" s="27" t="str">
        <f t="shared" si="280"/>
        <v>No</v>
      </c>
      <c r="E183" s="27" t="str">
        <f t="shared" si="280"/>
        <v>No</v>
      </c>
      <c r="F183" s="27" t="str">
        <f t="shared" si="280"/>
        <v>No</v>
      </c>
      <c r="G183" s="27" t="str">
        <f t="shared" si="280"/>
        <v>No</v>
      </c>
      <c r="H183" s="27" t="s">
        <v>126</v>
      </c>
      <c r="I183" s="27" t="s">
        <v>126</v>
      </c>
      <c r="J183" s="27" t="s">
        <v>126</v>
      </c>
      <c r="K183" s="593"/>
      <c r="L183" s="145"/>
      <c r="M183" s="145"/>
      <c r="N183" s="145"/>
      <c r="O183" s="145"/>
      <c r="P183" s="145"/>
      <c r="Q183" s="145"/>
      <c r="R183" s="145"/>
      <c r="S183" s="594"/>
    </row>
    <row r="184" spans="1:19" s="572" customFormat="1" x14ac:dyDescent="0.25">
      <c r="A184" s="613"/>
      <c r="B184" s="564"/>
      <c r="C184" s="563"/>
      <c r="D184" s="563"/>
      <c r="E184" s="563"/>
      <c r="F184" s="563"/>
      <c r="G184" s="563"/>
      <c r="H184" s="563"/>
      <c r="I184" s="563"/>
      <c r="J184" s="11"/>
      <c r="K184" s="565"/>
      <c r="L184" s="570"/>
      <c r="M184" s="570"/>
      <c r="N184" s="570"/>
      <c r="O184" s="570"/>
      <c r="P184" s="570"/>
      <c r="Q184" s="570"/>
      <c r="R184" s="570"/>
      <c r="S184" s="571"/>
    </row>
    <row r="185" spans="1:19" s="572" customFormat="1" x14ac:dyDescent="0.25">
      <c r="A185" s="613"/>
      <c r="B185" s="564"/>
      <c r="C185" s="563"/>
      <c r="D185" s="563"/>
      <c r="E185" s="563"/>
      <c r="F185" s="563"/>
      <c r="G185" s="563"/>
      <c r="H185" s="563"/>
      <c r="I185" s="563"/>
      <c r="J185" s="11"/>
      <c r="K185" s="565"/>
      <c r="L185" s="570"/>
      <c r="M185" s="570"/>
      <c r="N185" s="570"/>
      <c r="O185" s="570"/>
      <c r="P185" s="570"/>
      <c r="Q185" s="570"/>
      <c r="R185" s="570"/>
      <c r="S185" s="571"/>
    </row>
    <row r="186" spans="1:19" s="572" customFormat="1" x14ac:dyDescent="0.25">
      <c r="A186" s="613">
        <v>2020</v>
      </c>
      <c r="B186" s="564"/>
      <c r="C186" s="563"/>
      <c r="D186" s="563"/>
      <c r="E186" s="563"/>
      <c r="F186" s="563"/>
      <c r="G186" s="563"/>
      <c r="H186" s="563"/>
      <c r="I186" s="563"/>
      <c r="J186" s="11"/>
      <c r="K186" s="565"/>
      <c r="L186" s="570"/>
      <c r="M186" s="570"/>
      <c r="N186" s="570"/>
      <c r="O186" s="570"/>
      <c r="P186" s="570"/>
      <c r="Q186" s="570"/>
      <c r="R186" s="570"/>
      <c r="S186" s="571"/>
    </row>
    <row r="187" spans="1:19" s="572" customFormat="1" ht="39.6" x14ac:dyDescent="0.25">
      <c r="A187" s="31" t="str">
        <f>'Equipment Trans Talega Seg 4'!A2</f>
        <v>Segment 4: Talega Hub 138-kV and 69-kV Transmission Lines</v>
      </c>
      <c r="B187" s="16" t="s">
        <v>18</v>
      </c>
      <c r="C187" s="16" t="s">
        <v>19</v>
      </c>
      <c r="D187" s="16" t="s">
        <v>20</v>
      </c>
      <c r="E187" s="16" t="s">
        <v>21</v>
      </c>
      <c r="F187" s="16" t="s">
        <v>22</v>
      </c>
      <c r="G187" s="16" t="s">
        <v>23</v>
      </c>
      <c r="H187" s="17" t="s">
        <v>24</v>
      </c>
      <c r="I187" s="16" t="s">
        <v>25</v>
      </c>
      <c r="J187" s="16" t="s">
        <v>26</v>
      </c>
      <c r="K187" s="18" t="s">
        <v>27</v>
      </c>
      <c r="L187" s="18" t="s">
        <v>28</v>
      </c>
      <c r="M187" s="18" t="s">
        <v>29</v>
      </c>
      <c r="N187" s="18" t="s">
        <v>30</v>
      </c>
      <c r="O187" s="18" t="s">
        <v>31</v>
      </c>
      <c r="P187" s="18" t="s">
        <v>32</v>
      </c>
      <c r="Q187" s="17" t="s">
        <v>33</v>
      </c>
      <c r="R187" s="18" t="s">
        <v>34</v>
      </c>
      <c r="S187" s="18" t="s">
        <v>35</v>
      </c>
    </row>
    <row r="188" spans="1:19" s="572" customFormat="1" x14ac:dyDescent="0.25">
      <c r="A188" s="137" t="s">
        <v>75</v>
      </c>
      <c r="B188" s="600"/>
      <c r="C188" s="145"/>
      <c r="D188" s="145"/>
      <c r="E188" s="145"/>
      <c r="F188" s="145"/>
      <c r="G188" s="145"/>
      <c r="H188" s="145"/>
      <c r="I188" s="145"/>
      <c r="J188" s="31"/>
      <c r="K188" s="593"/>
      <c r="L188" s="145"/>
      <c r="M188" s="145"/>
      <c r="N188" s="145"/>
      <c r="O188" s="145"/>
      <c r="P188" s="145"/>
      <c r="Q188" s="145"/>
      <c r="R188" s="145"/>
      <c r="S188" s="594"/>
    </row>
    <row r="189" spans="1:19" s="572" customFormat="1" x14ac:dyDescent="0.25">
      <c r="A189" s="137" t="s">
        <v>119</v>
      </c>
      <c r="B189" s="587">
        <f>0.622*'Equipment Trans Talega Seg 4'!Q50</f>
        <v>3.3214148452018319</v>
      </c>
      <c r="C189" s="587">
        <f>0.622*'Equipment Trans Talega Seg 4'!R50</f>
        <v>31.041363756464463</v>
      </c>
      <c r="D189" s="587">
        <f>0.622*'Equipment Trans Talega Seg 4'!S50</f>
        <v>20.205235126264846</v>
      </c>
      <c r="E189" s="587">
        <f>0.622*'Equipment Trans Talega Seg 4'!T50</f>
        <v>0.10012944926863133</v>
      </c>
      <c r="F189" s="587">
        <f>0.622*'Equipment Trans Talega Seg 4'!U50</f>
        <v>0.76186400390422049</v>
      </c>
      <c r="G189" s="587">
        <f>0.622*'Equipment Trans Talega Seg 4'!V50</f>
        <v>0.67805896347475625</v>
      </c>
      <c r="H189" s="587">
        <f>0.622*'Equipment Trans Talega Seg 4'!W50</f>
        <v>9488.1656187084682</v>
      </c>
      <c r="I189" s="587">
        <f>0.622*'Equipment Trans Talega Seg 4'!X50</f>
        <v>0.46224515386149384</v>
      </c>
      <c r="J189" s="587">
        <f>0.622*'Equipment Trans Talega Seg 4'!Y50</f>
        <v>1.9194973369951605</v>
      </c>
      <c r="K189" s="587">
        <f>0.622*'Equipment Trans Talega Seg 4'!E96</f>
        <v>0.13259902842651797</v>
      </c>
      <c r="L189" s="587">
        <f>0.622*'Equipment Trans Talega Seg 4'!F96</f>
        <v>1.2697138876220362</v>
      </c>
      <c r="M189" s="587">
        <f>0.622*'Equipment Trans Talega Seg 4'!G96</f>
        <v>0.85015771890880432</v>
      </c>
      <c r="N189" s="587">
        <f>0.622*'Equipment Trans Talega Seg 4'!H96</f>
        <v>3.8353221016049007E-3</v>
      </c>
      <c r="O189" s="587">
        <f>0.622*'Equipment Trans Talega Seg 4'!I96</f>
        <v>3.1605342023002865E-2</v>
      </c>
      <c r="P189" s="587">
        <f>0.622*'Equipment Trans Talega Seg 4'!J96</f>
        <v>2.8128754400472557E-2</v>
      </c>
      <c r="Q189" s="587">
        <f>0.622*'Equipment Trans Talega Seg 4'!K96</f>
        <v>360.79804361967496</v>
      </c>
      <c r="R189" s="587">
        <f>0.622*'Equipment Trans Talega Seg 4'!L96</f>
        <v>1.8706118915629764E-2</v>
      </c>
      <c r="S189" s="587">
        <f>0.622*'Equipment Trans Talega Seg 4'!M96</f>
        <v>8.0764983296336426E-2</v>
      </c>
    </row>
    <row r="190" spans="1:19" s="572" customFormat="1" x14ac:dyDescent="0.25">
      <c r="A190" s="137" t="s">
        <v>120</v>
      </c>
      <c r="B190" s="587">
        <f>0.98275*WorkerTrips!I114</f>
        <v>0.83950060628465339</v>
      </c>
      <c r="C190" s="587">
        <f>0.98275*WorkerTrips!G114</f>
        <v>7.1639307662860201</v>
      </c>
      <c r="D190" s="587">
        <f>0.98275*WorkerTrips!H114</f>
        <v>0.64113071740246597</v>
      </c>
      <c r="E190" s="587">
        <f>0.98275*WorkerTrips!J114</f>
        <v>1.318628153042517E-2</v>
      </c>
      <c r="F190" s="586">
        <f>0.98275*WorkerTrips!K114+0.98275*WorkerTrips!M114</f>
        <v>0.29962583650721236</v>
      </c>
      <c r="G190" s="586">
        <f>0.98275*WorkerTrips!L114+0.98275*WorkerTrips!N114</f>
        <v>0.12653685258380493</v>
      </c>
      <c r="H190" s="586">
        <f>0.98275*WorkerTrips!O114</f>
        <v>865.48591283297822</v>
      </c>
      <c r="I190" s="586">
        <f>0.98275*WorkerTrips!P114</f>
        <v>5.5965235560304562E-2</v>
      </c>
      <c r="J190" s="586">
        <f>0.98275*WorkerTrips!Q114</f>
        <v>0.10203591424284426</v>
      </c>
      <c r="K190" s="590">
        <f>0.98275*WorkerTrips!U114</f>
        <v>2.7703520007393564E-2</v>
      </c>
      <c r="L190" s="590">
        <f>0.98275*WorkerTrips!S114</f>
        <v>0.23640971528743868</v>
      </c>
      <c r="M190" s="590">
        <f>0.98275*WorkerTrips!T114</f>
        <v>2.1157313674281381E-2</v>
      </c>
      <c r="N190" s="590">
        <f>0.98275*WorkerTrips!V114</f>
        <v>4.3514729050403065E-4</v>
      </c>
      <c r="O190" s="591">
        <f>0.98275*WorkerTrips!W114+0.98275*WorkerTrips!Y114</f>
        <v>9.8876526047380099E-3</v>
      </c>
      <c r="P190" s="591">
        <f>0.98275*WorkerTrips!X114+0.98275*WorkerTrips!Z114</f>
        <v>4.1757161352655621E-3</v>
      </c>
      <c r="Q190" s="591">
        <f>0.98275*WorkerTrips!AA114</f>
        <v>28.561035123488281</v>
      </c>
      <c r="R190" s="591">
        <f>0.98275*WorkerTrips!AB114</f>
        <v>1.8468527734900504E-3</v>
      </c>
      <c r="S190" s="591">
        <f>0.98275*WorkerTrips!AC114</f>
        <v>3.3671851700138606E-3</v>
      </c>
    </row>
    <row r="191" spans="1:19" s="572" customFormat="1" x14ac:dyDescent="0.25">
      <c r="A191" s="137" t="s">
        <v>121</v>
      </c>
      <c r="B191" s="587">
        <f>0.98275*'Construction Trucks'!V20</f>
        <v>0.59926184667931082</v>
      </c>
      <c r="C191" s="587">
        <f>0.98275*'Construction Trucks'!T20</f>
        <v>2.5188268315082194</v>
      </c>
      <c r="D191" s="587">
        <f>0.98275*'Construction Trucks'!U20</f>
        <v>6.8276943206763132</v>
      </c>
      <c r="E191" s="587">
        <f>0.98275*'Construction Trucks'!W20</f>
        <v>2.8064191544251493E-2</v>
      </c>
      <c r="F191" s="586">
        <f>0.98275*'Construction Trucks'!X20+0.98275*'Construction Trucks'!Z20</f>
        <v>0.59093978032933292</v>
      </c>
      <c r="G191" s="586">
        <f>0.98275*'Construction Trucks'!Y20+0.98275*'Construction Trucks'!AA20</f>
        <v>0.29906725049330762</v>
      </c>
      <c r="H191" s="586">
        <f>0.98275*'Construction Trucks'!AB20</f>
        <v>4009.2360270183858</v>
      </c>
      <c r="I191" s="586">
        <f>0.98275*'Construction Trucks'!AC20</f>
        <v>0.22909977429191164</v>
      </c>
      <c r="J191" s="586">
        <f>0.98275*'Construction Trucks'!AD20</f>
        <v>0.10270059006810298</v>
      </c>
      <c r="K191" s="592">
        <f>0.98275*'Construction Trucks'!AH20</f>
        <v>1.1558732705364061E-2</v>
      </c>
      <c r="L191" s="592">
        <f>0.98275*'Construction Trucks'!AF20</f>
        <v>5.0975719641048543E-2</v>
      </c>
      <c r="M191" s="592">
        <f>0.98275*'Construction Trucks'!AG20</f>
        <v>0.12053639145002192</v>
      </c>
      <c r="N191" s="592">
        <f>0.98275*'Construction Trucks'!AI20</f>
        <v>5.2236665976462674E-4</v>
      </c>
      <c r="O191" s="586">
        <f>0.98275*'Construction Trucks'!AJ20+0.98275*'Construction Trucks'!AL20</f>
        <v>1.3299987362089484E-2</v>
      </c>
      <c r="P191" s="586">
        <f>0.98275*'Construction Trucks'!AK20+0.98275*'Construction Trucks'!AM20</f>
        <v>6.9873736561905254E-3</v>
      </c>
      <c r="Q191" s="586">
        <f>0.98275*'Construction Trucks'!AN20</f>
        <v>69.720578153598154</v>
      </c>
      <c r="R191" s="586">
        <f>0.98275*'Construction Trucks'!AO20</f>
        <v>3.9840429974310598E-3</v>
      </c>
      <c r="S191" s="586">
        <f>0.98275*'Construction Trucks'!AP20</f>
        <v>1.78596232998257E-3</v>
      </c>
    </row>
    <row r="192" spans="1:19" s="612" customFormat="1" x14ac:dyDescent="0.25">
      <c r="A192" s="137" t="s">
        <v>655</v>
      </c>
      <c r="B192" s="615">
        <f>Helicopters!K$3</f>
        <v>12.830799050242181</v>
      </c>
      <c r="C192" s="587">
        <f>Helicopters!M$3</f>
        <v>66.887438003316817</v>
      </c>
      <c r="D192" s="587">
        <f>Helicopters!J$3</f>
        <v>66.887438003316817</v>
      </c>
      <c r="E192" s="587">
        <f>Helicopters!N$3</f>
        <v>12.314722567340549</v>
      </c>
      <c r="F192" s="586">
        <f>Helicopters!L$3</f>
        <v>22.109244879957675</v>
      </c>
      <c r="G192" s="586">
        <f>Helicopters!L$3</f>
        <v>22.109244879957675</v>
      </c>
      <c r="H192" s="586">
        <f>Helicopters!O$3</f>
        <v>30084.642801206399</v>
      </c>
      <c r="I192" s="215">
        <v>0</v>
      </c>
      <c r="J192" s="215">
        <v>0</v>
      </c>
      <c r="K192" s="592">
        <f>Helicopters!Q$3</f>
        <v>0.12830799050242181</v>
      </c>
      <c r="L192" s="592">
        <f>Helicopters!S$3</f>
        <v>0.66887438003316801</v>
      </c>
      <c r="M192" s="592">
        <f>Helicopters!P$3</f>
        <v>0.66887438003316801</v>
      </c>
      <c r="N192" s="592">
        <f>Helicopters!T$3</f>
        <v>0.1231472256734055</v>
      </c>
      <c r="O192" s="592">
        <f>Helicopters!R$3</f>
        <v>0.22109244879957674</v>
      </c>
      <c r="P192" s="592">
        <f>Helicopters!R$3</f>
        <v>0.22109244879957674</v>
      </c>
      <c r="Q192" s="592">
        <f>Helicopters!U$3</f>
        <v>300.846428012064</v>
      </c>
      <c r="R192" s="592">
        <v>0</v>
      </c>
      <c r="S192" s="586">
        <v>0</v>
      </c>
    </row>
    <row r="193" spans="1:19" s="572" customFormat="1" x14ac:dyDescent="0.25">
      <c r="A193" s="137" t="s">
        <v>122</v>
      </c>
      <c r="B193" s="588"/>
      <c r="C193" s="589"/>
      <c r="D193" s="589"/>
      <c r="E193" s="589"/>
      <c r="F193" s="586">
        <f>0.622*'Fugitive Dust Transmission'!$C$150</f>
        <v>55.837687709082239</v>
      </c>
      <c r="G193" s="586">
        <f>0.622*'Fugitive Dust Transmission'!$D$150</f>
        <v>16.662481778453593</v>
      </c>
      <c r="H193" s="589"/>
      <c r="I193" s="589"/>
      <c r="J193" s="588"/>
      <c r="K193" s="593"/>
      <c r="L193" s="145"/>
      <c r="M193" s="145"/>
      <c r="N193" s="145"/>
      <c r="O193" s="215">
        <f>0.622*'Fugitive Dust Transmission'!C152</f>
        <v>4.2995019535993322</v>
      </c>
      <c r="P193" s="215">
        <f>0.622*'Fugitive Dust Transmission'!D152</f>
        <v>1.2830110969409265</v>
      </c>
      <c r="Q193" s="145"/>
      <c r="R193" s="145"/>
      <c r="S193" s="594"/>
    </row>
    <row r="194" spans="1:19" s="572" customFormat="1" x14ac:dyDescent="0.25">
      <c r="A194" s="12" t="s">
        <v>123</v>
      </c>
      <c r="B194" s="588">
        <f>SUM(B189:B193)</f>
        <v>17.590976348407978</v>
      </c>
      <c r="C194" s="588">
        <f t="shared" ref="C194" si="281">SUM(C189:C193)</f>
        <v>107.61155935757552</v>
      </c>
      <c r="D194" s="588">
        <f t="shared" ref="D194" si="282">SUM(D189:D193)</f>
        <v>94.561498167660432</v>
      </c>
      <c r="E194" s="588">
        <f t="shared" ref="E194" si="283">SUM(E189:E193)</f>
        <v>12.456102489683857</v>
      </c>
      <c r="F194" s="588">
        <f t="shared" ref="F194" si="284">SUM(F189:F193)</f>
        <v>79.599362209780679</v>
      </c>
      <c r="G194" s="588">
        <f t="shared" ref="G194" si="285">SUM(G189:G193)</f>
        <v>39.875389724963135</v>
      </c>
      <c r="H194" s="588">
        <f t="shared" ref="H194" si="286">SUM(H189:H193)</f>
        <v>44447.530359766228</v>
      </c>
      <c r="I194" s="588">
        <f t="shared" ref="I194" si="287">SUM(I189:I193)</f>
        <v>0.74731016371371006</v>
      </c>
      <c r="J194" s="588">
        <f t="shared" ref="J194" si="288">SUM(J189:J193)</f>
        <v>2.1242338413061077</v>
      </c>
      <c r="K194" s="588">
        <f t="shared" ref="K194" si="289">SUM(K189:K193)</f>
        <v>0.30016927164169738</v>
      </c>
      <c r="L194" s="588">
        <f t="shared" ref="L194" si="290">SUM(L189:L193)</f>
        <v>2.2259737025836914</v>
      </c>
      <c r="M194" s="588">
        <f t="shared" ref="M194" si="291">SUM(M189:M193)</f>
        <v>1.6607258040662756</v>
      </c>
      <c r="N194" s="588">
        <f t="shared" ref="N194" si="292">SUM(N189:N193)</f>
        <v>0.12794006172527905</v>
      </c>
      <c r="O194" s="588">
        <f t="shared" ref="O194" si="293">SUM(O189:O193)</f>
        <v>4.5753873843887396</v>
      </c>
      <c r="P194" s="588">
        <f t="shared" ref="P194" si="294">SUM(P189:P193)</f>
        <v>1.543395389932432</v>
      </c>
      <c r="Q194" s="588">
        <f t="shared" ref="Q194" si="295">SUM(Q189:Q193)</f>
        <v>759.92608490882549</v>
      </c>
      <c r="R194" s="588">
        <f t="shared" ref="R194" si="296">SUM(R189:R193)</f>
        <v>2.4537014686550875E-2</v>
      </c>
      <c r="S194" s="588">
        <f t="shared" ref="S194" si="297">SUM(S189:S193)</f>
        <v>8.5918130796332856E-2</v>
      </c>
    </row>
    <row r="195" spans="1:19" s="572" customFormat="1" x14ac:dyDescent="0.25">
      <c r="A195" s="614" t="s">
        <v>124</v>
      </c>
      <c r="B195" s="216">
        <v>75</v>
      </c>
      <c r="C195" s="216">
        <v>550</v>
      </c>
      <c r="D195" s="216">
        <v>100</v>
      </c>
      <c r="E195" s="216">
        <v>150</v>
      </c>
      <c r="F195" s="216">
        <v>150</v>
      </c>
      <c r="G195" s="216">
        <v>55</v>
      </c>
      <c r="H195" s="216" t="s">
        <v>126</v>
      </c>
      <c r="I195" s="216" t="s">
        <v>126</v>
      </c>
      <c r="J195" s="216" t="s">
        <v>126</v>
      </c>
      <c r="K195" s="593"/>
      <c r="L195" s="145"/>
      <c r="M195" s="145"/>
      <c r="N195" s="145"/>
      <c r="O195" s="145"/>
      <c r="P195" s="145"/>
      <c r="Q195" s="145"/>
      <c r="R195" s="145"/>
      <c r="S195" s="594"/>
    </row>
    <row r="196" spans="1:19" s="572" customFormat="1" x14ac:dyDescent="0.25">
      <c r="A196" s="137" t="s">
        <v>125</v>
      </c>
      <c r="B196" s="27" t="str">
        <f>IF(B194&gt;B195,"Yes","No")</f>
        <v>No</v>
      </c>
      <c r="C196" s="27" t="str">
        <f t="shared" ref="C196:G196" si="298">IF(C194&gt;C195,"Yes","No")</f>
        <v>No</v>
      </c>
      <c r="D196" s="27" t="str">
        <f t="shared" si="298"/>
        <v>No</v>
      </c>
      <c r="E196" s="27" t="str">
        <f t="shared" si="298"/>
        <v>No</v>
      </c>
      <c r="F196" s="27" t="str">
        <f t="shared" si="298"/>
        <v>No</v>
      </c>
      <c r="G196" s="27" t="str">
        <f t="shared" si="298"/>
        <v>No</v>
      </c>
      <c r="H196" s="27" t="s">
        <v>126</v>
      </c>
      <c r="I196" s="27" t="s">
        <v>126</v>
      </c>
      <c r="J196" s="27" t="s">
        <v>126</v>
      </c>
      <c r="K196" s="593"/>
      <c r="L196" s="145"/>
      <c r="M196" s="145"/>
      <c r="N196" s="145"/>
      <c r="O196" s="145"/>
      <c r="P196" s="145"/>
      <c r="Q196" s="145"/>
      <c r="R196" s="145"/>
      <c r="S196" s="594"/>
    </row>
    <row r="197" spans="1:19" s="572" customFormat="1" x14ac:dyDescent="0.25">
      <c r="A197" s="613"/>
      <c r="B197" s="564"/>
      <c r="C197" s="563"/>
      <c r="D197" s="563"/>
      <c r="E197" s="563"/>
      <c r="F197" s="563"/>
      <c r="G197" s="563"/>
      <c r="H197" s="563"/>
      <c r="I197" s="563"/>
      <c r="J197" s="11"/>
      <c r="K197" s="565"/>
      <c r="L197" s="570"/>
      <c r="M197" s="570"/>
      <c r="N197" s="570"/>
      <c r="O197" s="570"/>
      <c r="P197" s="570"/>
      <c r="Q197" s="570"/>
      <c r="R197" s="570"/>
      <c r="S197" s="571"/>
    </row>
    <row r="198" spans="1:19" s="572" customFormat="1" x14ac:dyDescent="0.25">
      <c r="A198" s="613"/>
      <c r="B198" s="564"/>
      <c r="C198" s="563"/>
      <c r="D198" s="563"/>
      <c r="E198" s="563"/>
      <c r="F198" s="563"/>
      <c r="G198" s="563"/>
      <c r="H198" s="563"/>
      <c r="I198" s="563"/>
      <c r="J198" s="11"/>
      <c r="K198" s="565"/>
      <c r="L198" s="570"/>
      <c r="M198" s="570"/>
      <c r="N198" s="570"/>
      <c r="O198" s="570"/>
      <c r="P198" s="570"/>
      <c r="Q198" s="570"/>
      <c r="R198" s="570"/>
      <c r="S198" s="571"/>
    </row>
  </sheetData>
  <mergeCells count="2">
    <mergeCell ref="B1:I1"/>
    <mergeCell ref="K1:S1"/>
  </mergeCells>
  <pageMargins left="0.7" right="0.7" top="0.75" bottom="0.75" header="0.3" footer="0.3"/>
  <pageSetup scale="42" orientation="landscape" r:id="rId1"/>
  <headerFooter>
    <oddHeader>&amp;CTable A-18
Construction Emission Summary
South Orange County Reliability Project
Transmission Line Construction</oddHeader>
    <oddFooter>&amp;CA-18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2"/>
  <sheetViews>
    <sheetView topLeftCell="A30" workbookViewId="0">
      <selection activeCell="A2" sqref="A2:G60"/>
    </sheetView>
  </sheetViews>
  <sheetFormatPr defaultColWidth="9.109375" defaultRowHeight="13.2" x14ac:dyDescent="0.25"/>
  <cols>
    <col min="1" max="1" width="49.6640625" style="611" customWidth="1"/>
    <col min="2" max="16" width="9.109375" style="611"/>
    <col min="17" max="17" width="9.109375" style="7"/>
    <col min="18" max="16384" width="9.109375" style="611"/>
  </cols>
  <sheetData>
    <row r="1" spans="1:19" x14ac:dyDescent="0.25">
      <c r="A1" s="3" t="s">
        <v>649</v>
      </c>
      <c r="B1" s="622" t="s">
        <v>1</v>
      </c>
      <c r="C1" s="621"/>
      <c r="D1" s="621"/>
      <c r="E1" s="621"/>
      <c r="F1" s="621"/>
      <c r="G1" s="621"/>
      <c r="H1" s="621"/>
      <c r="I1" s="621"/>
      <c r="J1" s="11"/>
      <c r="K1" s="623" t="s">
        <v>2</v>
      </c>
      <c r="L1" s="750"/>
      <c r="M1" s="750"/>
      <c r="N1" s="750"/>
      <c r="O1" s="750"/>
      <c r="P1" s="750"/>
      <c r="Q1" s="750"/>
      <c r="R1" s="750"/>
      <c r="S1" s="751"/>
    </row>
    <row r="2" spans="1:19" x14ac:dyDescent="0.25">
      <c r="A2" s="585">
        <v>2015</v>
      </c>
      <c r="B2" s="603"/>
      <c r="C2" s="602"/>
      <c r="D2" s="602"/>
      <c r="E2" s="602"/>
      <c r="F2" s="602"/>
      <c r="G2" s="602"/>
      <c r="H2" s="602"/>
      <c r="I2" s="602"/>
      <c r="J2" s="11"/>
      <c r="K2" s="604"/>
      <c r="L2" s="609"/>
      <c r="M2" s="609"/>
      <c r="N2" s="609"/>
      <c r="O2" s="609"/>
      <c r="P2" s="609"/>
      <c r="Q2" s="609"/>
      <c r="R2" s="609"/>
      <c r="S2" s="610"/>
    </row>
    <row r="3" spans="1:19" ht="39.6" x14ac:dyDescent="0.25">
      <c r="A3" s="22" t="str">
        <f>'Equipment Trans Talega Seg 4 23'!A2</f>
        <v>Segment 4: Talega Hub/Corridor 230-kV from structure 42 to Talega Substation</v>
      </c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7" t="s">
        <v>24</v>
      </c>
      <c r="I3" s="16" t="s">
        <v>25</v>
      </c>
      <c r="J3" s="16" t="s">
        <v>26</v>
      </c>
      <c r="K3" s="18" t="s">
        <v>27</v>
      </c>
      <c r="L3" s="18" t="s">
        <v>28</v>
      </c>
      <c r="M3" s="18" t="s">
        <v>29</v>
      </c>
      <c r="N3" s="18" t="s">
        <v>30</v>
      </c>
      <c r="O3" s="18" t="s">
        <v>31</v>
      </c>
      <c r="P3" s="18" t="s">
        <v>32</v>
      </c>
      <c r="Q3" s="17" t="s">
        <v>33</v>
      </c>
      <c r="R3" s="18" t="s">
        <v>34</v>
      </c>
      <c r="S3" s="18" t="s">
        <v>35</v>
      </c>
    </row>
    <row r="4" spans="1:19" x14ac:dyDescent="0.25">
      <c r="A4" s="27" t="s">
        <v>75</v>
      </c>
      <c r="B4" s="600"/>
      <c r="C4" s="145"/>
      <c r="D4" s="145"/>
      <c r="E4" s="145"/>
      <c r="F4" s="145"/>
      <c r="G4" s="145"/>
      <c r="H4" s="145"/>
      <c r="I4" s="145"/>
      <c r="J4" s="31"/>
      <c r="K4" s="593"/>
      <c r="L4" s="145"/>
      <c r="M4" s="145"/>
      <c r="N4" s="145"/>
      <c r="O4" s="145"/>
      <c r="P4" s="145"/>
      <c r="Q4" s="145"/>
      <c r="R4" s="145"/>
      <c r="S4" s="594"/>
    </row>
    <row r="5" spans="1:19" x14ac:dyDescent="0.25">
      <c r="A5" s="27" t="s">
        <v>119</v>
      </c>
      <c r="B5" s="587">
        <f>0.375*'Equipment Trans Talega Seg 4 23'!Q27</f>
        <v>3.9652200741891841</v>
      </c>
      <c r="C5" s="587">
        <f>0.375*'Equipment Trans Talega Seg 4 23'!R27</f>
        <v>16.591872696061568</v>
      </c>
      <c r="D5" s="587">
        <f>0.375*'Equipment Trans Talega Seg 4 23'!S27</f>
        <v>32.151522832590608</v>
      </c>
      <c r="E5" s="587">
        <f>0.375*'Equipment Trans Talega Seg 4 23'!T27</f>
        <v>5.578176851376105E-2</v>
      </c>
      <c r="F5" s="587">
        <f>0.375*'Equipment Trans Talega Seg 4 23'!U27</f>
        <v>1.2460923808093707</v>
      </c>
      <c r="G5" s="587">
        <f>0.375*'Equipment Trans Talega Seg 4 23'!V27</f>
        <v>1.1090222189203398</v>
      </c>
      <c r="H5" s="587">
        <f>0.375*'Equipment Trans Talega Seg 4 23'!W27</f>
        <v>5204.1767109037</v>
      </c>
      <c r="I5" s="587">
        <f>0.375*'Equipment Trans Talega Seg 4 23'!X27</f>
        <v>0.37264545979883607</v>
      </c>
      <c r="J5" s="587">
        <f>0.375*'Equipment Trans Talega Seg 4 23'!Y27</f>
        <v>3.0543946690961086</v>
      </c>
      <c r="K5" s="587">
        <f>0.375*'Equipment Trans Talega Seg 4 23'!E73</f>
        <v>6.0950204355848317E-2</v>
      </c>
      <c r="L5" s="587">
        <f>0.375*'Equipment Trans Talega Seg 4 23'!F73</f>
        <v>0.25083774358376187</v>
      </c>
      <c r="M5" s="587">
        <f>0.375*'Equipment Trans Talega Seg 4 23'!G73</f>
        <v>0.49255038857187972</v>
      </c>
      <c r="N5" s="587">
        <f>0.375*'Equipment Trans Talega Seg 4 23'!H73</f>
        <v>9.2367046864942322E-4</v>
      </c>
      <c r="O5" s="587">
        <f>0.375*'Equipment Trans Talega Seg 4 23'!I73</f>
        <v>1.8588222410386684E-2</v>
      </c>
      <c r="P5" s="587">
        <f>0.375*'Equipment Trans Talega Seg 4 23'!J73</f>
        <v>1.6543517945244147E-2</v>
      </c>
      <c r="Q5" s="587">
        <f>0.375*'Equipment Trans Talega Seg 4 23'!K73</f>
        <v>84.182579174963365</v>
      </c>
      <c r="R5" s="587">
        <f>0.375*'Equipment Trans Talega Seg 4 23'!L73</f>
        <v>5.7266333050830145E-3</v>
      </c>
      <c r="S5" s="587">
        <f>0.375*'Equipment Trans Talega Seg 4 23'!M73</f>
        <v>4.6792286914328574E-2</v>
      </c>
    </row>
    <row r="6" spans="1:19" x14ac:dyDescent="0.25">
      <c r="A6" s="27" t="s">
        <v>120</v>
      </c>
      <c r="B6" s="587">
        <f>0.01725*WorkerTrips!I125</f>
        <v>1.8492195915562476E-2</v>
      </c>
      <c r="C6" s="587">
        <f>0.01725*WorkerTrips!G125</f>
        <v>0.18927744900065935</v>
      </c>
      <c r="D6" s="587">
        <f>0.01725*WorkerTrips!H125</f>
        <v>1.7078715526963453E-2</v>
      </c>
      <c r="E6" s="587">
        <f>0.01725*WorkerTrips!J125</f>
        <v>2.2518912660001328E-4</v>
      </c>
      <c r="F6" s="586">
        <f>0.01725*WorkerTrips!K125+0.01725*WorkerTrips!M125</f>
        <v>5.3143718368974247E-3</v>
      </c>
      <c r="G6" s="586">
        <f>0.01725*WorkerTrips!L125+0.01725*WorkerTrips!N125</f>
        <v>2.2698691442638468E-3</v>
      </c>
      <c r="H6" s="586">
        <f>0.01725*WorkerTrips!O125</f>
        <v>18.146453776839248</v>
      </c>
      <c r="I6" s="586">
        <f>0.01725*WorkerTrips!P125</f>
        <v>9.8495241116296445E-4</v>
      </c>
      <c r="J6" s="586">
        <f>0.01725*WorkerTrips!Q125</f>
        <v>1.7921614481990777E-3</v>
      </c>
      <c r="K6" s="590">
        <f>0.01725*WorkerTrips!U125</f>
        <v>6.1024246521356178E-4</v>
      </c>
      <c r="L6" s="590">
        <f>0.01725*WorkerTrips!S125</f>
        <v>6.246155817021759E-3</v>
      </c>
      <c r="M6" s="590">
        <f>0.01725*WorkerTrips!T125</f>
        <v>5.6359761238979403E-4</v>
      </c>
      <c r="N6" s="590">
        <f>0.01725*WorkerTrips!V125</f>
        <v>7.4312411778004375E-6</v>
      </c>
      <c r="O6" s="591">
        <f>0.01725*WorkerTrips!W125+0.01725*WorkerTrips!Y125</f>
        <v>1.7537427061761502E-4</v>
      </c>
      <c r="P6" s="591">
        <f>0.01725*WorkerTrips!X125+0.01725*WorkerTrips!Z125</f>
        <v>7.4905681760706959E-5</v>
      </c>
      <c r="Q6" s="591">
        <f>0.01725*WorkerTrips!AA125</f>
        <v>0.59883297463569518</v>
      </c>
      <c r="R6" s="591">
        <f>0.01725*WorkerTrips!AB125</f>
        <v>3.2503429568377834E-5</v>
      </c>
      <c r="S6" s="591">
        <f>0.01725*WorkerTrips!AC125</f>
        <v>5.9141327790569558E-5</v>
      </c>
    </row>
    <row r="7" spans="1:19" x14ac:dyDescent="0.25">
      <c r="A7" s="27" t="s">
        <v>121</v>
      </c>
      <c r="B7" s="587">
        <f>0.01725*'Construction Trucks'!V93</f>
        <v>1.2399509870512443E-2</v>
      </c>
      <c r="C7" s="587">
        <f>0.01725*'Construction Trucks'!T93</f>
        <v>5.301627548072145E-2</v>
      </c>
      <c r="D7" s="587">
        <f>0.01725*'Construction Trucks'!U93</f>
        <v>0.25088836116293323</v>
      </c>
      <c r="E7" s="587">
        <f>0.01725*'Construction Trucks'!W93</f>
        <v>4.5274503761684096E-4</v>
      </c>
      <c r="F7" s="586">
        <f>0.01725*'Construction Trucks'!X93+0.01725*'Construction Trucks'!Z93</f>
        <v>1.0855102029230904E-2</v>
      </c>
      <c r="G7" s="586">
        <f>0.01725*'Construction Trucks'!Y93+0.01725*'Construction Trucks'!AA93</f>
        <v>6.0807056797426741E-3</v>
      </c>
      <c r="H7" s="586">
        <f>0.01725*'Construction Trucks'!AB93</f>
        <v>71.566011173661039</v>
      </c>
      <c r="I7" s="586">
        <f>0.01725*'Construction Trucks'!AC93</f>
        <v>4.0894965764965126E-3</v>
      </c>
      <c r="J7" s="586">
        <f>0.01725*'Construction Trucks'!AD93</f>
        <v>1.8332349422245011E-3</v>
      </c>
      <c r="K7" s="592">
        <f>0.01725*'Construction Trucks'!AH93</f>
        <v>3.7617153240113925E-4</v>
      </c>
      <c r="L7" s="592">
        <f>0.01725*'Construction Trucks'!AF93</f>
        <v>1.6557461629519298E-3</v>
      </c>
      <c r="M7" s="592">
        <f>0.01725*'Construction Trucks'!AG93</f>
        <v>6.6636395030505915E-3</v>
      </c>
      <c r="N7" s="592">
        <f>0.01725*'Construction Trucks'!AI93</f>
        <v>1.2673872790213868E-5</v>
      </c>
      <c r="O7" s="586">
        <f>0.01725*'Construction Trucks'!AJ93+0.01725*'Construction Trucks'!AL93</f>
        <v>3.6010612719430577E-4</v>
      </c>
      <c r="P7" s="586">
        <f>0.01725*'Construction Trucks'!AK93+0.01725*'Construction Trucks'!AM93</f>
        <v>2.1174938111189848E-4</v>
      </c>
      <c r="Q7" s="586">
        <f>0.01725*'Construction Trucks'!AN93</f>
        <v>1.9353120968233291</v>
      </c>
      <c r="R7" s="586">
        <f>0.01725*'Construction Trucks'!AO93</f>
        <v>1.1058953914877549E-4</v>
      </c>
      <c r="S7" s="586">
        <f>0.01725*'Construction Trucks'!AP93</f>
        <v>4.9574954672226394E-5</v>
      </c>
    </row>
    <row r="8" spans="1:19" x14ac:dyDescent="0.25">
      <c r="A8" s="137" t="s">
        <v>122</v>
      </c>
      <c r="B8" s="588"/>
      <c r="C8" s="589"/>
      <c r="D8" s="589"/>
      <c r="E8" s="589"/>
      <c r="F8" s="586">
        <f>0.375*'Fugitive Dust Transmission'!$C$150</f>
        <v>33.664200789237682</v>
      </c>
      <c r="G8" s="586">
        <f>0.375*'Fugitive Dust Transmission'!$D$150</f>
        <v>10.045708467717198</v>
      </c>
      <c r="H8" s="589"/>
      <c r="I8" s="589"/>
      <c r="J8" s="588"/>
      <c r="K8" s="593"/>
      <c r="L8" s="145"/>
      <c r="M8" s="145"/>
      <c r="N8" s="145"/>
      <c r="O8" s="215">
        <f>0.375*'Fugitive Dust Transmission'!C157</f>
        <v>1.4812248347264583</v>
      </c>
      <c r="P8" s="215">
        <f>0.375*'Fugitive Dust Transmission'!D157</f>
        <v>0.44201117257955669</v>
      </c>
      <c r="Q8" s="145"/>
      <c r="R8" s="145"/>
      <c r="S8" s="594"/>
    </row>
    <row r="9" spans="1:19" x14ac:dyDescent="0.25">
      <c r="A9" s="19" t="s">
        <v>123</v>
      </c>
      <c r="B9" s="588">
        <f>SUM(B5:B8)</f>
        <v>3.996111779975259</v>
      </c>
      <c r="C9" s="588">
        <f t="shared" ref="C9:S9" si="0">SUM(C5:C8)</f>
        <v>16.83416642054295</v>
      </c>
      <c r="D9" s="588">
        <f t="shared" si="0"/>
        <v>32.419489909280507</v>
      </c>
      <c r="E9" s="588">
        <f t="shared" si="0"/>
        <v>5.6459702677977903E-2</v>
      </c>
      <c r="F9" s="588">
        <f t="shared" si="0"/>
        <v>34.926462643913183</v>
      </c>
      <c r="G9" s="588">
        <f t="shared" si="0"/>
        <v>11.163081261461544</v>
      </c>
      <c r="H9" s="588">
        <f t="shared" si="0"/>
        <v>5293.8891758541995</v>
      </c>
      <c r="I9" s="588">
        <f t="shared" si="0"/>
        <v>0.37771990878649553</v>
      </c>
      <c r="J9" s="588">
        <f t="shared" si="0"/>
        <v>3.0580200654865322</v>
      </c>
      <c r="K9" s="588">
        <f t="shared" si="0"/>
        <v>6.1936618353463015E-2</v>
      </c>
      <c r="L9" s="588">
        <f t="shared" si="0"/>
        <v>0.25873964556373558</v>
      </c>
      <c r="M9" s="588">
        <f t="shared" si="0"/>
        <v>0.49977762568732009</v>
      </c>
      <c r="N9" s="588">
        <f t="shared" si="0"/>
        <v>9.4377558261743747E-4</v>
      </c>
      <c r="O9" s="588">
        <f t="shared" si="0"/>
        <v>1.5003485375346568</v>
      </c>
      <c r="P9" s="588">
        <f t="shared" si="0"/>
        <v>0.45884134558767342</v>
      </c>
      <c r="Q9" s="588">
        <f t="shared" si="0"/>
        <v>86.716724246422388</v>
      </c>
      <c r="R9" s="588">
        <f t="shared" si="0"/>
        <v>5.8697262738001679E-3</v>
      </c>
      <c r="S9" s="588">
        <f t="shared" si="0"/>
        <v>4.6901003196791372E-2</v>
      </c>
    </row>
    <row r="10" spans="1:19" x14ac:dyDescent="0.25">
      <c r="A10" s="216" t="s">
        <v>124</v>
      </c>
      <c r="B10" s="216">
        <v>75</v>
      </c>
      <c r="C10" s="216">
        <v>550</v>
      </c>
      <c r="D10" s="216">
        <v>100</v>
      </c>
      <c r="E10" s="216">
        <v>150</v>
      </c>
      <c r="F10" s="216">
        <v>150</v>
      </c>
      <c r="G10" s="216">
        <v>55</v>
      </c>
      <c r="H10" s="216" t="s">
        <v>126</v>
      </c>
      <c r="I10" s="216" t="s">
        <v>126</v>
      </c>
      <c r="J10" s="216" t="s">
        <v>126</v>
      </c>
      <c r="K10" s="593"/>
      <c r="L10" s="145"/>
      <c r="M10" s="145"/>
      <c r="N10" s="145"/>
      <c r="O10" s="145"/>
      <c r="P10" s="145"/>
      <c r="Q10" s="145"/>
      <c r="R10" s="145"/>
      <c r="S10" s="594"/>
    </row>
    <row r="11" spans="1:19" x14ac:dyDescent="0.25">
      <c r="A11" s="27" t="s">
        <v>125</v>
      </c>
      <c r="B11" s="27" t="str">
        <f>IF(B9&gt;B10,"Yes","No")</f>
        <v>No</v>
      </c>
      <c r="C11" s="27" t="str">
        <f t="shared" ref="C11:G11" si="1">IF(C9&gt;C10,"Yes","No")</f>
        <v>No</v>
      </c>
      <c r="D11" s="27" t="str">
        <f t="shared" si="1"/>
        <v>No</v>
      </c>
      <c r="E11" s="27" t="str">
        <f t="shared" si="1"/>
        <v>No</v>
      </c>
      <c r="F11" s="27" t="str">
        <f t="shared" si="1"/>
        <v>No</v>
      </c>
      <c r="G11" s="27" t="str">
        <f t="shared" si="1"/>
        <v>No</v>
      </c>
      <c r="H11" s="27" t="s">
        <v>126</v>
      </c>
      <c r="I11" s="27" t="s">
        <v>126</v>
      </c>
      <c r="J11" s="27" t="s">
        <v>126</v>
      </c>
      <c r="K11" s="593"/>
      <c r="L11" s="145"/>
      <c r="M11" s="145"/>
      <c r="N11" s="145"/>
      <c r="O11" s="145"/>
      <c r="P11" s="145"/>
      <c r="Q11" s="145"/>
      <c r="R11" s="145"/>
      <c r="S11" s="594"/>
    </row>
    <row r="12" spans="1:19" x14ac:dyDescent="0.25">
      <c r="A12" s="585"/>
      <c r="B12" s="603"/>
      <c r="C12" s="602"/>
      <c r="D12" s="602"/>
      <c r="E12" s="602"/>
      <c r="F12" s="602"/>
      <c r="G12" s="602"/>
      <c r="H12" s="602"/>
      <c r="I12" s="602"/>
      <c r="J12" s="11"/>
      <c r="K12" s="598"/>
      <c r="L12" s="112"/>
      <c r="M12" s="112"/>
      <c r="N12" s="112"/>
      <c r="O12" s="112"/>
      <c r="P12" s="112"/>
      <c r="Q12" s="112"/>
      <c r="R12" s="112"/>
      <c r="S12" s="599"/>
    </row>
    <row r="13" spans="1:19" x14ac:dyDescent="0.25">
      <c r="A13" s="585"/>
      <c r="B13" s="603"/>
      <c r="C13" s="602"/>
      <c r="D13" s="602"/>
      <c r="E13" s="602"/>
      <c r="F13" s="602"/>
      <c r="G13" s="602"/>
      <c r="H13" s="602"/>
      <c r="I13" s="602"/>
      <c r="J13" s="11"/>
      <c r="K13" s="598"/>
      <c r="L13" s="112"/>
      <c r="M13" s="112"/>
      <c r="N13" s="112"/>
      <c r="O13" s="112"/>
      <c r="P13" s="112"/>
      <c r="Q13" s="112"/>
      <c r="R13" s="112"/>
      <c r="S13" s="599"/>
    </row>
    <row r="14" spans="1:19" x14ac:dyDescent="0.25">
      <c r="A14" s="585">
        <v>2016</v>
      </c>
      <c r="B14" s="603"/>
      <c r="C14" s="602"/>
      <c r="D14" s="602"/>
      <c r="E14" s="602"/>
      <c r="F14" s="602"/>
      <c r="G14" s="602"/>
      <c r="H14" s="602"/>
      <c r="I14" s="602"/>
      <c r="J14" s="11"/>
      <c r="K14" s="598"/>
      <c r="L14" s="112"/>
      <c r="M14" s="112"/>
      <c r="N14" s="112"/>
      <c r="O14" s="112"/>
      <c r="P14" s="112"/>
      <c r="Q14" s="112"/>
      <c r="R14" s="112"/>
      <c r="S14" s="599"/>
    </row>
    <row r="15" spans="1:19" ht="39.6" x14ac:dyDescent="0.25">
      <c r="A15" s="22" t="str">
        <f>'Equipment Trans Talega Seg 4 23'!A2</f>
        <v>Segment 4: Talega Hub/Corridor 230-kV from structure 42 to Talega Substation</v>
      </c>
      <c r="B15" s="16" t="s">
        <v>18</v>
      </c>
      <c r="C15" s="16" t="s">
        <v>19</v>
      </c>
      <c r="D15" s="16" t="s">
        <v>20</v>
      </c>
      <c r="E15" s="16" t="s">
        <v>21</v>
      </c>
      <c r="F15" s="16" t="s">
        <v>22</v>
      </c>
      <c r="G15" s="16" t="s">
        <v>23</v>
      </c>
      <c r="H15" s="17" t="s">
        <v>24</v>
      </c>
      <c r="I15" s="16" t="s">
        <v>25</v>
      </c>
      <c r="J15" s="16" t="s">
        <v>26</v>
      </c>
      <c r="K15" s="18" t="s">
        <v>27</v>
      </c>
      <c r="L15" s="18" t="s">
        <v>28</v>
      </c>
      <c r="M15" s="18" t="s">
        <v>29</v>
      </c>
      <c r="N15" s="18" t="s">
        <v>30</v>
      </c>
      <c r="O15" s="18" t="s">
        <v>31</v>
      </c>
      <c r="P15" s="18" t="s">
        <v>32</v>
      </c>
      <c r="Q15" s="17" t="s">
        <v>33</v>
      </c>
      <c r="R15" s="18" t="s">
        <v>34</v>
      </c>
      <c r="S15" s="18" t="s">
        <v>35</v>
      </c>
    </row>
    <row r="16" spans="1:19" x14ac:dyDescent="0.25">
      <c r="A16" s="27" t="s">
        <v>75</v>
      </c>
      <c r="B16" s="600"/>
      <c r="C16" s="145"/>
      <c r="D16" s="145"/>
      <c r="E16" s="145"/>
      <c r="F16" s="145"/>
      <c r="G16" s="145"/>
      <c r="H16" s="145"/>
      <c r="I16" s="145"/>
      <c r="J16" s="31"/>
      <c r="K16" s="593"/>
      <c r="L16" s="145"/>
      <c r="M16" s="145"/>
      <c r="N16" s="145"/>
      <c r="O16" s="145"/>
      <c r="P16" s="145"/>
      <c r="Q16" s="145"/>
      <c r="R16" s="145"/>
      <c r="S16" s="594"/>
    </row>
    <row r="17" spans="1:19" x14ac:dyDescent="0.25">
      <c r="A17" s="27" t="s">
        <v>119</v>
      </c>
      <c r="B17" s="587">
        <f>0.375*'Equipment Trans Talega Seg 4 23'!Q35</f>
        <v>0.93043863327196896</v>
      </c>
      <c r="C17" s="587">
        <f>0.375*'Equipment Trans Talega Seg 4 23'!R35</f>
        <v>4.043801690600767</v>
      </c>
      <c r="D17" s="587">
        <f>0.375*'Equipment Trans Talega Seg 4 23'!S35</f>
        <v>4.8331953256192284</v>
      </c>
      <c r="E17" s="587">
        <f>0.375*'Equipment Trans Talega Seg 4 23'!T35</f>
        <v>7.9950777974005498E-3</v>
      </c>
      <c r="F17" s="587">
        <f>0.375*'Equipment Trans Talega Seg 4 23'!U35</f>
        <v>0.28382285946792618</v>
      </c>
      <c r="G17" s="587">
        <f>0.375*'Equipment Trans Talega Seg 4 23'!V35</f>
        <v>0.25260234492645428</v>
      </c>
      <c r="H17" s="587">
        <f>0.375*'Equipment Trans Talega Seg 4 23'!W35</f>
        <v>699.28754083521085</v>
      </c>
      <c r="I17" s="587">
        <f>0.375*'Equipment Trans Talega Seg 4 23'!X35</f>
        <v>9.2346226735893849E-2</v>
      </c>
      <c r="J17" s="587">
        <f>0.375*'Equipment Trans Talega Seg 4 23'!Y35</f>
        <v>0.45915355593382662</v>
      </c>
      <c r="K17" s="587">
        <f>0.375*'Equipment Trans Talega Seg 4 23'!E81</f>
        <v>5.1174124829958277E-2</v>
      </c>
      <c r="L17" s="587">
        <f>0.375*'Equipment Trans Talega Seg 4 23'!F81</f>
        <v>0.22240909298304218</v>
      </c>
      <c r="M17" s="587">
        <f>0.375*'Equipment Trans Talega Seg 4 23'!G81</f>
        <v>0.26582574290905758</v>
      </c>
      <c r="N17" s="587">
        <f>0.375*'Equipment Trans Talega Seg 4 23'!H81</f>
        <v>4.3972927885703027E-4</v>
      </c>
      <c r="O17" s="587">
        <f>0.375*'Equipment Trans Talega Seg 4 23'!I81</f>
        <v>1.5610257270735941E-2</v>
      </c>
      <c r="P17" s="587">
        <f>0.375*'Equipment Trans Talega Seg 4 23'!J81</f>
        <v>1.3893128970954984E-2</v>
      </c>
      <c r="Q17" s="587">
        <f>0.375*'Equipment Trans Talega Seg 4 23'!K81</f>
        <v>38.460814745936588</v>
      </c>
      <c r="R17" s="587">
        <f>0.375*'Equipment Trans Talega Seg 4 23'!L81</f>
        <v>5.0790424704741611E-3</v>
      </c>
      <c r="S17" s="587">
        <f>0.375*'Equipment Trans Talega Seg 4 23'!M81</f>
        <v>2.5253445576360466E-2</v>
      </c>
    </row>
    <row r="18" spans="1:19" x14ac:dyDescent="0.25">
      <c r="A18" s="27" t="s">
        <v>120</v>
      </c>
      <c r="B18" s="587">
        <f>0.01725*WorkerTrips!I126</f>
        <v>1.7165879484373914E-2</v>
      </c>
      <c r="C18" s="587">
        <f>0.01725*WorkerTrips!G126</f>
        <v>0.17282638536843958</v>
      </c>
      <c r="D18" s="587">
        <f>0.01725*WorkerTrips!H126</f>
        <v>1.5608005872759153E-2</v>
      </c>
      <c r="E18" s="587">
        <f>0.01725*WorkerTrips!J126</f>
        <v>2.251660583235962E-4</v>
      </c>
      <c r="F18" s="586">
        <f>0.01725*WorkerTrips!K126+0.01725*WorkerTrips!M126</f>
        <v>5.2989189986606573E-3</v>
      </c>
      <c r="G18" s="586">
        <f>0.01725*WorkerTrips!L126+0.01725*WorkerTrips!N126</f>
        <v>2.2563270146224714E-3</v>
      </c>
      <c r="H18" s="586">
        <f>0.01725*WorkerTrips!O126</f>
        <v>17.568071242964152</v>
      </c>
      <c r="I18" s="586">
        <f>0.01725*WorkerTrips!P126</f>
        <v>9.8448098697503819E-4</v>
      </c>
      <c r="J18" s="586">
        <f>0.01725*WorkerTrips!Q126</f>
        <v>1.7919540200252019E-3</v>
      </c>
      <c r="K18" s="590">
        <f>0.01725*WorkerTrips!U126</f>
        <v>5.6647402298433923E-4</v>
      </c>
      <c r="L18" s="590">
        <f>0.01725*WorkerTrips!S126</f>
        <v>5.7032707171585061E-3</v>
      </c>
      <c r="M18" s="590">
        <f>0.01725*WorkerTrips!T126</f>
        <v>5.15064193801052E-4</v>
      </c>
      <c r="N18" s="590">
        <f>0.01725*WorkerTrips!V126</f>
        <v>7.430479924678674E-6</v>
      </c>
      <c r="O18" s="591">
        <f>0.01725*WorkerTrips!W126+0.01725*WorkerTrips!Y126</f>
        <v>1.7486432695580168E-4</v>
      </c>
      <c r="P18" s="591">
        <f>0.01725*WorkerTrips!X126+0.01725*WorkerTrips!Z126</f>
        <v>7.4458791482541559E-5</v>
      </c>
      <c r="Q18" s="591">
        <f>0.01725*WorkerTrips!AA126</f>
        <v>0.57974635101781691</v>
      </c>
      <c r="R18" s="591">
        <f>0.01725*WorkerTrips!AB126</f>
        <v>3.2487872570176266E-5</v>
      </c>
      <c r="S18" s="591">
        <f>0.01725*WorkerTrips!AC126</f>
        <v>5.9134482660831658E-5</v>
      </c>
    </row>
    <row r="19" spans="1:19" x14ac:dyDescent="0.25">
      <c r="A19" s="27" t="s">
        <v>121</v>
      </c>
      <c r="B19" s="587">
        <f>0.01725*'Construction Trucks'!V99</f>
        <v>1.0044718708296997E-2</v>
      </c>
      <c r="C19" s="587">
        <f>0.01725*'Construction Trucks'!T99</f>
        <v>4.2703438269935223E-2</v>
      </c>
      <c r="D19" s="587">
        <f>0.01725*'Construction Trucks'!U99</f>
        <v>0.17257333469265659</v>
      </c>
      <c r="E19" s="587">
        <f>0.01725*'Construction Trucks'!W99</f>
        <v>3.8756587211495592E-4</v>
      </c>
      <c r="F19" s="586">
        <f>0.01725*'Construction Trucks'!X99+0.01725*'Construction Trucks'!Z99</f>
        <v>9.0261080108747001E-3</v>
      </c>
      <c r="G19" s="586">
        <f>0.01725*'Construction Trucks'!Y99+0.01725*'Construction Trucks'!AA99</f>
        <v>4.921693851108788E-3</v>
      </c>
      <c r="H19" s="586">
        <f>0.01725*'Construction Trucks'!AB99</f>
        <v>60.041040097992372</v>
      </c>
      <c r="I19" s="586">
        <f>0.01725*'Construction Trucks'!AC99</f>
        <v>3.430925154319578E-3</v>
      </c>
      <c r="J19" s="586">
        <f>0.01725*'Construction Trucks'!AD99</f>
        <v>1.5380112831501725E-3</v>
      </c>
      <c r="K19" s="592">
        <f>0.01725*'Construction Trucks'!AH99</f>
        <v>2.4130739756590542E-4</v>
      </c>
      <c r="L19" s="592">
        <f>0.01725*'Construction Trucks'!AF99</f>
        <v>1.0792910557660164E-3</v>
      </c>
      <c r="M19" s="592">
        <f>0.01725*'Construction Trucks'!AG99</f>
        <v>3.4119742109347054E-3</v>
      </c>
      <c r="N19" s="592">
        <f>0.01725*'Construction Trucks'!AI99</f>
        <v>8.37204786708946E-6</v>
      </c>
      <c r="O19" s="586">
        <f>0.01725*'Construction Trucks'!AJ99+0.01725*'Construction Trucks'!AL99</f>
        <v>2.5207404452374187E-4</v>
      </c>
      <c r="P19" s="586">
        <f>0.01725*'Construction Trucks'!AK99+0.01725*'Construction Trucks'!AM99</f>
        <v>1.4692160115973194E-4</v>
      </c>
      <c r="Q19" s="586">
        <f>0.01725*'Construction Trucks'!AN99</f>
        <v>1.2146245819054402</v>
      </c>
      <c r="R19" s="586">
        <f>0.01725*'Construction Trucks'!AO99</f>
        <v>6.940729248382257E-5</v>
      </c>
      <c r="S19" s="586">
        <f>0.01725*'Construction Trucks'!AP99</f>
        <v>3.111382329008976E-5</v>
      </c>
    </row>
    <row r="20" spans="1:19" x14ac:dyDescent="0.25">
      <c r="A20" s="137" t="s">
        <v>122</v>
      </c>
      <c r="B20" s="588"/>
      <c r="C20" s="589"/>
      <c r="D20" s="589"/>
      <c r="E20" s="589"/>
      <c r="F20" s="586">
        <f>0.375*'Fugitive Dust Transmission'!$C$150</f>
        <v>33.664200789237682</v>
      </c>
      <c r="G20" s="586">
        <f>0.375*'Fugitive Dust Transmission'!$D$150</f>
        <v>10.045708467717198</v>
      </c>
      <c r="H20" s="589"/>
      <c r="I20" s="589"/>
      <c r="J20" s="588"/>
      <c r="K20" s="593"/>
      <c r="L20" s="145"/>
      <c r="M20" s="145"/>
      <c r="N20" s="145"/>
      <c r="O20" s="215">
        <f>0.375*'Fugitive Dust Transmission'!C157</f>
        <v>1.4812248347264583</v>
      </c>
      <c r="P20" s="215">
        <f>0.375*'Fugitive Dust Transmission'!D157</f>
        <v>0.44201117257955669</v>
      </c>
      <c r="Q20" s="145"/>
      <c r="R20" s="145"/>
      <c r="S20" s="594"/>
    </row>
    <row r="21" spans="1:19" x14ac:dyDescent="0.25">
      <c r="A21" s="19" t="s">
        <v>123</v>
      </c>
      <c r="B21" s="588">
        <f>SUM(B17:B20)</f>
        <v>0.95764923146463987</v>
      </c>
      <c r="C21" s="588">
        <f t="shared" ref="C21:S21" si="2">SUM(C17:C20)</f>
        <v>4.2593315142391424</v>
      </c>
      <c r="D21" s="588">
        <f t="shared" si="2"/>
        <v>5.0213766661846444</v>
      </c>
      <c r="E21" s="588">
        <f t="shared" si="2"/>
        <v>8.6078097278391025E-3</v>
      </c>
      <c r="F21" s="588">
        <f t="shared" si="2"/>
        <v>33.962348675715141</v>
      </c>
      <c r="G21" s="588">
        <f t="shared" si="2"/>
        <v>10.305488833509383</v>
      </c>
      <c r="H21" s="588">
        <f t="shared" si="2"/>
        <v>776.89665217616732</v>
      </c>
      <c r="I21" s="588">
        <f t="shared" si="2"/>
        <v>9.6761632877188461E-2</v>
      </c>
      <c r="J21" s="588">
        <f t="shared" si="2"/>
        <v>0.46248352123700198</v>
      </c>
      <c r="K21" s="588">
        <f t="shared" si="2"/>
        <v>5.1981906250508525E-2</v>
      </c>
      <c r="L21" s="588">
        <f t="shared" si="2"/>
        <v>0.2291916547559667</v>
      </c>
      <c r="M21" s="588">
        <f t="shared" si="2"/>
        <v>0.26975278131379332</v>
      </c>
      <c r="N21" s="588">
        <f t="shared" si="2"/>
        <v>4.5553180664879839E-4</v>
      </c>
      <c r="O21" s="588">
        <f t="shared" si="2"/>
        <v>1.4972620303686737</v>
      </c>
      <c r="P21" s="588">
        <f t="shared" si="2"/>
        <v>0.45612568194315395</v>
      </c>
      <c r="Q21" s="588">
        <f t="shared" si="2"/>
        <v>40.255185678859846</v>
      </c>
      <c r="R21" s="588">
        <f t="shared" si="2"/>
        <v>5.1809376355281597E-3</v>
      </c>
      <c r="S21" s="588">
        <f t="shared" si="2"/>
        <v>2.5343693882311384E-2</v>
      </c>
    </row>
    <row r="22" spans="1:19" x14ac:dyDescent="0.25">
      <c r="A22" s="216" t="s">
        <v>124</v>
      </c>
      <c r="B22" s="216">
        <v>75</v>
      </c>
      <c r="C22" s="216">
        <v>550</v>
      </c>
      <c r="D22" s="216">
        <v>250</v>
      </c>
      <c r="E22" s="216">
        <v>150</v>
      </c>
      <c r="F22" s="216">
        <v>150</v>
      </c>
      <c r="G22" s="216">
        <v>55</v>
      </c>
      <c r="H22" s="216" t="s">
        <v>126</v>
      </c>
      <c r="I22" s="216" t="s">
        <v>126</v>
      </c>
      <c r="J22" s="216" t="s">
        <v>126</v>
      </c>
      <c r="K22" s="593"/>
      <c r="L22" s="145"/>
      <c r="M22" s="145"/>
      <c r="N22" s="145"/>
      <c r="O22" s="145"/>
      <c r="P22" s="145"/>
      <c r="Q22" s="145"/>
      <c r="R22" s="145"/>
      <c r="S22" s="594"/>
    </row>
    <row r="23" spans="1:19" x14ac:dyDescent="0.25">
      <c r="A23" s="27" t="s">
        <v>125</v>
      </c>
      <c r="B23" s="27" t="str">
        <f>IF(B21&gt;B22,"Yes","No")</f>
        <v>No</v>
      </c>
      <c r="C23" s="27" t="str">
        <f t="shared" ref="C23:G23" si="3">IF(C21&gt;C22,"Yes","No")</f>
        <v>No</v>
      </c>
      <c r="D23" s="27" t="str">
        <f t="shared" si="3"/>
        <v>No</v>
      </c>
      <c r="E23" s="27" t="str">
        <f t="shared" si="3"/>
        <v>No</v>
      </c>
      <c r="F23" s="27" t="str">
        <f t="shared" si="3"/>
        <v>No</v>
      </c>
      <c r="G23" s="27" t="str">
        <f t="shared" si="3"/>
        <v>No</v>
      </c>
      <c r="H23" s="27" t="s">
        <v>126</v>
      </c>
      <c r="I23" s="27" t="s">
        <v>126</v>
      </c>
      <c r="J23" s="27" t="s">
        <v>126</v>
      </c>
      <c r="K23" s="593"/>
      <c r="L23" s="145"/>
      <c r="M23" s="145"/>
      <c r="N23" s="145"/>
      <c r="O23" s="145"/>
      <c r="P23" s="145"/>
      <c r="Q23" s="145"/>
      <c r="R23" s="145"/>
      <c r="S23" s="594"/>
    </row>
    <row r="24" spans="1:19" x14ac:dyDescent="0.25">
      <c r="A24" s="585"/>
      <c r="B24" s="603"/>
      <c r="C24" s="602"/>
      <c r="D24" s="602"/>
      <c r="E24" s="602"/>
      <c r="F24" s="602"/>
      <c r="G24" s="602"/>
      <c r="H24" s="602"/>
      <c r="I24" s="602"/>
      <c r="J24" s="11"/>
      <c r="K24" s="604"/>
      <c r="L24" s="609"/>
      <c r="M24" s="609"/>
      <c r="N24" s="609"/>
      <c r="O24" s="609"/>
      <c r="P24" s="609"/>
      <c r="Q24" s="609"/>
      <c r="R24" s="609"/>
      <c r="S24" s="610"/>
    </row>
    <row r="25" spans="1:19" x14ac:dyDescent="0.25">
      <c r="A25" s="585"/>
      <c r="B25" s="603"/>
      <c r="C25" s="602"/>
      <c r="D25" s="602"/>
      <c r="E25" s="602"/>
      <c r="F25" s="602"/>
      <c r="G25" s="602"/>
      <c r="H25" s="602"/>
      <c r="I25" s="602"/>
      <c r="J25" s="11"/>
      <c r="K25" s="604"/>
      <c r="L25" s="609"/>
      <c r="M25" s="609"/>
      <c r="N25" s="609"/>
      <c r="O25" s="609"/>
      <c r="P25" s="609"/>
      <c r="Q25" s="609"/>
      <c r="R25" s="609"/>
      <c r="S25" s="610"/>
    </row>
    <row r="26" spans="1:19" x14ac:dyDescent="0.25">
      <c r="A26" s="585">
        <v>2018</v>
      </c>
      <c r="B26" s="603"/>
      <c r="C26" s="602"/>
      <c r="D26" s="602"/>
      <c r="E26" s="602"/>
      <c r="F26" s="602"/>
      <c r="G26" s="602"/>
      <c r="H26" s="602"/>
      <c r="I26" s="602"/>
      <c r="J26" s="11"/>
      <c r="K26" s="598"/>
      <c r="L26" s="112"/>
      <c r="M26" s="112"/>
      <c r="N26" s="112"/>
      <c r="O26" s="112"/>
      <c r="P26" s="112"/>
      <c r="Q26" s="112"/>
      <c r="R26" s="112"/>
      <c r="S26" s="599"/>
    </row>
    <row r="27" spans="1:19" ht="39.6" x14ac:dyDescent="0.25">
      <c r="A27" s="22" t="str">
        <f>'Equipment Trans Talega Seg 4 23'!A2</f>
        <v>Segment 4: Talega Hub/Corridor 230-kV from structure 42 to Talega Substation</v>
      </c>
      <c r="B27" s="16" t="s">
        <v>18</v>
      </c>
      <c r="C27" s="16" t="s">
        <v>19</v>
      </c>
      <c r="D27" s="16" t="s">
        <v>20</v>
      </c>
      <c r="E27" s="16" t="s">
        <v>21</v>
      </c>
      <c r="F27" s="16" t="s">
        <v>22</v>
      </c>
      <c r="G27" s="16" t="s">
        <v>23</v>
      </c>
      <c r="H27" s="17" t="s">
        <v>24</v>
      </c>
      <c r="I27" s="16" t="s">
        <v>25</v>
      </c>
      <c r="J27" s="16" t="s">
        <v>26</v>
      </c>
      <c r="K27" s="18" t="s">
        <v>27</v>
      </c>
      <c r="L27" s="18" t="s">
        <v>28</v>
      </c>
      <c r="M27" s="18" t="s">
        <v>29</v>
      </c>
      <c r="N27" s="18" t="s">
        <v>30</v>
      </c>
      <c r="O27" s="18" t="s">
        <v>31</v>
      </c>
      <c r="P27" s="18" t="s">
        <v>32</v>
      </c>
      <c r="Q27" s="17" t="s">
        <v>33</v>
      </c>
      <c r="R27" s="18" t="s">
        <v>34</v>
      </c>
      <c r="S27" s="18" t="s">
        <v>35</v>
      </c>
    </row>
    <row r="28" spans="1:19" x14ac:dyDescent="0.25">
      <c r="A28" s="27" t="s">
        <v>75</v>
      </c>
      <c r="B28" s="600"/>
      <c r="C28" s="145"/>
      <c r="D28" s="145"/>
      <c r="E28" s="145"/>
      <c r="F28" s="145"/>
      <c r="G28" s="145"/>
      <c r="H28" s="145"/>
      <c r="I28" s="145"/>
      <c r="J28" s="31"/>
      <c r="K28" s="593"/>
      <c r="L28" s="145"/>
      <c r="M28" s="145"/>
      <c r="N28" s="145"/>
      <c r="O28" s="145"/>
      <c r="P28" s="145"/>
      <c r="Q28" s="145"/>
      <c r="R28" s="145"/>
      <c r="S28" s="594"/>
    </row>
    <row r="29" spans="1:19" x14ac:dyDescent="0.25">
      <c r="A29" s="27" t="s">
        <v>119</v>
      </c>
      <c r="B29" s="587">
        <f>0.375*'Equipment Trans Talega Seg 4 23'!Q50</f>
        <v>1.179643687388275</v>
      </c>
      <c r="C29" s="587">
        <f>0.375*'Equipment Trans Talega Seg 4 23'!R50</f>
        <v>7.0715832968982815</v>
      </c>
      <c r="D29" s="587">
        <f>0.375*'Equipment Trans Talega Seg 4 23'!S50</f>
        <v>7.8320332616472914</v>
      </c>
      <c r="E29" s="587">
        <f>0.375*'Equipment Trans Talega Seg 4 23'!T50</f>
        <v>2.9587683256710379E-2</v>
      </c>
      <c r="F29" s="587">
        <f>0.375*'Equipment Trans Talega Seg 4 23'!U50</f>
        <v>0.31191386713058872</v>
      </c>
      <c r="G29" s="587">
        <f>0.375*'Equipment Trans Talega Seg 4 23'!V50</f>
        <v>0.27760334174622403</v>
      </c>
      <c r="H29" s="587">
        <f>0.375*'Equipment Trans Talega Seg 4 23'!W50</f>
        <v>2926.7616176010624</v>
      </c>
      <c r="I29" s="587">
        <f>0.375*'Equipment Trans Talega Seg 4 23'!X50</f>
        <v>0.13370404430212329</v>
      </c>
      <c r="J29" s="587">
        <f>0.375*'Equipment Trans Talega Seg 4 23'!Y50</f>
        <v>0.7440431598564925</v>
      </c>
      <c r="K29" s="587">
        <f>0.375*'Equipment Trans Talega Seg 4 23'!E96</f>
        <v>4.1732831829416707E-2</v>
      </c>
      <c r="L29" s="587">
        <f>0.375*'Equipment Trans Talega Seg 4 23'!F96</f>
        <v>0.24927838416765025</v>
      </c>
      <c r="M29" s="587">
        <f>0.375*'Equipment Trans Talega Seg 4 23'!G96</f>
        <v>0.27755142600788596</v>
      </c>
      <c r="N29" s="587">
        <f>0.375*'Equipment Trans Talega Seg 4 23'!H96</f>
        <v>1.0327033128699787E-3</v>
      </c>
      <c r="O29" s="587">
        <f>0.375*'Equipment Trans Talega Seg 4 23'!I96</f>
        <v>1.1093723898690254E-2</v>
      </c>
      <c r="P29" s="587">
        <f>0.375*'Equipment Trans Talega Seg 4 23'!J96</f>
        <v>9.8734142698343255E-3</v>
      </c>
      <c r="Q29" s="587">
        <f>0.375*'Equipment Trans Talega Seg 4 23'!K96</f>
        <v>101.72334694150447</v>
      </c>
      <c r="R29" s="587">
        <f>0.375*'Equipment Trans Talega Seg 4 23'!L96</f>
        <v>4.734508656215268E-3</v>
      </c>
      <c r="S29" s="587">
        <f>0.375*'Equipment Trans Talega Seg 4 23'!M96</f>
        <v>2.6367385470749162E-2</v>
      </c>
    </row>
    <row r="30" spans="1:19" x14ac:dyDescent="0.25">
      <c r="A30" s="27" t="s">
        <v>120</v>
      </c>
      <c r="B30" s="587">
        <f>0.01725*WorkerTrips!I127</f>
        <v>1.6412543316254677E-2</v>
      </c>
      <c r="C30" s="587">
        <f>0.01725*WorkerTrips!G127</f>
        <v>0.14583234264441544</v>
      </c>
      <c r="D30" s="587">
        <f>0.01725*WorkerTrips!H127</f>
        <v>1.3113217479681371E-2</v>
      </c>
      <c r="E30" s="587">
        <f>0.01725*WorkerTrips!J127</f>
        <v>2.3196336314100868E-4</v>
      </c>
      <c r="F30" s="586">
        <f>0.01725*WorkerTrips!K127+0.01725*WorkerTrips!M127</f>
        <v>5.2755774364777012E-3</v>
      </c>
      <c r="G30" s="586">
        <f>0.01725*WorkerTrips!L127+0.01725*WorkerTrips!N127</f>
        <v>2.2359529228767414E-3</v>
      </c>
      <c r="H30" s="586">
        <f>0.01725*WorkerTrips!O127</f>
        <v>16.350081540241543</v>
      </c>
      <c r="I30" s="586">
        <f>0.01725*WorkerTrips!P127</f>
        <v>9.8334721502185024E-4</v>
      </c>
      <c r="J30" s="586">
        <f>0.01725*WorkerTrips!Q127</f>
        <v>1.7914551566833017E-3</v>
      </c>
      <c r="K30" s="590">
        <f>0.01725*WorkerTrips!U127</f>
        <v>5.4161392943640428E-4</v>
      </c>
      <c r="L30" s="590">
        <f>0.01725*WorkerTrips!S127</f>
        <v>4.8124673072657102E-3</v>
      </c>
      <c r="M30" s="590">
        <f>0.01725*WorkerTrips!T127</f>
        <v>4.3273617682948522E-4</v>
      </c>
      <c r="N30" s="590">
        <f>0.01725*WorkerTrips!V127</f>
        <v>7.654790983653286E-6</v>
      </c>
      <c r="O30" s="591">
        <f>0.01725*WorkerTrips!W127+0.01725*WorkerTrips!Y127</f>
        <v>1.7409405540376411E-4</v>
      </c>
      <c r="P30" s="591">
        <f>0.01725*WorkerTrips!X127+0.01725*WorkerTrips!Z127</f>
        <v>7.3786446454932487E-5</v>
      </c>
      <c r="Q30" s="591">
        <f>0.01725*WorkerTrips!AA127</f>
        <v>0.53955269082797086</v>
      </c>
      <c r="R30" s="591">
        <f>0.01725*WorkerTrips!AB127</f>
        <v>3.2450458095721061E-5</v>
      </c>
      <c r="S30" s="591">
        <f>0.01725*WorkerTrips!AC127</f>
        <v>5.9118020170548952E-5</v>
      </c>
    </row>
    <row r="31" spans="1:19" x14ac:dyDescent="0.25">
      <c r="A31" s="27" t="s">
        <v>121</v>
      </c>
      <c r="B31" s="587">
        <f>0.01725*'Construction Trucks'!V105</f>
        <v>8.935927167340289E-3</v>
      </c>
      <c r="C31" s="587">
        <f>0.01725*'Construction Trucks'!T105</f>
        <v>3.7702703422462201E-2</v>
      </c>
      <c r="D31" s="587">
        <f>0.01725*'Construction Trucks'!U105</f>
        <v>0.12073324283968045</v>
      </c>
      <c r="E31" s="587">
        <f>0.01725*'Construction Trucks'!W105</f>
        <v>3.8756587211495592E-4</v>
      </c>
      <c r="F31" s="586">
        <f>0.01725*'Construction Trucks'!X105+0.01725*'Construction Trucks'!Z105</f>
        <v>8.4789163778770174E-3</v>
      </c>
      <c r="G31" s="586">
        <f>0.01725*'Construction Trucks'!Y105+0.01725*'Construction Trucks'!AA105</f>
        <v>4.4182774881863177E-3</v>
      </c>
      <c r="H31" s="586">
        <f>0.01725*'Construction Trucks'!AB105</f>
        <v>57.750103501326279</v>
      </c>
      <c r="I31" s="586">
        <f>0.01725*'Construction Trucks'!AC105</f>
        <v>3.3000141643762873E-3</v>
      </c>
      <c r="J31" s="586">
        <f>0.01725*'Construction Trucks'!AD105</f>
        <v>1.4793266512899742E-3</v>
      </c>
      <c r="K31" s="592">
        <f>0.01725*'Construction Trucks'!AH105</f>
        <v>2.0903950081466391E-4</v>
      </c>
      <c r="L31" s="592">
        <f>0.01725*'Construction Trucks'!AF105</f>
        <v>9.278250912999695E-4</v>
      </c>
      <c r="M31" s="592">
        <f>0.01725*'Construction Trucks'!AG105</f>
        <v>2.4387496078913831E-3</v>
      </c>
      <c r="N31" s="592">
        <f>0.01725*'Construction Trucks'!AI105</f>
        <v>8.37204786708946E-6</v>
      </c>
      <c r="O31" s="586">
        <f>0.01725*'Construction Trucks'!AJ105+0.01725*'Construction Trucks'!AL105</f>
        <v>2.3154905122881031E-4</v>
      </c>
      <c r="P31" s="586">
        <f>0.01725*'Construction Trucks'!AK105+0.01725*'Construction Trucks'!AM105</f>
        <v>1.2803860333113128E-4</v>
      </c>
      <c r="Q31" s="586">
        <f>0.01725*'Construction Trucks'!AN105</f>
        <v>1.1641328744952522</v>
      </c>
      <c r="R31" s="586">
        <f>0.01725*'Construction Trucks'!AO105</f>
        <v>6.652204484728219E-5</v>
      </c>
      <c r="S31" s="586">
        <f>0.01725*'Construction Trucks'!AP105</f>
        <v>2.9820427713070381E-5</v>
      </c>
    </row>
    <row r="32" spans="1:19" x14ac:dyDescent="0.25">
      <c r="A32" s="137" t="s">
        <v>122</v>
      </c>
      <c r="B32" s="588"/>
      <c r="C32" s="589"/>
      <c r="D32" s="589"/>
      <c r="E32" s="589"/>
      <c r="F32" s="586">
        <f>0.375*'Fugitive Dust Transmission'!$C$150</f>
        <v>33.664200789237682</v>
      </c>
      <c r="G32" s="586">
        <f>0.375*'Fugitive Dust Transmission'!$D$150</f>
        <v>10.045708467717198</v>
      </c>
      <c r="H32" s="589"/>
      <c r="I32" s="589"/>
      <c r="J32" s="588"/>
      <c r="K32" s="593"/>
      <c r="L32" s="145"/>
      <c r="M32" s="145"/>
      <c r="N32" s="145"/>
      <c r="O32" s="215">
        <f>0.375*'Fugitive Dust Transmission'!C157</f>
        <v>1.4812248347264583</v>
      </c>
      <c r="P32" s="215">
        <f>0.375*'Fugitive Dust Transmission'!D157</f>
        <v>0.44201117257955669</v>
      </c>
      <c r="Q32" s="145"/>
      <c r="R32" s="145"/>
      <c r="S32" s="594"/>
    </row>
    <row r="33" spans="1:19" x14ac:dyDescent="0.25">
      <c r="A33" s="19" t="s">
        <v>123</v>
      </c>
      <c r="B33" s="588">
        <f>SUM(B29:B32)</f>
        <v>1.2049921578718701</v>
      </c>
      <c r="C33" s="588">
        <f t="shared" ref="C33:S33" si="4">SUM(C29:C32)</f>
        <v>7.2551183429651589</v>
      </c>
      <c r="D33" s="588">
        <f t="shared" si="4"/>
        <v>7.9658797219666528</v>
      </c>
      <c r="E33" s="588">
        <f t="shared" si="4"/>
        <v>3.0207212491966343E-2</v>
      </c>
      <c r="F33" s="588">
        <f t="shared" si="4"/>
        <v>33.989869150182628</v>
      </c>
      <c r="G33" s="588">
        <f t="shared" si="4"/>
        <v>10.329966039874485</v>
      </c>
      <c r="H33" s="588">
        <f t="shared" si="4"/>
        <v>3000.8618026426302</v>
      </c>
      <c r="I33" s="588">
        <f t="shared" si="4"/>
        <v>0.13798740568152143</v>
      </c>
      <c r="J33" s="588">
        <f t="shared" si="4"/>
        <v>0.74731394166446585</v>
      </c>
      <c r="K33" s="588">
        <f t="shared" si="4"/>
        <v>4.2483485259667775E-2</v>
      </c>
      <c r="L33" s="588">
        <f t="shared" si="4"/>
        <v>0.25501867656621591</v>
      </c>
      <c r="M33" s="588">
        <f t="shared" si="4"/>
        <v>0.28042291179260681</v>
      </c>
      <c r="N33" s="588">
        <f t="shared" si="4"/>
        <v>1.0487301517207214E-3</v>
      </c>
      <c r="O33" s="588">
        <f t="shared" si="4"/>
        <v>1.492724201731781</v>
      </c>
      <c r="P33" s="588">
        <f t="shared" si="4"/>
        <v>0.45208641189917709</v>
      </c>
      <c r="Q33" s="588">
        <f t="shared" si="4"/>
        <v>103.4270325068277</v>
      </c>
      <c r="R33" s="588">
        <f t="shared" si="4"/>
        <v>4.8334811591582713E-3</v>
      </c>
      <c r="S33" s="588">
        <f t="shared" si="4"/>
        <v>2.6456323918632781E-2</v>
      </c>
    </row>
    <row r="34" spans="1:19" x14ac:dyDescent="0.25">
      <c r="A34" s="216" t="s">
        <v>124</v>
      </c>
      <c r="B34" s="216">
        <v>75</v>
      </c>
      <c r="C34" s="216">
        <v>550</v>
      </c>
      <c r="D34" s="216">
        <v>250</v>
      </c>
      <c r="E34" s="216">
        <v>150</v>
      </c>
      <c r="F34" s="216">
        <v>150</v>
      </c>
      <c r="G34" s="216">
        <v>55</v>
      </c>
      <c r="H34" s="216" t="s">
        <v>126</v>
      </c>
      <c r="I34" s="216" t="s">
        <v>126</v>
      </c>
      <c r="J34" s="216" t="s">
        <v>126</v>
      </c>
      <c r="K34" s="593"/>
      <c r="L34" s="145"/>
      <c r="M34" s="145"/>
      <c r="N34" s="145"/>
      <c r="O34" s="145"/>
      <c r="P34" s="145"/>
      <c r="Q34" s="145"/>
      <c r="R34" s="145"/>
      <c r="S34" s="594"/>
    </row>
    <row r="35" spans="1:19" x14ac:dyDescent="0.25">
      <c r="A35" s="27" t="s">
        <v>125</v>
      </c>
      <c r="B35" s="27" t="str">
        <f>IF(B33&gt;B34,"Yes","No")</f>
        <v>No</v>
      </c>
      <c r="C35" s="27" t="str">
        <f t="shared" ref="C35:G35" si="5">IF(C33&gt;C34,"Yes","No")</f>
        <v>No</v>
      </c>
      <c r="D35" s="27" t="str">
        <f t="shared" si="5"/>
        <v>No</v>
      </c>
      <c r="E35" s="27" t="str">
        <f t="shared" si="5"/>
        <v>No</v>
      </c>
      <c r="F35" s="27" t="str">
        <f t="shared" si="5"/>
        <v>No</v>
      </c>
      <c r="G35" s="27" t="str">
        <f t="shared" si="5"/>
        <v>No</v>
      </c>
      <c r="H35" s="27" t="s">
        <v>126</v>
      </c>
      <c r="I35" s="27" t="s">
        <v>126</v>
      </c>
      <c r="J35" s="27" t="s">
        <v>126</v>
      </c>
      <c r="K35" s="593"/>
      <c r="L35" s="145"/>
      <c r="M35" s="145"/>
      <c r="N35" s="145"/>
      <c r="O35" s="145"/>
      <c r="P35" s="145"/>
      <c r="Q35" s="145"/>
      <c r="R35" s="145"/>
      <c r="S35" s="594"/>
    </row>
    <row r="36" spans="1:19" x14ac:dyDescent="0.25">
      <c r="A36" s="585"/>
      <c r="B36" s="603"/>
      <c r="C36" s="602"/>
      <c r="D36" s="602"/>
      <c r="E36" s="602"/>
      <c r="F36" s="602"/>
      <c r="G36" s="602"/>
      <c r="H36" s="602"/>
      <c r="I36" s="602"/>
      <c r="J36" s="11"/>
      <c r="K36" s="604"/>
      <c r="L36" s="609"/>
      <c r="M36" s="609"/>
      <c r="N36" s="609"/>
      <c r="O36" s="609"/>
      <c r="P36" s="609"/>
      <c r="Q36" s="609"/>
      <c r="R36" s="609"/>
      <c r="S36" s="610"/>
    </row>
    <row r="37" spans="1:19" x14ac:dyDescent="0.25">
      <c r="A37" s="585"/>
      <c r="B37" s="603"/>
      <c r="C37" s="602"/>
      <c r="D37" s="602"/>
      <c r="E37" s="602"/>
      <c r="F37" s="602"/>
      <c r="G37" s="602"/>
      <c r="H37" s="602"/>
      <c r="I37" s="602"/>
      <c r="J37" s="11"/>
      <c r="K37" s="604"/>
      <c r="L37" s="609"/>
      <c r="M37" s="609"/>
      <c r="N37" s="609"/>
      <c r="O37" s="609"/>
      <c r="P37" s="609"/>
      <c r="Q37" s="609"/>
      <c r="R37" s="609"/>
      <c r="S37" s="610"/>
    </row>
    <row r="38" spans="1:19" x14ac:dyDescent="0.25">
      <c r="A38" s="585">
        <v>2019</v>
      </c>
      <c r="B38" s="603"/>
      <c r="C38" s="602"/>
      <c r="D38" s="602"/>
      <c r="E38" s="602"/>
      <c r="F38" s="602"/>
      <c r="G38" s="602"/>
      <c r="H38" s="602"/>
      <c r="I38" s="602"/>
      <c r="J38" s="11"/>
      <c r="K38" s="598"/>
      <c r="L38" s="112"/>
      <c r="M38" s="112"/>
      <c r="N38" s="112"/>
      <c r="O38" s="112"/>
      <c r="P38" s="112"/>
      <c r="Q38" s="112"/>
      <c r="R38" s="112"/>
      <c r="S38" s="599"/>
    </row>
    <row r="39" spans="1:19" ht="39.6" x14ac:dyDescent="0.25">
      <c r="A39" s="22" t="str">
        <f>'Equipment Trans Talega Seg 4'!A2</f>
        <v>Segment 4: Talega Hub 138-kV and 69-kV Transmission Lines</v>
      </c>
      <c r="B39" s="16" t="s">
        <v>18</v>
      </c>
      <c r="C39" s="16" t="s">
        <v>19</v>
      </c>
      <c r="D39" s="16" t="s">
        <v>20</v>
      </c>
      <c r="E39" s="16" t="s">
        <v>21</v>
      </c>
      <c r="F39" s="16" t="s">
        <v>22</v>
      </c>
      <c r="G39" s="16" t="s">
        <v>23</v>
      </c>
      <c r="H39" s="17" t="s">
        <v>24</v>
      </c>
      <c r="I39" s="16" t="s">
        <v>25</v>
      </c>
      <c r="J39" s="16" t="s">
        <v>26</v>
      </c>
      <c r="K39" s="18" t="s">
        <v>27</v>
      </c>
      <c r="L39" s="18" t="s">
        <v>28</v>
      </c>
      <c r="M39" s="18" t="s">
        <v>29</v>
      </c>
      <c r="N39" s="18" t="s">
        <v>30</v>
      </c>
      <c r="O39" s="18" t="s">
        <v>31</v>
      </c>
      <c r="P39" s="18" t="s">
        <v>32</v>
      </c>
      <c r="Q39" s="17" t="s">
        <v>33</v>
      </c>
      <c r="R39" s="18" t="s">
        <v>34</v>
      </c>
      <c r="S39" s="18" t="s">
        <v>35</v>
      </c>
    </row>
    <row r="40" spans="1:19" x14ac:dyDescent="0.25">
      <c r="A40" s="27" t="s">
        <v>75</v>
      </c>
      <c r="B40" s="600"/>
      <c r="C40" s="145"/>
      <c r="D40" s="145"/>
      <c r="E40" s="145"/>
      <c r="F40" s="145"/>
      <c r="G40" s="145"/>
      <c r="H40" s="145"/>
      <c r="I40" s="145"/>
      <c r="J40" s="31"/>
      <c r="K40" s="593"/>
      <c r="L40" s="145"/>
      <c r="M40" s="145"/>
      <c r="N40" s="145"/>
      <c r="O40" s="145"/>
      <c r="P40" s="145"/>
      <c r="Q40" s="145"/>
      <c r="R40" s="145"/>
      <c r="S40" s="594"/>
    </row>
    <row r="41" spans="1:19" x14ac:dyDescent="0.25">
      <c r="A41" s="27" t="s">
        <v>119</v>
      </c>
      <c r="B41" s="587">
        <f>0.375*'Equipment Trans Talega Seg 4'!Q20</f>
        <v>3.5589512607176088</v>
      </c>
      <c r="C41" s="587">
        <f>0.375*'Equipment Trans Talega Seg 4'!R20</f>
        <v>21.597916032493195</v>
      </c>
      <c r="D41" s="587">
        <f>0.375*'Equipment Trans Talega Seg 4'!S20</f>
        <v>21.120742486831212</v>
      </c>
      <c r="E41" s="587">
        <f>0.375*'Equipment Trans Talega Seg 4'!T20</f>
        <v>8.4035866515002916E-2</v>
      </c>
      <c r="F41" s="587">
        <f>0.375*'Equipment Trans Talega Seg 4'!U20</f>
        <v>0.82081983203201414</v>
      </c>
      <c r="G41" s="587">
        <f>0.375*'Equipment Trans Talega Seg 4'!V20</f>
        <v>0.7305296505084925</v>
      </c>
      <c r="H41" s="587">
        <f>0.375*'Equipment Trans Talega Seg 4'!W20</f>
        <v>7856.7046063420185</v>
      </c>
      <c r="I41" s="587">
        <f>0.375*'Equipment Trans Talega Seg 4'!X20</f>
        <v>0.45933176311137702</v>
      </c>
      <c r="J41" s="587">
        <f>0.375*'Equipment Trans Talega Seg 4'!Y20</f>
        <v>2.0064705362489654</v>
      </c>
      <c r="K41" s="587">
        <f>0.375*'Equipment Trans Talega Seg 4'!E66</f>
        <v>6.6257132361475179E-2</v>
      </c>
      <c r="L41" s="587">
        <f>0.375*'Equipment Trans Talega Seg 4'!F66</f>
        <v>0.38387398009548213</v>
      </c>
      <c r="M41" s="587">
        <f>0.375*'Equipment Trans Talega Seg 4'!G66</f>
        <v>0.39093280587374224</v>
      </c>
      <c r="N41" s="587">
        <f>0.375*'Equipment Trans Talega Seg 4'!H66</f>
        <v>1.5936205653336193E-3</v>
      </c>
      <c r="O41" s="587">
        <f>0.375*'Equipment Trans Talega Seg 4'!I66</f>
        <v>1.4814027396784335E-2</v>
      </c>
      <c r="P41" s="587">
        <f>0.375*'Equipment Trans Talega Seg 4'!J66</f>
        <v>1.3184484383138058E-2</v>
      </c>
      <c r="Q41" s="587">
        <f>0.375*'Equipment Trans Talega Seg 4'!K66</f>
        <v>148.72311023087366</v>
      </c>
      <c r="R41" s="587">
        <f>0.375*'Equipment Trans Talega Seg 4'!L66</f>
        <v>8.5532745408812838E-3</v>
      </c>
      <c r="S41" s="587">
        <f>0.375*'Equipment Trans Talega Seg 4'!M66</f>
        <v>3.7138616558005509E-2</v>
      </c>
    </row>
    <row r="42" spans="1:19" x14ac:dyDescent="0.25">
      <c r="A42" s="27" t="s">
        <v>120</v>
      </c>
      <c r="B42" s="587">
        <f>0.01725*WorkerTrips!I114</f>
        <v>1.4735574111839502E-2</v>
      </c>
      <c r="C42" s="587">
        <f>0.01725*WorkerTrips!G114</f>
        <v>0.12574694044104182</v>
      </c>
      <c r="D42" s="587">
        <f>0.01725*WorkerTrips!H114</f>
        <v>1.1253629992564273E-2</v>
      </c>
      <c r="E42" s="587">
        <f>0.01725*WorkerTrips!J114</f>
        <v>2.3145597191537442E-4</v>
      </c>
      <c r="F42" s="586">
        <f>0.01725*WorkerTrips!K114+0.01725*WorkerTrips!M114</f>
        <v>5.2592680536753134E-3</v>
      </c>
      <c r="G42" s="586">
        <f>0.01725*WorkerTrips!L114+0.01725*WorkerTrips!N114</f>
        <v>2.2210742376704501E-3</v>
      </c>
      <c r="H42" s="586">
        <f>0.01725*WorkerTrips!O114</f>
        <v>15.191688625152761</v>
      </c>
      <c r="I42" s="586">
        <f>0.01725*WorkerTrips!P114</f>
        <v>9.8234577808725904E-4</v>
      </c>
      <c r="J42" s="586">
        <f>0.01725*WorkerTrips!Q114</f>
        <v>1.7910145211794085E-3</v>
      </c>
      <c r="K42" s="590">
        <f>0.01725*WorkerTrips!U114</f>
        <v>4.862739456907036E-4</v>
      </c>
      <c r="L42" s="590">
        <f>0.01725*WorkerTrips!S114</f>
        <v>4.1496490345543802E-3</v>
      </c>
      <c r="M42" s="590">
        <f>0.01725*WorkerTrips!T114</f>
        <v>3.7136978975462105E-4</v>
      </c>
      <c r="N42" s="590">
        <f>0.01725*WorkerTrips!V114</f>
        <v>7.6380470732073557E-6</v>
      </c>
      <c r="O42" s="591">
        <f>0.01725*WorkerTrips!W114+0.01725*WorkerTrips!Y114</f>
        <v>1.7355584577128535E-4</v>
      </c>
      <c r="P42" s="591">
        <f>0.01725*WorkerTrips!X114+0.01725*WorkerTrips!Z114</f>
        <v>7.3295449843124863E-5</v>
      </c>
      <c r="Q42" s="591">
        <f>0.01725*WorkerTrips!AA114</f>
        <v>0.5013257246300411</v>
      </c>
      <c r="R42" s="591">
        <f>0.01725*WorkerTrips!AB114</f>
        <v>3.2417410676879545E-5</v>
      </c>
      <c r="S42" s="591">
        <f>0.01725*WorkerTrips!AC114</f>
        <v>5.910347919892048E-5</v>
      </c>
    </row>
    <row r="43" spans="1:19" x14ac:dyDescent="0.25">
      <c r="A43" s="27" t="s">
        <v>121</v>
      </c>
      <c r="B43" s="587">
        <f>0.01725*'Construction Trucks'!V13</f>
        <v>1.0840015668015592E-2</v>
      </c>
      <c r="C43" s="587">
        <f>0.01725*'Construction Trucks'!T13</f>
        <v>4.5662969989472203E-2</v>
      </c>
      <c r="D43" s="587">
        <f>0.01725*'Construction Trucks'!U13</f>
        <v>0.13462249501801762</v>
      </c>
      <c r="E43" s="587">
        <f>0.01725*'Construction Trucks'!W13</f>
        <v>4.9260473583143051E-4</v>
      </c>
      <c r="F43" s="586">
        <f>0.01725*'Construction Trucks'!X13+0.01725*'Construction Trucks'!Z13</f>
        <v>1.0527624480224752E-2</v>
      </c>
      <c r="G43" s="586">
        <f>0.01725*'Construction Trucks'!Y13+0.01725*'Construction Trucks'!AA13</f>
        <v>5.3920497227666056E-3</v>
      </c>
      <c r="H43" s="586">
        <f>0.01725*'Construction Trucks'!AB13</f>
        <v>72.072407641135413</v>
      </c>
      <c r="I43" s="586">
        <f>0.01725*'Construction Trucks'!AC13</f>
        <v>4.1184335898374006E-3</v>
      </c>
      <c r="J43" s="586">
        <f>0.01725*'Construction Trucks'!AD13</f>
        <v>1.8462067941353247E-3</v>
      </c>
      <c r="K43" s="592">
        <f>0.01725*'Construction Trucks'!AH13</f>
        <v>2.1248149115114906E-4</v>
      </c>
      <c r="L43" s="592">
        <f>0.01725*'Construction Trucks'!AF13</f>
        <v>9.3947738447579384E-4</v>
      </c>
      <c r="M43" s="592">
        <f>0.01725*'Construction Trucks'!AG13</f>
        <v>2.3630660939680569E-3</v>
      </c>
      <c r="N43" s="592">
        <f>0.01725*'Construction Trucks'!AI13</f>
        <v>9.1689899577103139E-6</v>
      </c>
      <c r="O43" s="586">
        <f>0.01725*'Construction Trucks'!AJ13+0.01725*'Construction Trucks'!AL13</f>
        <v>2.4004063113823189E-4</v>
      </c>
      <c r="P43" s="586">
        <f>0.01725*'Construction Trucks'!AK13+0.01725*'Construction Trucks'!AM13</f>
        <v>1.2870957133019487E-4</v>
      </c>
      <c r="Q43" s="586">
        <f>0.01725*'Construction Trucks'!AN13</f>
        <v>1.2551701864064253</v>
      </c>
      <c r="R43" s="586">
        <f>0.01725*'Construction Trucks'!AO13</f>
        <v>7.1724189961822348E-5</v>
      </c>
      <c r="S43" s="586">
        <f>0.01725*'Construction Trucks'!AP13</f>
        <v>3.2152439494986993E-5</v>
      </c>
    </row>
    <row r="44" spans="1:19" x14ac:dyDescent="0.25">
      <c r="A44" s="137" t="s">
        <v>122</v>
      </c>
      <c r="B44" s="588"/>
      <c r="C44" s="589"/>
      <c r="D44" s="589"/>
      <c r="E44" s="589"/>
      <c r="F44" s="586">
        <f>0.375*'Fugitive Dust Transmission'!$C$150</f>
        <v>33.664200789237682</v>
      </c>
      <c r="G44" s="586">
        <f>0.375*'Fugitive Dust Transmission'!$D$150</f>
        <v>10.045708467717198</v>
      </c>
      <c r="H44" s="589"/>
      <c r="I44" s="589"/>
      <c r="J44" s="588"/>
      <c r="K44" s="593"/>
      <c r="L44" s="145"/>
      <c r="M44" s="145"/>
      <c r="N44" s="145"/>
      <c r="O44" s="215">
        <f>0.375*'Fugitive Dust Transmission'!C152</f>
        <v>2.5921434607713016</v>
      </c>
      <c r="P44" s="215">
        <f>0.375*'Fugitive Dust Transmission'!D152</f>
        <v>0.77351955201422418</v>
      </c>
      <c r="Q44" s="145"/>
      <c r="R44" s="145"/>
      <c r="S44" s="594"/>
    </row>
    <row r="45" spans="1:19" x14ac:dyDescent="0.25">
      <c r="A45" s="19" t="s">
        <v>123</v>
      </c>
      <c r="B45" s="588">
        <f>SUM(B41:B44)</f>
        <v>3.5845268504974639</v>
      </c>
      <c r="C45" s="588">
        <f t="shared" ref="C45:S45" si="6">SUM(C41:C44)</f>
        <v>21.769325942923707</v>
      </c>
      <c r="D45" s="588">
        <f t="shared" si="6"/>
        <v>21.266618611841793</v>
      </c>
      <c r="E45" s="588">
        <f t="shared" si="6"/>
        <v>8.475992722274972E-2</v>
      </c>
      <c r="F45" s="588">
        <f t="shared" si="6"/>
        <v>34.500807513803593</v>
      </c>
      <c r="G45" s="588">
        <f t="shared" si="6"/>
        <v>10.783851242186127</v>
      </c>
      <c r="H45" s="588">
        <f t="shared" si="6"/>
        <v>7943.9687026083066</v>
      </c>
      <c r="I45" s="588">
        <f t="shared" si="6"/>
        <v>0.46443254247930166</v>
      </c>
      <c r="J45" s="588">
        <f t="shared" si="6"/>
        <v>2.0101077575642798</v>
      </c>
      <c r="K45" s="588">
        <f t="shared" si="6"/>
        <v>6.6955887798317029E-2</v>
      </c>
      <c r="L45" s="588">
        <f t="shared" si="6"/>
        <v>0.38896310651451232</v>
      </c>
      <c r="M45" s="588">
        <f t="shared" si="6"/>
        <v>0.39366724175746493</v>
      </c>
      <c r="N45" s="588">
        <f t="shared" si="6"/>
        <v>1.6104276023645372E-3</v>
      </c>
      <c r="O45" s="588">
        <f t="shared" si="6"/>
        <v>2.6073710846449956</v>
      </c>
      <c r="P45" s="588">
        <f t="shared" si="6"/>
        <v>0.7869060414185356</v>
      </c>
      <c r="Q45" s="588">
        <f t="shared" si="6"/>
        <v>150.47960614191012</v>
      </c>
      <c r="R45" s="588">
        <f t="shared" si="6"/>
        <v>8.6574161415199861E-3</v>
      </c>
      <c r="S45" s="588">
        <f t="shared" si="6"/>
        <v>3.722987247669942E-2</v>
      </c>
    </row>
    <row r="46" spans="1:19" x14ac:dyDescent="0.25">
      <c r="A46" s="216" t="s">
        <v>124</v>
      </c>
      <c r="B46" s="216">
        <v>75</v>
      </c>
      <c r="C46" s="216">
        <v>550</v>
      </c>
      <c r="D46" s="216">
        <v>250</v>
      </c>
      <c r="E46" s="216">
        <v>150</v>
      </c>
      <c r="F46" s="216">
        <v>150</v>
      </c>
      <c r="G46" s="216">
        <v>55</v>
      </c>
      <c r="H46" s="216" t="s">
        <v>126</v>
      </c>
      <c r="I46" s="216" t="s">
        <v>126</v>
      </c>
      <c r="J46" s="216" t="s">
        <v>126</v>
      </c>
      <c r="K46" s="593"/>
      <c r="L46" s="145"/>
      <c r="M46" s="145"/>
      <c r="N46" s="145"/>
      <c r="O46" s="145"/>
      <c r="P46" s="145"/>
      <c r="Q46" s="145"/>
      <c r="R46" s="145"/>
      <c r="S46" s="594"/>
    </row>
    <row r="47" spans="1:19" x14ac:dyDescent="0.25">
      <c r="A47" s="27" t="s">
        <v>125</v>
      </c>
      <c r="B47" s="27" t="str">
        <f>IF(B45&gt;B46,"Yes","No")</f>
        <v>No</v>
      </c>
      <c r="C47" s="27" t="str">
        <f t="shared" ref="C47:G47" si="7">IF(C45&gt;C46,"Yes","No")</f>
        <v>No</v>
      </c>
      <c r="D47" s="27" t="str">
        <f t="shared" si="7"/>
        <v>No</v>
      </c>
      <c r="E47" s="27" t="str">
        <f t="shared" si="7"/>
        <v>No</v>
      </c>
      <c r="F47" s="27" t="str">
        <f t="shared" si="7"/>
        <v>No</v>
      </c>
      <c r="G47" s="27" t="str">
        <f t="shared" si="7"/>
        <v>No</v>
      </c>
      <c r="H47" s="27" t="s">
        <v>126</v>
      </c>
      <c r="I47" s="27" t="s">
        <v>126</v>
      </c>
      <c r="J47" s="27" t="s">
        <v>126</v>
      </c>
      <c r="K47" s="593"/>
      <c r="L47" s="145"/>
      <c r="M47" s="145"/>
      <c r="N47" s="145"/>
      <c r="O47" s="145"/>
      <c r="P47" s="145"/>
      <c r="Q47" s="145"/>
      <c r="R47" s="145"/>
      <c r="S47" s="594"/>
    </row>
    <row r="48" spans="1:19" x14ac:dyDescent="0.25">
      <c r="A48" s="585"/>
      <c r="B48" s="603"/>
      <c r="C48" s="602"/>
      <c r="D48" s="602"/>
      <c r="E48" s="602"/>
      <c r="F48" s="602"/>
      <c r="G48" s="602"/>
      <c r="H48" s="602"/>
      <c r="I48" s="602"/>
      <c r="J48" s="11"/>
      <c r="K48" s="598"/>
      <c r="L48" s="112"/>
      <c r="M48" s="112"/>
      <c r="N48" s="112"/>
      <c r="O48" s="112"/>
      <c r="P48" s="112"/>
      <c r="Q48" s="112"/>
      <c r="R48" s="112"/>
      <c r="S48" s="599"/>
    </row>
    <row r="49" spans="1:19" x14ac:dyDescent="0.25">
      <c r="A49" s="585"/>
      <c r="B49" s="617"/>
      <c r="C49" s="617"/>
      <c r="D49" s="617"/>
      <c r="E49" s="617"/>
      <c r="F49" s="618"/>
      <c r="G49" s="618"/>
      <c r="H49" s="618"/>
      <c r="I49" s="618"/>
      <c r="J49" s="618"/>
      <c r="K49" s="619"/>
      <c r="L49" s="619"/>
      <c r="M49" s="619"/>
      <c r="N49" s="619"/>
      <c r="O49" s="618"/>
      <c r="P49" s="618"/>
      <c r="Q49" s="618"/>
      <c r="R49" s="618"/>
      <c r="S49" s="618"/>
    </row>
    <row r="50" spans="1:19" x14ac:dyDescent="0.25">
      <c r="A50" s="585">
        <v>2020</v>
      </c>
      <c r="B50" s="603"/>
      <c r="C50" s="602"/>
      <c r="D50" s="602"/>
      <c r="E50" s="602"/>
      <c r="F50" s="602"/>
      <c r="G50" s="602"/>
      <c r="H50" s="602"/>
      <c r="I50" s="602"/>
      <c r="J50" s="11"/>
      <c r="K50" s="604"/>
      <c r="L50" s="609"/>
      <c r="M50" s="609"/>
      <c r="N50" s="609"/>
      <c r="O50" s="609"/>
      <c r="P50" s="609"/>
      <c r="Q50" s="609"/>
      <c r="R50" s="609"/>
      <c r="S50" s="610"/>
    </row>
    <row r="51" spans="1:19" ht="39.6" x14ac:dyDescent="0.25">
      <c r="A51" s="22" t="str">
        <f>'Equipment Trans Talega Seg 4'!A2</f>
        <v>Segment 4: Talega Hub 138-kV and 69-kV Transmission Lines</v>
      </c>
      <c r="B51" s="16" t="s">
        <v>18</v>
      </c>
      <c r="C51" s="16" t="s">
        <v>19</v>
      </c>
      <c r="D51" s="16" t="s">
        <v>20</v>
      </c>
      <c r="E51" s="16" t="s">
        <v>21</v>
      </c>
      <c r="F51" s="16" t="s">
        <v>22</v>
      </c>
      <c r="G51" s="16" t="s">
        <v>23</v>
      </c>
      <c r="H51" s="17" t="s">
        <v>24</v>
      </c>
      <c r="I51" s="16" t="s">
        <v>25</v>
      </c>
      <c r="J51" s="16" t="s">
        <v>26</v>
      </c>
      <c r="K51" s="18" t="s">
        <v>27</v>
      </c>
      <c r="L51" s="18" t="s">
        <v>28</v>
      </c>
      <c r="M51" s="18" t="s">
        <v>29</v>
      </c>
      <c r="N51" s="18" t="s">
        <v>30</v>
      </c>
      <c r="O51" s="18" t="s">
        <v>31</v>
      </c>
      <c r="P51" s="18" t="s">
        <v>32</v>
      </c>
      <c r="Q51" s="17" t="s">
        <v>33</v>
      </c>
      <c r="R51" s="18" t="s">
        <v>34</v>
      </c>
      <c r="S51" s="18" t="s">
        <v>35</v>
      </c>
    </row>
    <row r="52" spans="1:19" x14ac:dyDescent="0.25">
      <c r="A52" s="27" t="s">
        <v>75</v>
      </c>
      <c r="B52" s="600"/>
      <c r="C52" s="145"/>
      <c r="D52" s="145"/>
      <c r="E52" s="145"/>
      <c r="F52" s="145"/>
      <c r="G52" s="145"/>
      <c r="H52" s="145"/>
      <c r="I52" s="145"/>
      <c r="J52" s="31"/>
      <c r="K52" s="593"/>
      <c r="L52" s="145"/>
      <c r="M52" s="145"/>
      <c r="N52" s="145"/>
      <c r="O52" s="145"/>
      <c r="P52" s="145"/>
      <c r="Q52" s="145"/>
      <c r="R52" s="145"/>
      <c r="S52" s="594"/>
    </row>
    <row r="53" spans="1:19" x14ac:dyDescent="0.25">
      <c r="A53" s="27" t="s">
        <v>119</v>
      </c>
      <c r="B53" s="587">
        <f>0.378*'Equipment Trans Talega Seg 4'!Q50</f>
        <v>2.0184804043187983</v>
      </c>
      <c r="C53" s="587">
        <f>0.378*'Equipment Trans Talega Seg 4'!R50</f>
        <v>18.864365755536284</v>
      </c>
      <c r="D53" s="587">
        <f>0.378*'Equipment Trans Talega Seg 4'!S50</f>
        <v>12.279065719820116</v>
      </c>
      <c r="E53" s="587">
        <f>0.378*'Equipment Trans Talega Seg 4'!T50</f>
        <v>6.0850372706660202E-2</v>
      </c>
      <c r="F53" s="587">
        <f>0.378*'Equipment Trans Talega Seg 4'!U50</f>
        <v>0.46299773870706645</v>
      </c>
      <c r="G53" s="587">
        <f>0.378*'Equipment Trans Talega Seg 4'!V50</f>
        <v>0.41206798744928919</v>
      </c>
      <c r="H53" s="587">
        <f>0.378*'Equipment Trans Talega Seg 4'!W50</f>
        <v>5766.1199419160785</v>
      </c>
      <c r="I53" s="587">
        <f>0.378*'Equipment Trans Talega Seg 4'!X50</f>
        <v>0.28091425749139015</v>
      </c>
      <c r="J53" s="587">
        <f>0.378*'Equipment Trans Talega Seg 4'!Y50</f>
        <v>1.166511243382911</v>
      </c>
      <c r="K53" s="587">
        <f>0.378*'Equipment Trans Talega Seg 4'!E96</f>
        <v>8.0582689301002874E-2</v>
      </c>
      <c r="L53" s="587">
        <f>0.378*'Equipment Trans Talega Seg 4'!F96</f>
        <v>0.77162676771885808</v>
      </c>
      <c r="M53" s="587">
        <f>0.378*'Equipment Trans Talega Seg 4'!G96</f>
        <v>0.51665533399924124</v>
      </c>
      <c r="N53" s="587">
        <f>0.378*'Equipment Trans Talega Seg 4'!H96</f>
        <v>2.3307906019399559E-3</v>
      </c>
      <c r="O53" s="587">
        <f>0.378*'Equipment Trans Talega Seg 4'!I96</f>
        <v>1.9207104959316854E-2</v>
      </c>
      <c r="P53" s="587">
        <f>0.378*'Equipment Trans Talega Seg 4'!J96</f>
        <v>1.7094323413792002E-2</v>
      </c>
      <c r="Q53" s="587">
        <f>0.378*'Equipment Trans Talega Seg 4'!K96</f>
        <v>219.26311975600825</v>
      </c>
      <c r="R53" s="587">
        <f>0.378*'Equipment Trans Talega Seg 4'!L96</f>
        <v>1.1368027250977575E-2</v>
      </c>
      <c r="S53" s="587">
        <f>0.378*'Equipment Trans Talega Seg 4'!M96</f>
        <v>4.9082256729927928E-2</v>
      </c>
    </row>
    <row r="54" spans="1:19" x14ac:dyDescent="0.25">
      <c r="A54" s="27" t="s">
        <v>120</v>
      </c>
      <c r="B54" s="587">
        <f>0.01725*WorkerTrips!I114</f>
        <v>1.4735574111839502E-2</v>
      </c>
      <c r="C54" s="587">
        <f>0.01725*WorkerTrips!G114</f>
        <v>0.12574694044104182</v>
      </c>
      <c r="D54" s="587">
        <f>0.01725*WorkerTrips!H114</f>
        <v>1.1253629992564273E-2</v>
      </c>
      <c r="E54" s="587">
        <f>0.01725*WorkerTrips!J114</f>
        <v>2.3145597191537442E-4</v>
      </c>
      <c r="F54" s="586">
        <f>0.01725*WorkerTrips!K114+0.01725*WorkerTrips!M114</f>
        <v>5.2592680536753134E-3</v>
      </c>
      <c r="G54" s="586">
        <f>0.01725*WorkerTrips!L114+0.01725*WorkerTrips!N114</f>
        <v>2.2210742376704501E-3</v>
      </c>
      <c r="H54" s="586">
        <f>0.01725*WorkerTrips!O114</f>
        <v>15.191688625152761</v>
      </c>
      <c r="I54" s="586">
        <f>0.01725*WorkerTrips!P114</f>
        <v>9.8234577808725904E-4</v>
      </c>
      <c r="J54" s="586">
        <f>0.01725*WorkerTrips!Q114</f>
        <v>1.7910145211794085E-3</v>
      </c>
      <c r="K54" s="590">
        <f>0.01725*WorkerTrips!U114</f>
        <v>4.862739456907036E-4</v>
      </c>
      <c r="L54" s="590">
        <f>0.01725*WorkerTrips!S114</f>
        <v>4.1496490345543802E-3</v>
      </c>
      <c r="M54" s="590">
        <f>0.01725*WorkerTrips!T114</f>
        <v>3.7136978975462105E-4</v>
      </c>
      <c r="N54" s="590">
        <f>0.01725*WorkerTrips!V114</f>
        <v>7.6380470732073557E-6</v>
      </c>
      <c r="O54" s="591">
        <f>0.01725*WorkerTrips!W114+0.01725*WorkerTrips!Y114</f>
        <v>1.7355584577128535E-4</v>
      </c>
      <c r="P54" s="591">
        <f>0.01725*WorkerTrips!X114+0.01725*WorkerTrips!Z114</f>
        <v>7.3295449843124863E-5</v>
      </c>
      <c r="Q54" s="591">
        <f>0.01725*WorkerTrips!AA114</f>
        <v>0.5013257246300411</v>
      </c>
      <c r="R54" s="591">
        <f>0.01725*WorkerTrips!AB114</f>
        <v>3.2417410676879545E-5</v>
      </c>
      <c r="S54" s="591">
        <f>0.01725*WorkerTrips!AC114</f>
        <v>5.910347919892048E-5</v>
      </c>
    </row>
    <row r="55" spans="1:19" x14ac:dyDescent="0.25">
      <c r="A55" s="27" t="s">
        <v>121</v>
      </c>
      <c r="B55" s="587">
        <f>0.01725*'Construction Trucks'!V20</f>
        <v>1.0518714683508637E-2</v>
      </c>
      <c r="C55" s="587">
        <f>0.01725*'Construction Trucks'!T20</f>
        <v>4.4212427212940004E-2</v>
      </c>
      <c r="D55" s="587">
        <f>0.01725*'Construction Trucks'!U20</f>
        <v>0.11984505421690808</v>
      </c>
      <c r="E55" s="587">
        <f>0.01725*'Construction Trucks'!W20</f>
        <v>4.9260473583143051E-4</v>
      </c>
      <c r="F55" s="586">
        <f>0.01725*'Construction Trucks'!X20+0.01725*'Construction Trucks'!Z20</f>
        <v>1.0372639237528358E-2</v>
      </c>
      <c r="G55" s="586">
        <f>0.01725*'Construction Trucks'!Y20+0.01725*'Construction Trucks'!AA20</f>
        <v>5.249463313161595E-3</v>
      </c>
      <c r="H55" s="586">
        <f>0.01725*'Construction Trucks'!AB20</f>
        <v>70.373260204596448</v>
      </c>
      <c r="I55" s="586">
        <f>0.01725*'Construction Trucks'!AC20</f>
        <v>4.0213392078712554E-3</v>
      </c>
      <c r="J55" s="586">
        <f>0.01725*'Construction Trucks'!AD20</f>
        <v>1.8026814334009427E-3</v>
      </c>
      <c r="K55" s="592">
        <f>0.01725*'Construction Trucks'!AH20</f>
        <v>2.0288795641570091E-4</v>
      </c>
      <c r="L55" s="592">
        <f>0.01725*'Construction Trucks'!AF20</f>
        <v>8.9476587515450263E-4</v>
      </c>
      <c r="M55" s="592">
        <f>0.01725*'Construction Trucks'!AG20</f>
        <v>2.1157494301835443E-3</v>
      </c>
      <c r="N55" s="592">
        <f>0.01725*'Construction Trucks'!AI20</f>
        <v>9.1689899577103139E-6</v>
      </c>
      <c r="O55" s="586">
        <f>0.01725*'Construction Trucks'!AJ20+0.01725*'Construction Trucks'!AL20</f>
        <v>2.3345182599444786E-4</v>
      </c>
      <c r="P55" s="586">
        <f>0.01725*'Construction Trucks'!AK20+0.01725*'Construction Trucks'!AM20</f>
        <v>1.2264787135007535E-4</v>
      </c>
      <c r="Q55" s="586">
        <f>0.01725*'Construction Trucks'!AN20</f>
        <v>1.2237903568044448</v>
      </c>
      <c r="R55" s="586">
        <f>0.01725*'Construction Trucks'!AO20</f>
        <v>6.9931052358876409E-5</v>
      </c>
      <c r="S55" s="586">
        <f>0.01725*'Construction Trucks'!AP20</f>
        <v>3.1348613779902654E-5</v>
      </c>
    </row>
    <row r="56" spans="1:19" s="612" customFormat="1" x14ac:dyDescent="0.25">
      <c r="A56" s="137" t="s">
        <v>655</v>
      </c>
      <c r="B56" s="615">
        <f>Helicopters!K$3</f>
        <v>12.830799050242181</v>
      </c>
      <c r="C56" s="587">
        <f>Helicopters!M$3</f>
        <v>66.887438003316817</v>
      </c>
      <c r="D56" s="587">
        <f>Helicopters!J$3</f>
        <v>66.887438003316817</v>
      </c>
      <c r="E56" s="587">
        <f>Helicopters!N$3</f>
        <v>12.314722567340549</v>
      </c>
      <c r="F56" s="586">
        <f>Helicopters!L$3</f>
        <v>22.109244879957675</v>
      </c>
      <c r="G56" s="586">
        <f>Helicopters!L$3</f>
        <v>22.109244879957675</v>
      </c>
      <c r="H56" s="586">
        <f>Helicopters!O$3</f>
        <v>30084.642801206399</v>
      </c>
      <c r="I56" s="215">
        <v>0</v>
      </c>
      <c r="J56" s="215">
        <v>0</v>
      </c>
      <c r="K56" s="592">
        <f>Helicopters!Q$3</f>
        <v>0.12830799050242181</v>
      </c>
      <c r="L56" s="592">
        <f>Helicopters!S$3</f>
        <v>0.66887438003316801</v>
      </c>
      <c r="M56" s="592">
        <f>Helicopters!P$3</f>
        <v>0.66887438003316801</v>
      </c>
      <c r="N56" s="592">
        <f>Helicopters!T$3</f>
        <v>0.1231472256734055</v>
      </c>
      <c r="O56" s="592">
        <f>Helicopters!R$3</f>
        <v>0.22109244879957674</v>
      </c>
      <c r="P56" s="592">
        <f>Helicopters!R$3</f>
        <v>0.22109244879957674</v>
      </c>
      <c r="Q56" s="592">
        <f>Helicopters!U$3</f>
        <v>300.846428012064</v>
      </c>
      <c r="R56" s="592">
        <v>0</v>
      </c>
      <c r="S56" s="586">
        <v>0</v>
      </c>
    </row>
    <row r="57" spans="1:19" x14ac:dyDescent="0.25">
      <c r="A57" s="137" t="s">
        <v>122</v>
      </c>
      <c r="B57" s="588"/>
      <c r="C57" s="589"/>
      <c r="D57" s="589"/>
      <c r="E57" s="589"/>
      <c r="F57" s="586">
        <f>0.378*'Fugitive Dust Transmission'!$C$150</f>
        <v>33.93351439555159</v>
      </c>
      <c r="G57" s="586">
        <f>0.378*'Fugitive Dust Transmission'!$D$150</f>
        <v>10.126074135458936</v>
      </c>
      <c r="H57" s="589"/>
      <c r="I57" s="589"/>
      <c r="J57" s="588"/>
      <c r="K57" s="593"/>
      <c r="L57" s="145"/>
      <c r="M57" s="145"/>
      <c r="N57" s="145"/>
      <c r="O57" s="215">
        <f>0.378*'Fugitive Dust Transmission'!C152</f>
        <v>2.6128806084574721</v>
      </c>
      <c r="P57" s="215">
        <f>0.378*'Fugitive Dust Transmission'!D152</f>
        <v>0.77970770843033799</v>
      </c>
      <c r="Q57" s="145"/>
      <c r="R57" s="145"/>
      <c r="S57" s="594"/>
    </row>
    <row r="58" spans="1:19" x14ac:dyDescent="0.25">
      <c r="A58" s="19" t="s">
        <v>123</v>
      </c>
      <c r="B58" s="588">
        <f>SUM(B53:B57)</f>
        <v>14.874533743356327</v>
      </c>
      <c r="C58" s="588">
        <f t="shared" ref="C58:S58" si="8">SUM(C53:C57)</f>
        <v>85.921763126507074</v>
      </c>
      <c r="D58" s="588">
        <f t="shared" si="8"/>
        <v>79.297602407346403</v>
      </c>
      <c r="E58" s="588">
        <f t="shared" si="8"/>
        <v>12.376297000754956</v>
      </c>
      <c r="F58" s="588">
        <f t="shared" si="8"/>
        <v>56.521388921507537</v>
      </c>
      <c r="G58" s="588">
        <f t="shared" si="8"/>
        <v>32.654857540416728</v>
      </c>
      <c r="H58" s="588">
        <f t="shared" si="8"/>
        <v>35936.327691952225</v>
      </c>
      <c r="I58" s="588">
        <f t="shared" si="8"/>
        <v>0.28591794247734864</v>
      </c>
      <c r="J58" s="588">
        <f t="shared" si="8"/>
        <v>1.1701049393374914</v>
      </c>
      <c r="K58" s="588">
        <f t="shared" si="8"/>
        <v>0.20957984170553107</v>
      </c>
      <c r="L58" s="588">
        <f t="shared" si="8"/>
        <v>1.4455455626617351</v>
      </c>
      <c r="M58" s="588">
        <f t="shared" si="8"/>
        <v>1.1880168332523473</v>
      </c>
      <c r="N58" s="588">
        <f t="shared" si="8"/>
        <v>0.12549482331237638</v>
      </c>
      <c r="O58" s="588">
        <f t="shared" si="8"/>
        <v>2.8535871698881312</v>
      </c>
      <c r="P58" s="588">
        <f t="shared" si="8"/>
        <v>1.0180904239649</v>
      </c>
      <c r="Q58" s="588">
        <f t="shared" si="8"/>
        <v>521.8346638495068</v>
      </c>
      <c r="R58" s="588">
        <f t="shared" si="8"/>
        <v>1.1470375714013331E-2</v>
      </c>
      <c r="S58" s="588">
        <f t="shared" si="8"/>
        <v>4.9172708822906752E-2</v>
      </c>
    </row>
    <row r="59" spans="1:19" x14ac:dyDescent="0.25">
      <c r="A59" s="216" t="s">
        <v>124</v>
      </c>
      <c r="B59" s="216">
        <v>75</v>
      </c>
      <c r="C59" s="216">
        <v>550</v>
      </c>
      <c r="D59" s="216">
        <v>250</v>
      </c>
      <c r="E59" s="216">
        <v>150</v>
      </c>
      <c r="F59" s="216">
        <v>150</v>
      </c>
      <c r="G59" s="216">
        <v>55</v>
      </c>
      <c r="H59" s="216" t="s">
        <v>126</v>
      </c>
      <c r="I59" s="216" t="s">
        <v>126</v>
      </c>
      <c r="J59" s="216" t="s">
        <v>126</v>
      </c>
      <c r="K59" s="593"/>
      <c r="L59" s="145"/>
      <c r="M59" s="145"/>
      <c r="N59" s="145"/>
      <c r="O59" s="145"/>
      <c r="P59" s="145"/>
      <c r="Q59" s="145"/>
      <c r="R59" s="145"/>
      <c r="S59" s="594"/>
    </row>
    <row r="60" spans="1:19" x14ac:dyDescent="0.25">
      <c r="A60" s="27" t="s">
        <v>125</v>
      </c>
      <c r="B60" s="27" t="str">
        <f>IF(B58&gt;B59,"Yes","No")</f>
        <v>No</v>
      </c>
      <c r="C60" s="27" t="str">
        <f t="shared" ref="C60:G60" si="9">IF(C58&gt;C59,"Yes","No")</f>
        <v>No</v>
      </c>
      <c r="D60" s="27" t="str">
        <f t="shared" si="9"/>
        <v>No</v>
      </c>
      <c r="E60" s="27" t="str">
        <f t="shared" si="9"/>
        <v>No</v>
      </c>
      <c r="F60" s="27" t="str">
        <f t="shared" si="9"/>
        <v>No</v>
      </c>
      <c r="G60" s="27" t="str">
        <f t="shared" si="9"/>
        <v>No</v>
      </c>
      <c r="H60" s="27" t="s">
        <v>126</v>
      </c>
      <c r="I60" s="27" t="s">
        <v>126</v>
      </c>
      <c r="J60" s="27" t="s">
        <v>126</v>
      </c>
      <c r="K60" s="593"/>
      <c r="L60" s="145"/>
      <c r="M60" s="145"/>
      <c r="N60" s="145"/>
      <c r="O60" s="145"/>
      <c r="P60" s="145"/>
      <c r="Q60" s="145"/>
      <c r="R60" s="145"/>
      <c r="S60" s="594"/>
    </row>
    <row r="61" spans="1:19" x14ac:dyDescent="0.25">
      <c r="A61" s="585"/>
      <c r="B61" s="603"/>
      <c r="C61" s="602"/>
      <c r="D61" s="602"/>
      <c r="E61" s="602"/>
      <c r="F61" s="602"/>
      <c r="G61" s="602"/>
      <c r="H61" s="602"/>
      <c r="I61" s="602"/>
      <c r="J61" s="11"/>
      <c r="K61" s="604"/>
      <c r="L61" s="609"/>
      <c r="M61" s="609"/>
      <c r="N61" s="609"/>
      <c r="O61" s="609"/>
      <c r="P61" s="609"/>
      <c r="Q61" s="609"/>
      <c r="R61" s="609"/>
      <c r="S61" s="610"/>
    </row>
    <row r="62" spans="1:19" x14ac:dyDescent="0.25">
      <c r="A62" s="585"/>
      <c r="B62" s="603"/>
      <c r="C62" s="602"/>
      <c r="D62" s="602"/>
      <c r="E62" s="602"/>
      <c r="F62" s="602"/>
      <c r="G62" s="602"/>
      <c r="H62" s="602"/>
      <c r="I62" s="602"/>
      <c r="J62" s="11"/>
      <c r="K62" s="604"/>
      <c r="L62" s="609"/>
      <c r="M62" s="609"/>
      <c r="N62" s="609"/>
      <c r="O62" s="609"/>
      <c r="P62" s="609"/>
      <c r="Q62" s="609"/>
      <c r="R62" s="609"/>
      <c r="S62" s="610"/>
    </row>
  </sheetData>
  <mergeCells count="2">
    <mergeCell ref="B1:I1"/>
    <mergeCell ref="K1:S1"/>
  </mergeCells>
  <pageMargins left="0.7" right="0.7" top="0.75" bottom="0.75" header="0.3" footer="0.3"/>
  <pageSetup scale="42" orientation="landscape" r:id="rId1"/>
  <headerFooter>
    <oddHeader>&amp;CTable A-18
Construction Emission Summary
South Orange County Reliability Project
Transmission Line Construction</oddHeader>
    <oddFooter>&amp;CA-18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72"/>
  <sheetViews>
    <sheetView zoomScale="75" zoomScaleNormal="75" workbookViewId="0">
      <selection activeCell="S43" sqref="S43"/>
    </sheetView>
  </sheetViews>
  <sheetFormatPr defaultColWidth="9.109375" defaultRowHeight="13.2" x14ac:dyDescent="0.25"/>
  <cols>
    <col min="1" max="1" width="52.88671875" style="562" customWidth="1"/>
    <col min="2" max="2" width="9.109375" style="1"/>
    <col min="3" max="3" width="7.33203125" style="1" customWidth="1"/>
    <col min="4" max="4" width="8.1093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style="562" customWidth="1"/>
    <col min="16" max="16" width="8.44140625" style="562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  <col min="33" max="16384" width="9.109375" style="562"/>
  </cols>
  <sheetData>
    <row r="2" spans="1:25" x14ac:dyDescent="0.25">
      <c r="A2" s="581" t="s">
        <v>622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554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577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578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579</v>
      </c>
      <c r="B8" s="34">
        <v>2015</v>
      </c>
      <c r="C8" s="134">
        <v>81</v>
      </c>
      <c r="D8" s="25">
        <v>0.73</v>
      </c>
      <c r="E8" s="546">
        <f>VLOOKUP($A8,EFROGS!$A$1:$J$44,(IF($B8=2015,4,IF($B8=2016,5,IF($B8=2017,6,IF($B8=2018,7,IF($B8=2019,8,IF($B8=2020,9,0))))))),FALSE)</f>
        <v>8.6112792503162949E-2</v>
      </c>
      <c r="F8" s="546">
        <f>VLOOKUP($A8,EFCOS!$A$1:$J$44,(IF($B8=2015,4,IF($B8=2016,5,IF($B8=2017,6,IF($B8=2018,7,IF($B8=2019,8,IF($B8=2020,9,0))))))),FALSE)</f>
        <v>0.47768471513224703</v>
      </c>
      <c r="G8" s="546">
        <f>VLOOKUP($A8,EFNOXS!$A$1:$J$44,(IF($B8=2015,4,IF($B8=2016,5,IF($B8=2017,6,IF($B8=2018,7,IF($B8=2019,8,IF($B8=2020,9,0))))))),FALSE)</f>
        <v>0.60837305944613218</v>
      </c>
      <c r="H8" s="546">
        <f>VLOOKUP($A8,EFSOXS!$A$1:$J$44,(IF($B8=2015,4,IF($B8=2016,5,IF($B8=2017,6,IF($B8=2018,7,IF($B8=2019,8,IF($B8=2020,9,0))))))),FALSE)</f>
        <v>8.6981465614259827E-4</v>
      </c>
      <c r="I8" s="546">
        <f>VLOOKUP($A8,EFPMS!$A$1:$J$44,(IF($B8=2015,4,IF($B8=2016,5,IF($B8=2017,6,IF($B8=2018,7,IF($B8=2019,8,IF($B8=2020,9,0))))))),FALSE)</f>
        <v>4.6360889612910072E-2</v>
      </c>
      <c r="J8" s="536">
        <f t="shared" ref="J8:J19" si="0">0.89*I8</f>
        <v>4.1261191755489965E-2</v>
      </c>
      <c r="K8" s="549">
        <f>VLOOKUP($A8,EFCO2S!$A$1:$J$44,(IF($B8=2015,4,IF($B8=2016,5,IF($B8=2017,6,IF($B8=2018,7,IF($B8=2019,8,IF($B8=2020,9,0))))))),FALSE)</f>
        <v>74.149777594362092</v>
      </c>
      <c r="L8" s="546">
        <f>VLOOKUP($A8,EFCH4S!$A$1:$J$44,(IF($B8=2015,4,IF($B8=2016,5,IF($B8=2017,6,IF($B8=2018,7,IF($B8=2019,8,IF($B8=2020,9,0))))))),FALSE)</f>
        <v>8.0478710667049036E-3</v>
      </c>
      <c r="M8" s="540">
        <f t="shared" ref="M8:M19" si="1">0.095*G8</f>
        <v>5.7795440647382561E-2</v>
      </c>
      <c r="N8" s="135">
        <v>1</v>
      </c>
      <c r="O8" s="135">
        <v>8</v>
      </c>
      <c r="P8" s="136">
        <v>337.92</v>
      </c>
      <c r="Q8" s="39">
        <f t="shared" ref="Q8:Y19" si="2">(E8*$N8*$O8)</f>
        <v>0.68890234002530359</v>
      </c>
      <c r="R8" s="29">
        <f t="shared" si="2"/>
        <v>3.8214777210579762</v>
      </c>
      <c r="S8" s="29">
        <f t="shared" si="2"/>
        <v>4.8669844755690574</v>
      </c>
      <c r="T8" s="29">
        <f t="shared" si="2"/>
        <v>6.9585172491407861E-3</v>
      </c>
      <c r="U8" s="29">
        <f t="shared" si="2"/>
        <v>0.37088711690328058</v>
      </c>
      <c r="V8" s="29">
        <f t="shared" si="2"/>
        <v>0.33008953404391972</v>
      </c>
      <c r="W8" s="29">
        <f t="shared" si="2"/>
        <v>593.19822075489674</v>
      </c>
      <c r="X8" s="29">
        <f t="shared" si="2"/>
        <v>6.4382968533639229E-2</v>
      </c>
      <c r="Y8" s="29">
        <f t="shared" si="2"/>
        <v>0.46236352517906049</v>
      </c>
    </row>
    <row r="9" spans="1:25" s="3" customFormat="1" x14ac:dyDescent="0.25">
      <c r="A9" s="37" t="s">
        <v>62</v>
      </c>
      <c r="B9" s="34">
        <v>2015</v>
      </c>
      <c r="C9" s="134">
        <v>85</v>
      </c>
      <c r="D9" s="25">
        <v>0.36</v>
      </c>
      <c r="E9" s="546">
        <f>VLOOKUP($A9,EFROGS!$A$1:$J$44,(IF($B9=2015,4,IF($B9=2016,5,IF($B9=2017,6,IF($B9=2018,7,IF($B9=2019,8,IF($B9=2020,9,0))))))),FALSE)</f>
        <v>7.9801484832556724E-2</v>
      </c>
      <c r="F9" s="546">
        <f>VLOOKUP($A9,EFCOS!$A$1:$J$44,(IF($B9=2015,4,IF($B9=2016,5,IF($B9=2017,6,IF($B9=2018,7,IF($B9=2019,8,IF($B9=2020,9,0))))))),FALSE)</f>
        <v>0.40100742191945721</v>
      </c>
      <c r="G9" s="546">
        <f>VLOOKUP($A9,EFNOXS!$A$1:$J$44,(IF($B9=2015,4,IF($B9=2016,5,IF($B9=2017,6,IF($B9=2018,7,IF($B9=2019,8,IF($B9=2020,9,0))))))),FALSE)</f>
        <v>0.50491905800089187</v>
      </c>
      <c r="H9" s="546">
        <f>VLOOKUP($A9,EFSOXS!$A$1:$J$44,(IF($B9=2015,4,IF($B9=2016,5,IF($B9=2017,6,IF($B9=2018,7,IF($B9=2019,8,IF($B9=2020,9,0))))))),FALSE)</f>
        <v>6.9108572612879135E-4</v>
      </c>
      <c r="I9" s="546">
        <f>VLOOKUP($A9,EFPMS!$A$1:$J$44,(IF($B9=2015,4,IF($B9=2016,5,IF($B9=2017,6,IF($B9=2018,7,IF($B9=2019,8,IF($B9=2020,9,0))))))),FALSE)</f>
        <v>4.0955217982968535E-2</v>
      </c>
      <c r="J9" s="536">
        <f t="shared" si="0"/>
        <v>3.6450144004841999E-2</v>
      </c>
      <c r="K9" s="549">
        <f>VLOOKUP($A9,EFCO2S!$A$1:$J$44,(IF($B9=2015,4,IF($B9=2016,5,IF($B9=2017,6,IF($B9=2018,7,IF($B9=2019,8,IF($B9=2020,9,0))))))),FALSE)</f>
        <v>58.913512015277149</v>
      </c>
      <c r="L9" s="546">
        <f>VLOOKUP($A9,EFCH4S!$A$1:$J$44,(IF($B9=2015,4,IF($B9=2016,5,IF($B9=2017,6,IF($B9=2018,7,IF($B9=2019,8,IF($B9=2020,9,0))))))),FALSE)</f>
        <v>7.5344751889799754E-3</v>
      </c>
      <c r="M9" s="540">
        <f t="shared" si="1"/>
        <v>4.7967310510084731E-2</v>
      </c>
      <c r="N9" s="108">
        <v>2</v>
      </c>
      <c r="O9" s="108">
        <v>8</v>
      </c>
      <c r="P9" s="109">
        <v>675.84</v>
      </c>
      <c r="Q9" s="39">
        <f t="shared" si="2"/>
        <v>1.2768237573209076</v>
      </c>
      <c r="R9" s="29">
        <f t="shared" si="2"/>
        <v>6.4161187507113153</v>
      </c>
      <c r="S9" s="29">
        <f t="shared" si="2"/>
        <v>8.07870492801427</v>
      </c>
      <c r="T9" s="29">
        <f t="shared" si="2"/>
        <v>1.1057371618060662E-2</v>
      </c>
      <c r="U9" s="29">
        <f t="shared" si="2"/>
        <v>0.65528348772749656</v>
      </c>
      <c r="V9" s="29">
        <f t="shared" si="2"/>
        <v>0.58320230407747198</v>
      </c>
      <c r="W9" s="29">
        <f t="shared" si="2"/>
        <v>942.61619224443439</v>
      </c>
      <c r="X9" s="29">
        <f t="shared" si="2"/>
        <v>0.12055160302367961</v>
      </c>
      <c r="Y9" s="29">
        <f t="shared" si="2"/>
        <v>0.76747696816135569</v>
      </c>
    </row>
    <row r="10" spans="1:25" s="3" customFormat="1" x14ac:dyDescent="0.25">
      <c r="A10" s="27" t="s">
        <v>156</v>
      </c>
      <c r="B10" s="34">
        <v>2015</v>
      </c>
      <c r="C10" s="134">
        <v>37</v>
      </c>
      <c r="D10" s="134">
        <v>0.37</v>
      </c>
      <c r="E10" s="546">
        <f>VLOOKUP($A10,EFROGS!$A$1:$J$44,(IF($B10=2015,4,IF($B10=2016,5,IF($B10=2017,6,IF($B10=2018,7,IF($B10=2019,8,IF($B10=2020,9,0))))))),FALSE)</f>
        <v>3.7835624751667511E-2</v>
      </c>
      <c r="F10" s="546">
        <f>VLOOKUP($A10,EFCOS!$A$1:$J$44,(IF($B10=2015,4,IF($B10=2016,5,IF($B10=2017,6,IF($B10=2018,7,IF($B10=2019,8,IF($B10=2020,9,0))))))),FALSE)</f>
        <v>0.20932457344446903</v>
      </c>
      <c r="G10" s="546">
        <f>VLOOKUP($A10,EFNOXS!$A$1:$J$44,(IF($B10=2015,4,IF($B10=2016,5,IF($B10=2017,6,IF($B10=2018,7,IF($B10=2019,8,IF($B10=2020,9,0))))))),FALSE)</f>
        <v>0.20341030443730182</v>
      </c>
      <c r="H10" s="546">
        <f>VLOOKUP($A10,EFSOXS!$A$1:$J$44,(IF($B10=2015,4,IF($B10=2016,5,IF($B10=2017,6,IF($B10=2018,7,IF($B10=2019,8,IF($B10=2020,9,0))))))),FALSE)</f>
        <v>3.2989898219504352E-4</v>
      </c>
      <c r="I10" s="546">
        <f>VLOOKUP($A10,EFPMS!$A$1:$J$44,(IF($B10=2015,4,IF($B10=2016,5,IF($B10=2017,6,IF($B10=2018,7,IF($B10=2019,8,IF($B10=2020,9,0))))))),FALSE)</f>
        <v>1.1105935287803133E-2</v>
      </c>
      <c r="J10" s="536">
        <f t="shared" si="0"/>
        <v>9.8842824061447891E-3</v>
      </c>
      <c r="K10" s="549">
        <f>VLOOKUP($A10,EFCO2S!$A$1:$J$44,(IF($B10=2015,4,IF($B10=2016,5,IF($B10=2017,6,IF($B10=2018,7,IF($B10=2019,8,IF($B10=2020,9,0))))))),FALSE)</f>
        <v>25.519145338424273</v>
      </c>
      <c r="L10" s="546">
        <f>VLOOKUP($A10,EFCH4S!$A$1:$J$44,(IF($B10=2015,4,IF($B10=2016,5,IF($B10=2017,6,IF($B10=2018,7,IF($B10=2019,8,IF($B10=2020,9,0))))))),FALSE)</f>
        <v>3.413848047070189E-3</v>
      </c>
      <c r="M10" s="540">
        <f t="shared" si="1"/>
        <v>1.9323978921543673E-2</v>
      </c>
      <c r="N10" s="108">
        <v>1</v>
      </c>
      <c r="O10" s="108">
        <v>2</v>
      </c>
      <c r="P10" s="109">
        <v>105.6</v>
      </c>
      <c r="Q10" s="39">
        <f t="shared" si="2"/>
        <v>7.5671249503335022E-2</v>
      </c>
      <c r="R10" s="29">
        <f t="shared" si="2"/>
        <v>0.41864914688893806</v>
      </c>
      <c r="S10" s="29">
        <f t="shared" si="2"/>
        <v>0.40682060887460364</v>
      </c>
      <c r="T10" s="29">
        <f t="shared" si="2"/>
        <v>6.5979796439008705E-4</v>
      </c>
      <c r="U10" s="29">
        <f t="shared" si="2"/>
        <v>2.2211870575606266E-2</v>
      </c>
      <c r="V10" s="29">
        <f t="shared" si="2"/>
        <v>1.9768564812289578E-2</v>
      </c>
      <c r="W10" s="29">
        <f t="shared" si="2"/>
        <v>51.038290676848547</v>
      </c>
      <c r="X10" s="29">
        <f t="shared" si="2"/>
        <v>6.8276960941403781E-3</v>
      </c>
      <c r="Y10" s="29">
        <f t="shared" si="2"/>
        <v>3.8647957843087347E-2</v>
      </c>
    </row>
    <row r="11" spans="1:25" s="3" customFormat="1" x14ac:dyDescent="0.25">
      <c r="A11" s="27" t="s">
        <v>200</v>
      </c>
      <c r="B11" s="34">
        <v>2015</v>
      </c>
      <c r="C11" s="134">
        <v>235</v>
      </c>
      <c r="D11" s="134">
        <v>0.38</v>
      </c>
      <c r="E11" s="546">
        <f>VLOOKUP($A11,EFROGS!$A$1:$J$44,(IF($B11=2015,4,IF($B11=2016,5,IF($B11=2017,6,IF($B11=2018,7,IF($B11=2019,8,IF($B11=2020,9,0))))))),FALSE)</f>
        <v>0.12027312265814816</v>
      </c>
      <c r="F11" s="546">
        <f>VLOOKUP($A11,EFCOS!$A$1:$J$44,(IF($B11=2015,4,IF($B11=2016,5,IF($B11=2017,6,IF($B11=2018,7,IF($B11=2019,8,IF($B11=2020,9,0))))))),FALSE)</f>
        <v>0.37726446207654918</v>
      </c>
      <c r="G11" s="546">
        <f>VLOOKUP($A11,EFNOXS!$A$1:$J$44,(IF($B11=2015,4,IF($B11=2016,5,IF($B11=2017,6,IF($B11=2018,7,IF($B11=2019,8,IF($B11=2020,9,0))))))),FALSE)</f>
        <v>0.94745273894088322</v>
      </c>
      <c r="H11" s="546">
        <f>VLOOKUP($A11,EFSOXS!$A$1:$J$44,(IF($B11=2015,4,IF($B11=2016,5,IF($B11=2017,6,IF($B11=2018,7,IF($B11=2019,8,IF($B11=2020,9,0))))))),FALSE)</f>
        <v>1.8739213528134147E-3</v>
      </c>
      <c r="I11" s="546">
        <f>VLOOKUP($A11,EFPMS!$A$1:$J$44,(IF($B11=2015,4,IF($B11=2016,5,IF($B11=2017,6,IF($B11=2018,7,IF($B11=2019,8,IF($B11=2020,9,0))))))),FALSE)</f>
        <v>3.1278738047599536E-2</v>
      </c>
      <c r="J11" s="536">
        <f t="shared" si="0"/>
        <v>2.7838076862363587E-2</v>
      </c>
      <c r="K11" s="549">
        <f>VLOOKUP($A11,EFCO2S!$A$1:$J$44,(IF($B11=2015,4,IF($B11=2016,5,IF($B11=2017,6,IF($B11=2018,7,IF($B11=2019,8,IF($B11=2020,9,0))))))),FALSE)</f>
        <v>166.54539483446186</v>
      </c>
      <c r="L11" s="546">
        <f>VLOOKUP($A11,EFCH4S!$A$1:$J$44,(IF($B11=2015,4,IF($B11=2016,5,IF($B11=2017,6,IF($B11=2018,7,IF($B11=2019,8,IF($B11=2020,9,0))))))),FALSE)</f>
        <v>1.1292325418869483E-2</v>
      </c>
      <c r="M11" s="540">
        <f t="shared" si="1"/>
        <v>9.0008010199383912E-2</v>
      </c>
      <c r="N11" s="135">
        <v>3</v>
      </c>
      <c r="O11" s="135">
        <v>8</v>
      </c>
      <c r="P11" s="136">
        <v>887.03999999999985</v>
      </c>
      <c r="Q11" s="39">
        <f t="shared" si="2"/>
        <v>2.8865549437955558</v>
      </c>
      <c r="R11" s="29">
        <f t="shared" si="2"/>
        <v>9.0543470898371794</v>
      </c>
      <c r="S11" s="29">
        <f t="shared" si="2"/>
        <v>22.738865734581196</v>
      </c>
      <c r="T11" s="29">
        <f t="shared" si="2"/>
        <v>4.4974112467521955E-2</v>
      </c>
      <c r="U11" s="29">
        <f t="shared" si="2"/>
        <v>0.75068971314238886</v>
      </c>
      <c r="V11" s="29">
        <f t="shared" si="2"/>
        <v>0.66811384469672608</v>
      </c>
      <c r="W11" s="29">
        <f t="shared" si="2"/>
        <v>3997.0894760270849</v>
      </c>
      <c r="X11" s="29">
        <f t="shared" si="2"/>
        <v>0.27101581005286757</v>
      </c>
      <c r="Y11" s="29">
        <f t="shared" si="2"/>
        <v>2.1601922447852138</v>
      </c>
    </row>
    <row r="12" spans="1:25" s="3" customFormat="1" x14ac:dyDescent="0.25">
      <c r="A12" s="27" t="s">
        <v>199</v>
      </c>
      <c r="B12" s="34">
        <v>2015</v>
      </c>
      <c r="C12" s="134">
        <v>175</v>
      </c>
      <c r="D12" s="134">
        <v>0.38</v>
      </c>
      <c r="E12" s="546">
        <f>VLOOKUP($A12,EFROGS!$A$1:$J$44,(IF($B12=2015,4,IF($B12=2016,5,IF($B12=2017,6,IF($B12=2018,7,IF($B12=2019,8,IF($B12=2020,9,0))))))),FALSE)</f>
        <v>0.11992127080629632</v>
      </c>
      <c r="F12" s="546">
        <f>VLOOKUP($A12,EFCOS!$A$1:$J$44,(IF($B12=2015,4,IF($B12=2016,5,IF($B12=2017,6,IF($B12=2018,7,IF($B12=2019,8,IF($B12=2020,9,0))))))),FALSE)</f>
        <v>0.37073007054215767</v>
      </c>
      <c r="G12" s="546">
        <f>VLOOKUP($A12,EFNOXS!$A$1:$J$44,(IF($B12=2015,4,IF($B12=2016,5,IF($B12=2017,6,IF($B12=2018,7,IF($B12=2019,8,IF($B12=2020,9,0))))))),FALSE)</f>
        <v>0.94368289767104196</v>
      </c>
      <c r="H12" s="546">
        <f>VLOOKUP($A12,EFSOXS!$A$1:$J$44,(IF($B12=2015,4,IF($B12=2016,5,IF($B12=2017,6,IF($B12=2018,7,IF($B12=2019,8,IF($B12=2020,9,0))))))),FALSE)</f>
        <v>1.8739213528134147E-3</v>
      </c>
      <c r="I12" s="546">
        <f>VLOOKUP($A12,EFPMS!$A$1:$J$44,(IF($B12=2015,4,IF($B12=2016,5,IF($B12=2017,6,IF($B12=2018,7,IF($B12=2019,8,IF($B12=2020,9,0))))))),FALSE)</f>
        <v>3.1241039634901123E-2</v>
      </c>
      <c r="J12" s="536">
        <f t="shared" si="0"/>
        <v>2.7804525275062001E-2</v>
      </c>
      <c r="K12" s="549">
        <f>VLOOKUP($A12,EFCO2S!$A$1:$J$44,(IF($B12=2015,4,IF($B12=2016,5,IF($B12=2017,6,IF($B12=2018,7,IF($B12=2019,8,IF($B12=2020,9,0))))))),FALSE)</f>
        <v>166.54539483446186</v>
      </c>
      <c r="L12" s="546">
        <f>VLOOKUP($A12,EFCH4S!$A$1:$J$44,(IF($B12=2015,4,IF($B12=2016,5,IF($B12=2017,6,IF($B12=2018,7,IF($B12=2019,8,IF($B12=2020,9,0))))))),FALSE)</f>
        <v>1.1292325418869483E-2</v>
      </c>
      <c r="M12" s="540">
        <f t="shared" si="1"/>
        <v>8.9649875278748986E-2</v>
      </c>
      <c r="N12" s="135">
        <v>1</v>
      </c>
      <c r="O12" s="135">
        <v>8</v>
      </c>
      <c r="P12" s="136">
        <v>211.2</v>
      </c>
      <c r="Q12" s="39">
        <f t="shared" si="2"/>
        <v>0.95937016645037054</v>
      </c>
      <c r="R12" s="29">
        <f t="shared" si="2"/>
        <v>2.9658405643372614</v>
      </c>
      <c r="S12" s="29">
        <f t="shared" si="2"/>
        <v>7.5494631813683357</v>
      </c>
      <c r="T12" s="29">
        <f t="shared" si="2"/>
        <v>1.4991370822507318E-2</v>
      </c>
      <c r="U12" s="29">
        <f t="shared" si="2"/>
        <v>0.24992831707920898</v>
      </c>
      <c r="V12" s="29">
        <f t="shared" si="2"/>
        <v>0.22243620220049601</v>
      </c>
      <c r="W12" s="29">
        <f t="shared" si="2"/>
        <v>1332.3631586756949</v>
      </c>
      <c r="X12" s="29">
        <f t="shared" si="2"/>
        <v>9.0338603350955865E-2</v>
      </c>
      <c r="Y12" s="29">
        <f t="shared" si="2"/>
        <v>0.71719900222999189</v>
      </c>
    </row>
    <row r="13" spans="1:25" s="3" customFormat="1" x14ac:dyDescent="0.25">
      <c r="A13" s="27" t="s">
        <v>192</v>
      </c>
      <c r="B13" s="34">
        <v>2015</v>
      </c>
      <c r="C13" s="134">
        <v>45</v>
      </c>
      <c r="D13" s="134">
        <v>0.48</v>
      </c>
      <c r="E13" s="546">
        <f>VLOOKUP($A13,EFROGS!$A$1:$J$44,(IF($B13=2015,4,IF($B13=2016,5,IF($B13=2017,6,IF($B13=2018,7,IF($B13=2019,8,IF($B13=2020,9,0))))))),FALSE)</f>
        <v>7.4731714184131492E-2</v>
      </c>
      <c r="F13" s="546">
        <f>VLOOKUP($A13,EFCOS!$A$1:$J$44,(IF($B13=2015,4,IF($B13=2016,5,IF($B13=2017,6,IF($B13=2018,7,IF($B13=2019,8,IF($B13=2020,9,0))))))),FALSE)</f>
        <v>0.24453724453802805</v>
      </c>
      <c r="G13" s="546">
        <f>VLOOKUP($A13,EFNOXS!$A$1:$J$44,(IF($B13=2015,4,IF($B13=2016,5,IF($B13=2017,6,IF($B13=2018,7,IF($B13=2019,8,IF($B13=2020,9,0))))))),FALSE)</f>
        <v>0.22305455439379515</v>
      </c>
      <c r="H13" s="546">
        <f>VLOOKUP($A13,EFSOXS!$A$1:$J$44,(IF($B13=2015,4,IF($B13=2016,5,IF($B13=2017,6,IF($B13=2018,7,IF($B13=2019,8,IF($B13=2020,9,0))))))),FALSE)</f>
        <v>2.8791180196343529E-4</v>
      </c>
      <c r="I13" s="546">
        <f>VLOOKUP($A13,EFPMS!$A$1:$J$44,(IF($B13=2015,4,IF($B13=2016,5,IF($B13=2017,6,IF($B13=2018,7,IF($B13=2019,8,IF($B13=2020,9,0))))))),FALSE)</f>
        <v>1.8470024929196412E-2</v>
      </c>
      <c r="J13" s="536">
        <f t="shared" si="0"/>
        <v>1.6438322186984808E-2</v>
      </c>
      <c r="K13" s="549">
        <f>VLOOKUP($A13,EFCO2S!$A$1:$J$44,(IF($B13=2015,4,IF($B13=2016,5,IF($B13=2017,6,IF($B13=2018,7,IF($B13=2019,8,IF($B13=2020,9,0))))))),FALSE)</f>
        <v>22.271261510097837</v>
      </c>
      <c r="L13" s="546">
        <f>VLOOKUP($A13,EFCH4S!$A$1:$J$44,(IF($B13=2015,4,IF($B13=2016,5,IF($B13=2017,6,IF($B13=2018,7,IF($B13=2019,8,IF($B13=2020,9,0))))))),FALSE)</f>
        <v>6.7429224274720354E-3</v>
      </c>
      <c r="M13" s="540">
        <f t="shared" si="1"/>
        <v>2.1190182667410538E-2</v>
      </c>
      <c r="N13" s="135">
        <v>1</v>
      </c>
      <c r="O13" s="135">
        <v>8</v>
      </c>
      <c r="P13" s="109">
        <v>42.24</v>
      </c>
      <c r="Q13" s="39">
        <f t="shared" si="2"/>
        <v>0.59785371347305194</v>
      </c>
      <c r="R13" s="29">
        <f t="shared" si="2"/>
        <v>1.9562979563042244</v>
      </c>
      <c r="S13" s="29">
        <f t="shared" si="2"/>
        <v>1.7844364351503612</v>
      </c>
      <c r="T13" s="29">
        <f t="shared" si="2"/>
        <v>2.3032944157074823E-3</v>
      </c>
      <c r="U13" s="29">
        <f t="shared" si="2"/>
        <v>0.1477601994335713</v>
      </c>
      <c r="V13" s="29">
        <f t="shared" si="2"/>
        <v>0.13150657749587846</v>
      </c>
      <c r="W13" s="29">
        <f t="shared" si="2"/>
        <v>178.17009208078269</v>
      </c>
      <c r="X13" s="29">
        <f t="shared" si="2"/>
        <v>5.3943379419776283E-2</v>
      </c>
      <c r="Y13" s="29">
        <f t="shared" si="2"/>
        <v>0.16952146133928431</v>
      </c>
    </row>
    <row r="14" spans="1:25" s="3" customFormat="1" x14ac:dyDescent="0.25">
      <c r="A14" s="27" t="s">
        <v>196</v>
      </c>
      <c r="B14" s="34">
        <v>2015</v>
      </c>
      <c r="C14" s="134">
        <v>250</v>
      </c>
      <c r="D14" s="134">
        <v>0.38</v>
      </c>
      <c r="E14" s="546">
        <f>VLOOKUP($A14,EFROGS!$A$1:$J$44,(IF($B14=2015,4,IF($B14=2016,5,IF($B14=2017,6,IF($B14=2018,7,IF($B14=2019,8,IF($B14=2020,9,0))))))),FALSE)</f>
        <v>0.10659360197116201</v>
      </c>
      <c r="F14" s="546">
        <f>VLOOKUP($A14,EFCOS!$A$1:$J$44,(IF($B14=2015,4,IF($B14=2016,5,IF($B14=2017,6,IF($B14=2018,7,IF($B14=2019,8,IF($B14=2020,9,0))))))),FALSE)</f>
        <v>0.36686319474726009</v>
      </c>
      <c r="G14" s="546">
        <f>VLOOKUP($A14,EFNOXS!$A$1:$J$44,(IF($B14=2015,4,IF($B14=2016,5,IF($B14=2017,6,IF($B14=2018,7,IF($B14=2019,8,IF($B14=2020,9,0))))))),FALSE)</f>
        <v>1.0557516810303123</v>
      </c>
      <c r="H14" s="546">
        <f>VLOOKUP($A14,EFSOXS!$A$1:$J$44,(IF($B14=2015,4,IF($B14=2016,5,IF($B14=2017,6,IF($B14=2018,7,IF($B14=2019,8,IF($B14=2020,9,0))))))),FALSE)</f>
        <v>1.7225234988951081E-3</v>
      </c>
      <c r="I14" s="546">
        <f>VLOOKUP($A14,EFPMS!$A$1:$J$44,(IF($B14=2015,4,IF($B14=2016,5,IF($B14=2017,6,IF($B14=2018,7,IF($B14=2019,8,IF($B14=2020,9,0))))))),FALSE)</f>
        <v>3.5131941225937512E-2</v>
      </c>
      <c r="J14" s="536">
        <f t="shared" si="0"/>
        <v>3.1267427691084385E-2</v>
      </c>
      <c r="K14" s="549">
        <f>VLOOKUP($A14,EFCO2S!$A$1:$J$44,(IF($B14=2015,4,IF($B14=2016,5,IF($B14=2017,6,IF($B14=2018,7,IF($B14=2019,8,IF($B14=2020,9,0))))))),FALSE)</f>
        <v>153.0897857268109</v>
      </c>
      <c r="L14" s="546">
        <f>VLOOKUP($A14,EFCH4S!$A$1:$J$44,(IF($B14=2015,4,IF($B14=2016,5,IF($B14=2017,6,IF($B14=2018,7,IF($B14=2019,8,IF($B14=2020,9,0))))))),FALSE)</f>
        <v>9.9847277011502044E-3</v>
      </c>
      <c r="M14" s="540">
        <f t="shared" si="1"/>
        <v>0.10029640969787966</v>
      </c>
      <c r="N14" s="135">
        <v>1</v>
      </c>
      <c r="O14" s="135">
        <v>8</v>
      </c>
      <c r="P14" s="136">
        <v>211.2</v>
      </c>
      <c r="Q14" s="39">
        <f t="shared" si="2"/>
        <v>0.85274881576929606</v>
      </c>
      <c r="R14" s="29">
        <f t="shared" si="2"/>
        <v>2.9349055579780807</v>
      </c>
      <c r="S14" s="29">
        <f t="shared" si="2"/>
        <v>8.446013448242498</v>
      </c>
      <c r="T14" s="29">
        <f t="shared" si="2"/>
        <v>1.3780187991160864E-2</v>
      </c>
      <c r="U14" s="29">
        <f t="shared" si="2"/>
        <v>0.28105552980750009</v>
      </c>
      <c r="V14" s="29">
        <f t="shared" si="2"/>
        <v>0.25013942152867508</v>
      </c>
      <c r="W14" s="29">
        <f t="shared" si="2"/>
        <v>1224.7182858144872</v>
      </c>
      <c r="X14" s="29">
        <f t="shared" si="2"/>
        <v>7.9877821609201635E-2</v>
      </c>
      <c r="Y14" s="29">
        <f t="shared" si="2"/>
        <v>0.80237127758303728</v>
      </c>
    </row>
    <row r="15" spans="1:25" s="3" customFormat="1" x14ac:dyDescent="0.25">
      <c r="A15" s="27" t="s">
        <v>159</v>
      </c>
      <c r="B15" s="34">
        <v>2015</v>
      </c>
      <c r="C15" s="134">
        <v>8</v>
      </c>
      <c r="D15" s="134">
        <v>1</v>
      </c>
      <c r="E15" s="546">
        <f>VLOOKUP($A15,EFROGS!$A$1:$J$44,(IF($B15=2015,4,IF($B15=2016,5,IF($B15=2017,6,IF($B15=2018,7,IF($B15=2019,8,IF($B15=2020,9,0))))))),FALSE)</f>
        <v>1.1765479299563907E-2</v>
      </c>
      <c r="F15" s="546">
        <f>VLOOKUP($A15,EFCOS!$A$1:$J$44,(IF($B15=2015,4,IF($B15=2016,5,IF($B15=2017,6,IF($B15=2018,7,IF($B15=2019,8,IF($B15=2020,9,0))))))),FALSE)</f>
        <v>5.862897981528551E-2</v>
      </c>
      <c r="G15" s="546">
        <f>VLOOKUP($A15,EFNOXS!$A$1:$J$44,(IF($B15=2015,4,IF($B15=2016,5,IF($B15=2017,6,IF($B15=2018,7,IF($B15=2019,8,IF($B15=2020,9,0))))))),FALSE)</f>
        <v>6.9995902894833636E-2</v>
      </c>
      <c r="H15" s="546">
        <f>VLOOKUP($A15,EFSOXS!$A$1:$J$44,(IF($B15=2015,4,IF($B15=2016,5,IF($B15=2017,6,IF($B15=2018,7,IF($B15=2019,8,IF($B15=2020,9,0))))))),FALSE)</f>
        <v>1.572791439192002E-4</v>
      </c>
      <c r="I15" s="546">
        <f>VLOOKUP($A15,EFPMS!$A$1:$J$44,(IF($B15=2015,4,IF($B15=2016,5,IF($B15=2017,6,IF($B15=2018,7,IF($B15=2019,8,IF($B15=2020,9,0))))))),FALSE)</f>
        <v>2.7335443440029156E-3</v>
      </c>
      <c r="J15" s="536">
        <f t="shared" si="0"/>
        <v>2.432854466162595E-3</v>
      </c>
      <c r="K15" s="549">
        <f>VLOOKUP($A15,EFCO2S!$A$1:$J$44,(IF($B15=2015,4,IF($B15=2016,5,IF($B15=2017,6,IF($B15=2018,7,IF($B15=2019,8,IF($B15=2020,9,0))))))),FALSE)</f>
        <v>10.107340281314988</v>
      </c>
      <c r="L15" s="546">
        <f>VLOOKUP($A15,EFCH4S!$A$1:$J$44,(IF($B15=2015,4,IF($B15=2016,5,IF($B15=2017,6,IF($B15=2018,7,IF($B15=2019,8,IF($B15=2020,9,0))))))),FALSE)</f>
        <v>1.0615801987134306E-3</v>
      </c>
      <c r="M15" s="540">
        <f t="shared" si="1"/>
        <v>6.649610775009196E-3</v>
      </c>
      <c r="N15" s="108">
        <v>1</v>
      </c>
      <c r="O15" s="108">
        <v>2</v>
      </c>
      <c r="P15" s="109">
        <v>52.8</v>
      </c>
      <c r="Q15" s="39">
        <f t="shared" si="2"/>
        <v>2.3530958599127814E-2</v>
      </c>
      <c r="R15" s="29">
        <f t="shared" si="2"/>
        <v>0.11725795963057102</v>
      </c>
      <c r="S15" s="29">
        <f t="shared" si="2"/>
        <v>0.13999180578966727</v>
      </c>
      <c r="T15" s="29">
        <f t="shared" si="2"/>
        <v>3.1455828783840041E-4</v>
      </c>
      <c r="U15" s="29">
        <f t="shared" si="2"/>
        <v>5.4670886880058313E-3</v>
      </c>
      <c r="V15" s="29">
        <f t="shared" si="2"/>
        <v>4.86570893232519E-3</v>
      </c>
      <c r="W15" s="29">
        <f t="shared" si="2"/>
        <v>20.214680562629976</v>
      </c>
      <c r="X15" s="29">
        <f t="shared" si="2"/>
        <v>2.1231603974268612E-3</v>
      </c>
      <c r="Y15" s="29">
        <f t="shared" si="2"/>
        <v>1.3299221550018392E-2</v>
      </c>
    </row>
    <row r="16" spans="1:25" s="3" customFormat="1" x14ac:dyDescent="0.25">
      <c r="A16" s="27" t="s">
        <v>580</v>
      </c>
      <c r="B16" s="34">
        <v>2015</v>
      </c>
      <c r="C16" s="134">
        <v>88</v>
      </c>
      <c r="D16" s="134">
        <v>0.68</v>
      </c>
      <c r="E16" s="546">
        <f>VLOOKUP($A16,EFROGS!$A$1:$J$44,(IF($B16=2015,4,IF($B16=2016,5,IF($B16=2017,6,IF($B16=2018,7,IF($B16=2019,8,IF($B16=2020,9,0))))))),FALSE)</f>
        <v>8.3557909444994069E-2</v>
      </c>
      <c r="F16" s="546">
        <f>VLOOKUP($A16,EFCOS!$A$1:$J$44,(IF($B16=2015,4,IF($B16=2016,5,IF($B16=2017,6,IF($B16=2018,7,IF($B16=2019,8,IF($B16=2020,9,0))))))),FALSE)</f>
        <v>0.48027506625173494</v>
      </c>
      <c r="G16" s="546">
        <f>VLOOKUP($A16,EFNOXS!$A$1:$J$44,(IF($B16=2015,4,IF($B16=2016,5,IF($B16=2017,6,IF($B16=2018,7,IF($B16=2019,8,IF($B16=2020,9,0))))))),FALSE)</f>
        <v>0.55987249313174137</v>
      </c>
      <c r="H16" s="546">
        <f>VLOOKUP($A16,EFSOXS!$A$1:$J$44,(IF($B16=2015,4,IF($B16=2016,5,IF($B16=2017,6,IF($B16=2018,7,IF($B16=2019,8,IF($B16=2020,9,0))))))),FALSE)</f>
        <v>8.8025899780622727E-4</v>
      </c>
      <c r="I16" s="546">
        <f>VLOOKUP($A16,EFPMS!$A$1:$J$44,(IF($B16=2015,4,IF($B16=2016,5,IF($B16=2017,6,IF($B16=2018,7,IF($B16=2019,8,IF($B16=2020,9,0))))))),FALSE)</f>
        <v>4.4270434389604658E-2</v>
      </c>
      <c r="J16" s="536">
        <f t="shared" si="0"/>
        <v>3.9400686606748149E-2</v>
      </c>
      <c r="K16" s="549">
        <f>VLOOKUP($A16,EFCO2S!$A$1:$J$44,(IF($B16=2015,4,IF($B16=2016,5,IF($B16=2017,6,IF($B16=2018,7,IF($B16=2019,8,IF($B16=2020,9,0))))))),FALSE)</f>
        <v>75.040106767621964</v>
      </c>
      <c r="L16" s="546">
        <f>VLOOKUP($A16,EFCH4S!$A$1:$J$44,(IF($B16=2015,4,IF($B16=2016,5,IF($B16=2017,6,IF($B16=2018,7,IF($B16=2019,8,IF($B16=2020,9,0))))))),FALSE)</f>
        <v>7.9361010948412886E-3</v>
      </c>
      <c r="M16" s="540">
        <f t="shared" si="1"/>
        <v>5.318788684751543E-2</v>
      </c>
      <c r="N16" s="108">
        <v>1</v>
      </c>
      <c r="O16" s="108">
        <v>1</v>
      </c>
      <c r="P16" s="109">
        <v>52.8</v>
      </c>
      <c r="Q16" s="39">
        <f t="shared" si="2"/>
        <v>8.3557909444994069E-2</v>
      </c>
      <c r="R16" s="29">
        <f t="shared" si="2"/>
        <v>0.48027506625173494</v>
      </c>
      <c r="S16" s="29">
        <f t="shared" si="2"/>
        <v>0.55987249313174137</v>
      </c>
      <c r="T16" s="29">
        <f t="shared" si="2"/>
        <v>8.8025899780622727E-4</v>
      </c>
      <c r="U16" s="29">
        <f t="shared" si="2"/>
        <v>4.4270434389604658E-2</v>
      </c>
      <c r="V16" s="29">
        <f t="shared" si="2"/>
        <v>3.9400686606748149E-2</v>
      </c>
      <c r="W16" s="29">
        <f t="shared" si="2"/>
        <v>75.040106767621964</v>
      </c>
      <c r="X16" s="29">
        <f t="shared" si="2"/>
        <v>7.9361010948412886E-3</v>
      </c>
      <c r="Y16" s="29">
        <f t="shared" si="2"/>
        <v>5.318788684751543E-2</v>
      </c>
    </row>
    <row r="17" spans="1:25" s="3" customFormat="1" x14ac:dyDescent="0.25">
      <c r="A17" s="37" t="s">
        <v>581</v>
      </c>
      <c r="B17" s="34">
        <v>2015</v>
      </c>
      <c r="C17" s="134">
        <v>85</v>
      </c>
      <c r="D17" s="134">
        <v>0.78</v>
      </c>
      <c r="E17" s="546">
        <f>VLOOKUP($A17,EFROGS!$A$1:$J$44,(IF($B17=2015,4,IF($B17=2016,5,IF($B17=2017,6,IF($B17=2018,7,IF($B17=2019,8,IF($B17=2020,9,0))))))),FALSE)</f>
        <v>0.11084933946613457</v>
      </c>
      <c r="F17" s="546">
        <f>VLOOKUP($A17,EFCOS!$A$1:$J$44,(IF($B17=2015,4,IF($B17=2016,5,IF($B17=2017,6,IF($B17=2018,7,IF($B17=2019,8,IF($B17=2020,9,0))))))),FALSE)</f>
        <v>0.53639639888157509</v>
      </c>
      <c r="G17" s="546">
        <f>VLOOKUP($A17,EFNOXS!$A$1:$J$44,(IF($B17=2015,4,IF($B17=2016,5,IF($B17=2017,6,IF($B17=2018,7,IF($B17=2019,8,IF($B17=2020,9,0))))))),FALSE)</f>
        <v>0.70051551631054132</v>
      </c>
      <c r="H17" s="546">
        <f>VLOOKUP($A17,EFSOXS!$A$1:$J$44,(IF($B17=2015,4,IF($B17=2016,5,IF($B17=2017,6,IF($B17=2018,7,IF($B17=2019,8,IF($B17=2020,9,0))))))),FALSE)</f>
        <v>9.7528684475001604E-4</v>
      </c>
      <c r="I17" s="546">
        <f>VLOOKUP($A17,EFPMS!$A$1:$J$44,(IF($B17=2015,4,IF($B17=2016,5,IF($B17=2017,6,IF($B17=2018,7,IF($B17=2019,8,IF($B17=2020,9,0))))))),FALSE)</f>
        <v>5.9776745478460666E-2</v>
      </c>
      <c r="J17" s="536">
        <f t="shared" si="0"/>
        <v>5.3201303475829992E-2</v>
      </c>
      <c r="K17" s="549">
        <f>VLOOKUP($A17,EFCO2S!$A$1:$J$44,(IF($B17=2015,4,IF($B17=2016,5,IF($B17=2017,6,IF($B17=2018,7,IF($B17=2019,8,IF($B17=2020,9,0))))))),FALSE)</f>
        <v>83.141017958227678</v>
      </c>
      <c r="L17" s="546">
        <f>VLOOKUP($A17,EFCH4S!$A$1:$J$44,(IF($B17=2015,4,IF($B17=2016,5,IF($B17=2017,6,IF($B17=2018,7,IF($B17=2019,8,IF($B17=2020,9,0))))))),FALSE)</f>
        <v>1.0528166694101284E-2</v>
      </c>
      <c r="M17" s="540">
        <f t="shared" si="1"/>
        <v>6.6548974049501428E-2</v>
      </c>
      <c r="N17" s="108">
        <v>1</v>
      </c>
      <c r="O17" s="108">
        <v>3</v>
      </c>
      <c r="P17" s="109">
        <v>158.39999999999998</v>
      </c>
      <c r="Q17" s="39">
        <f t="shared" si="2"/>
        <v>0.3325480183984037</v>
      </c>
      <c r="R17" s="29">
        <f t="shared" si="2"/>
        <v>1.6091891966447252</v>
      </c>
      <c r="S17" s="29">
        <f t="shared" si="2"/>
        <v>2.1015465489316241</v>
      </c>
      <c r="T17" s="29">
        <f t="shared" si="2"/>
        <v>2.925860534250048E-3</v>
      </c>
      <c r="U17" s="29">
        <f t="shared" si="2"/>
        <v>0.17933023643538198</v>
      </c>
      <c r="V17" s="29">
        <f t="shared" si="2"/>
        <v>0.15960391042748998</v>
      </c>
      <c r="W17" s="29">
        <f t="shared" si="2"/>
        <v>249.42305387468303</v>
      </c>
      <c r="X17" s="29">
        <f t="shared" si="2"/>
        <v>3.1584500082303853E-2</v>
      </c>
      <c r="Y17" s="29">
        <f t="shared" si="2"/>
        <v>0.19964692214850427</v>
      </c>
    </row>
    <row r="18" spans="1:25" s="3" customFormat="1" x14ac:dyDescent="0.25">
      <c r="A18" s="37" t="s">
        <v>582</v>
      </c>
      <c r="B18" s="34">
        <v>2015</v>
      </c>
      <c r="C18" s="134">
        <v>82</v>
      </c>
      <c r="D18" s="134">
        <v>0.36</v>
      </c>
      <c r="E18" s="546">
        <f>VLOOKUP($A18,EFROGS!$A$1:$J$44,(IF($B18=2015,4,IF($B18=2016,5,IF($B18=2017,6,IF($B18=2018,7,IF($B18=2019,8,IF($B18=2020,9,0))))))),FALSE)</f>
        <v>9.2034784780492415E-2</v>
      </c>
      <c r="F18" s="546">
        <f>VLOOKUP($A18,EFCOS!$A$1:$J$44,(IF($B18=2015,4,IF($B18=2016,5,IF($B18=2017,6,IF($B18=2018,7,IF($B18=2019,8,IF($B18=2020,9,0))))))),FALSE)</f>
        <v>0.36967137363888714</v>
      </c>
      <c r="G18" s="546">
        <f>VLOOKUP($A18,EFNOXS!$A$1:$J$44,(IF($B18=2015,4,IF($B18=2016,5,IF($B18=2017,6,IF($B18=2018,7,IF($B18=2019,8,IF($B18=2020,9,0))))))),FALSE)</f>
        <v>0.55803466065292617</v>
      </c>
      <c r="H18" s="546">
        <f>VLOOKUP($A18,EFSOXS!$A$1:$J$44,(IF($B18=2015,4,IF($B18=2016,5,IF($B18=2017,6,IF($B18=2018,7,IF($B18=2019,8,IF($B18=2020,9,0))))))),FALSE)</f>
        <v>6.3930572383665419E-4</v>
      </c>
      <c r="I18" s="546">
        <f>VLOOKUP($A18,EFPMS!$A$1:$J$44,(IF($B18=2015,4,IF($B18=2016,5,IF($B18=2017,6,IF($B18=2018,7,IF($B18=2019,8,IF($B18=2020,9,0))))))),FALSE)</f>
        <v>4.7747622432400182E-2</v>
      </c>
      <c r="J18" s="536">
        <f t="shared" si="0"/>
        <v>4.249538396483616E-2</v>
      </c>
      <c r="K18" s="549">
        <f>VLOOKUP($A18,EFCO2S!$A$1:$J$44,(IF($B18=2015,4,IF($B18=2016,5,IF($B18=2017,6,IF($B18=2018,7,IF($B18=2019,8,IF($B18=2020,9,0))))))),FALSE)</f>
        <v>54.49938047051117</v>
      </c>
      <c r="L18" s="546">
        <f>VLOOKUP($A18,EFCH4S!$A$1:$J$44,(IF($B18=2015,4,IF($B18=2016,5,IF($B18=2017,6,IF($B18=2018,7,IF($B18=2019,8,IF($B18=2020,9,0))))))),FALSE)</f>
        <v>8.7412099797587687E-3</v>
      </c>
      <c r="M18" s="540">
        <f t="shared" si="1"/>
        <v>5.3013292762027986E-2</v>
      </c>
      <c r="N18" s="108">
        <v>1</v>
      </c>
      <c r="O18" s="108">
        <v>2</v>
      </c>
      <c r="P18" s="109">
        <v>105.6</v>
      </c>
      <c r="Q18" s="39">
        <f t="shared" si="2"/>
        <v>0.18406956956098483</v>
      </c>
      <c r="R18" s="29">
        <f t="shared" si="2"/>
        <v>0.73934274727777427</v>
      </c>
      <c r="S18" s="29">
        <f t="shared" si="2"/>
        <v>1.1160693213058523</v>
      </c>
      <c r="T18" s="29">
        <f t="shared" si="2"/>
        <v>1.2786114476733084E-3</v>
      </c>
      <c r="U18" s="29">
        <f t="shared" si="2"/>
        <v>9.5495244864800363E-2</v>
      </c>
      <c r="V18" s="29">
        <f t="shared" si="2"/>
        <v>8.499076792967232E-2</v>
      </c>
      <c r="W18" s="29">
        <f t="shared" si="2"/>
        <v>108.99876094102234</v>
      </c>
      <c r="X18" s="29">
        <f t="shared" si="2"/>
        <v>1.7482419959517537E-2</v>
      </c>
      <c r="Y18" s="29">
        <f t="shared" si="2"/>
        <v>0.10602658552405597</v>
      </c>
    </row>
    <row r="19" spans="1:25" s="3" customFormat="1" x14ac:dyDescent="0.25">
      <c r="A19" s="37" t="s">
        <v>583</v>
      </c>
      <c r="B19" s="34">
        <v>2015</v>
      </c>
      <c r="C19" s="134">
        <v>6</v>
      </c>
      <c r="D19" s="134">
        <v>0.82</v>
      </c>
      <c r="E19" s="546">
        <f>VLOOKUP($A19,EFROGS!$A$1:$J$44,(IF($B19=2015,4,IF($B19=2016,5,IF($B19=2017,6,IF($B19=2018,7,IF($B19=2019,8,IF($B19=2020,9,0))))))),FALSE)</f>
        <v>7.1819076358046203E-3</v>
      </c>
      <c r="F19" s="546">
        <f>VLOOKUP($A19,EFCOS!$A$1:$J$44,(IF($B19=2015,4,IF($B19=2016,5,IF($B19=2017,6,IF($B19=2018,7,IF($B19=2019,8,IF($B19=2020,9,0))))))),FALSE)</f>
        <v>3.5788414726185346E-2</v>
      </c>
      <c r="G19" s="546">
        <f>VLOOKUP($A19,EFNOXS!$A$1:$J$44,(IF($B19=2015,4,IF($B19=2016,5,IF($B19=2017,6,IF($B19=2018,7,IF($B19=2019,8,IF($B19=2020,9,0))))))),FALSE)</f>
        <v>4.2727044104310538E-2</v>
      </c>
      <c r="H19" s="546">
        <f>VLOOKUP($A19,EFSOXS!$A$1:$J$44,(IF($B19=2015,4,IF($B19=2016,5,IF($B19=2017,6,IF($B19=2018,7,IF($B19=2019,8,IF($B19=2020,9,0))))))),FALSE)</f>
        <v>9.6006650553722128E-5</v>
      </c>
      <c r="I19" s="546">
        <f>VLOOKUP($A19,EFPMS!$A$1:$J$44,(IF($B19=2015,4,IF($B19=2016,5,IF($B19=2017,6,IF($B19=2018,7,IF($B19=2019,8,IF($B19=2020,9,0))))))),FALSE)</f>
        <v>1.6695764161062747E-3</v>
      </c>
      <c r="J19" s="536">
        <f t="shared" si="0"/>
        <v>1.4859230103345846E-3</v>
      </c>
      <c r="K19" s="549">
        <f>VLOOKUP($A19,EFCO2S!$A$1:$J$44,(IF($B19=2015,4,IF($B19=2016,5,IF($B19=2017,6,IF($B19=2018,7,IF($B19=2019,8,IF($B19=2020,9,0))))))),FALSE)</f>
        <v>6.1697435407429388</v>
      </c>
      <c r="L19" s="546">
        <f>VLOOKUP($A19,EFCH4S!$A$1:$J$44,(IF($B19=2015,4,IF($B19=2016,5,IF($B19=2017,6,IF($B19=2018,7,IF($B19=2019,8,IF($B19=2020,9,0))))))),FALSE)</f>
        <v>6.4801190876982576E-4</v>
      </c>
      <c r="M19" s="540">
        <f t="shared" si="1"/>
        <v>4.0590691899095015E-3</v>
      </c>
      <c r="N19" s="108">
        <v>2</v>
      </c>
      <c r="O19" s="108">
        <v>8</v>
      </c>
      <c r="P19" s="109">
        <v>844.8</v>
      </c>
      <c r="Q19" s="39">
        <f t="shared" si="2"/>
        <v>0.11491052217287392</v>
      </c>
      <c r="R19" s="29">
        <f t="shared" si="2"/>
        <v>0.57261463561896553</v>
      </c>
      <c r="S19" s="29">
        <f t="shared" si="2"/>
        <v>0.68363270566896861</v>
      </c>
      <c r="T19" s="29">
        <f t="shared" si="2"/>
        <v>1.536106408859554E-3</v>
      </c>
      <c r="U19" s="29">
        <f t="shared" si="2"/>
        <v>2.6713222657700396E-2</v>
      </c>
      <c r="V19" s="29">
        <f t="shared" si="2"/>
        <v>2.3774768165353354E-2</v>
      </c>
      <c r="W19" s="29">
        <f t="shared" si="2"/>
        <v>98.715896651887022</v>
      </c>
      <c r="X19" s="29">
        <f t="shared" si="2"/>
        <v>1.0368190540317212E-2</v>
      </c>
      <c r="Y19" s="29">
        <f t="shared" si="2"/>
        <v>6.4945107038552025E-2</v>
      </c>
    </row>
    <row r="20" spans="1:25" s="3" customFormat="1" x14ac:dyDescent="0.25">
      <c r="A20" s="19" t="s">
        <v>38</v>
      </c>
      <c r="B20" s="34"/>
      <c r="C20" s="134"/>
      <c r="D20" s="13"/>
      <c r="E20" s="26"/>
      <c r="F20" s="26"/>
      <c r="G20" s="26"/>
      <c r="H20" s="26"/>
      <c r="I20" s="26"/>
      <c r="J20" s="27"/>
      <c r="K20" s="28"/>
      <c r="L20" s="26"/>
      <c r="M20" s="38"/>
      <c r="N20" s="135"/>
      <c r="O20" s="135"/>
      <c r="P20" s="136"/>
      <c r="Q20" s="138">
        <f>SUM(Q8:Q19)</f>
        <v>8.076541964514206</v>
      </c>
      <c r="R20" s="138">
        <f t="shared" ref="R20:Y20" si="3">SUM(R8:R19)</f>
        <v>31.086316392538752</v>
      </c>
      <c r="S20" s="138">
        <f t="shared" si="3"/>
        <v>58.472401686628174</v>
      </c>
      <c r="T20" s="138">
        <f t="shared" si="3"/>
        <v>0.10166004820491668</v>
      </c>
      <c r="U20" s="138">
        <f t="shared" si="3"/>
        <v>2.8290924617045459</v>
      </c>
      <c r="V20" s="138">
        <f t="shared" si="3"/>
        <v>2.5178922909170458</v>
      </c>
      <c r="W20" s="138">
        <f t="shared" si="3"/>
        <v>8871.5862150720732</v>
      </c>
      <c r="X20" s="138">
        <f t="shared" si="3"/>
        <v>0.75643225415866733</v>
      </c>
      <c r="Y20" s="138">
        <f t="shared" si="3"/>
        <v>5.554878160229678</v>
      </c>
    </row>
    <row r="21" spans="1:25" s="3" customFormat="1" x14ac:dyDescent="0.25">
      <c r="A21" s="27"/>
      <c r="B21" s="34"/>
      <c r="C21" s="134"/>
      <c r="D21" s="13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19" t="s">
        <v>584</v>
      </c>
      <c r="B22" s="34">
        <v>2015</v>
      </c>
      <c r="C22" s="134"/>
      <c r="D22" s="13"/>
      <c r="E22" s="26"/>
      <c r="F22" s="26"/>
      <c r="G22" s="26"/>
      <c r="H22" s="26"/>
      <c r="I22" s="26"/>
      <c r="J22" s="27"/>
      <c r="K22" s="28"/>
      <c r="L22" s="26"/>
      <c r="M22" s="38"/>
      <c r="N22" s="135"/>
      <c r="O22" s="135"/>
      <c r="P22" s="136"/>
      <c r="Q22" s="39"/>
      <c r="R22" s="29"/>
      <c r="S22" s="29"/>
      <c r="T22" s="29"/>
      <c r="U22" s="29"/>
      <c r="V22" s="29"/>
      <c r="W22" s="29"/>
      <c r="X22" s="29"/>
      <c r="Y22" s="29"/>
    </row>
    <row r="23" spans="1:25" s="3" customFormat="1" x14ac:dyDescent="0.25">
      <c r="A23" s="37" t="s">
        <v>162</v>
      </c>
      <c r="B23" s="34">
        <v>2015</v>
      </c>
      <c r="C23" s="134">
        <v>235</v>
      </c>
      <c r="D23" s="134">
        <v>0.38</v>
      </c>
      <c r="E23" s="546">
        <f>VLOOKUP($A23,EFROGS!$A$1:$J$44,(IF($B23=2015,4,IF($B23=2016,5,IF($B23=2017,6,IF($B23=2018,7,IF($B23=2019,8,IF($B23=2020,9,0))))))),FALSE)</f>
        <v>0.12027312265814816</v>
      </c>
      <c r="F23" s="546">
        <f>VLOOKUP($A23,EFCOS!$A$1:$J$44,(IF($B23=2015,4,IF($B23=2016,5,IF($B23=2017,6,IF($B23=2018,7,IF($B23=2019,8,IF($B23=2020,9,0))))))),FALSE)</f>
        <v>0.37726446207654918</v>
      </c>
      <c r="G23" s="546">
        <f>VLOOKUP($A23,EFNOXS!$A$1:$J$44,(IF($B23=2015,4,IF($B23=2016,5,IF($B23=2017,6,IF($B23=2018,7,IF($B23=2019,8,IF($B23=2020,9,0))))))),FALSE)</f>
        <v>0.94745273894088322</v>
      </c>
      <c r="H23" s="546">
        <f>VLOOKUP($A23,EFSOXS!$A$1:$J$44,(IF($B23=2015,4,IF($B23=2016,5,IF($B23=2017,6,IF($B23=2018,7,IF($B23=2019,8,IF($B23=2020,9,0))))))),FALSE)</f>
        <v>1.8739213528134147E-3</v>
      </c>
      <c r="I23" s="546">
        <f>VLOOKUP($A23,EFPMS!$A$1:$J$44,(IF($B23=2015,4,IF($B23=2016,5,IF($B23=2017,6,IF($B23=2018,7,IF($B23=2019,8,IF($B23=2020,9,0))))))),FALSE)</f>
        <v>3.1278738047599536E-2</v>
      </c>
      <c r="J23" s="536">
        <f t="shared" ref="J23:J24" si="4">0.89*I23</f>
        <v>2.7838076862363587E-2</v>
      </c>
      <c r="K23" s="549">
        <f>VLOOKUP($A23,EFCO2S!$A$1:$J$44,(IF($B23=2015,4,IF($B23=2016,5,IF($B23=2017,6,IF($B23=2018,7,IF($B23=2019,8,IF($B23=2020,9,0))))))),FALSE)</f>
        <v>166.54539483446186</v>
      </c>
      <c r="L23" s="546">
        <f>VLOOKUP($A23,EFCH4S!$A$1:$J$44,(IF($B23=2015,4,IF($B23=2016,5,IF($B23=2017,6,IF($B23=2018,7,IF($B23=2019,8,IF($B23=2020,9,0))))))),FALSE)</f>
        <v>1.1292325418869483E-2</v>
      </c>
      <c r="M23" s="540">
        <f t="shared" ref="M23:M24" si="5">0.095*G23</f>
        <v>9.0008010199383912E-2</v>
      </c>
      <c r="N23" s="108">
        <v>1</v>
      </c>
      <c r="O23" s="108">
        <v>8</v>
      </c>
      <c r="P23" s="109">
        <v>8</v>
      </c>
      <c r="Q23" s="39">
        <f t="shared" ref="Q23:Y24" si="6">(E23*$N23*$O23)</f>
        <v>0.96218498126518526</v>
      </c>
      <c r="R23" s="29">
        <f t="shared" si="6"/>
        <v>3.0181156966123934</v>
      </c>
      <c r="S23" s="29">
        <f t="shared" si="6"/>
        <v>7.5796219115270658</v>
      </c>
      <c r="T23" s="29">
        <f t="shared" si="6"/>
        <v>1.4991370822507318E-2</v>
      </c>
      <c r="U23" s="29">
        <f t="shared" si="6"/>
        <v>0.25022990438079629</v>
      </c>
      <c r="V23" s="29">
        <f t="shared" si="6"/>
        <v>0.22270461489890869</v>
      </c>
      <c r="W23" s="29">
        <f t="shared" si="6"/>
        <v>1332.3631586756949</v>
      </c>
      <c r="X23" s="29">
        <f t="shared" si="6"/>
        <v>9.0338603350955865E-2</v>
      </c>
      <c r="Y23" s="29">
        <f t="shared" si="6"/>
        <v>0.72006408159507129</v>
      </c>
    </row>
    <row r="24" spans="1:25" s="3" customFormat="1" x14ac:dyDescent="0.25">
      <c r="A24" s="27" t="s">
        <v>207</v>
      </c>
      <c r="B24" s="34">
        <v>2015</v>
      </c>
      <c r="C24" s="134">
        <v>300</v>
      </c>
      <c r="D24" s="134">
        <v>0.38</v>
      </c>
      <c r="E24" s="546">
        <f>VLOOKUP($A24,EFROGS!$A$1:$J$44,(IF($B24=2015,4,IF($B24=2016,5,IF($B24=2017,6,IF($B24=2018,7,IF($B24=2019,8,IF($B24=2020,9,0))))))),FALSE)</f>
        <v>0.12634860383051666</v>
      </c>
      <c r="F24" s="546">
        <f>VLOOKUP($A24,EFCOS!$A$1:$J$44,(IF($B24=2015,4,IF($B24=2016,5,IF($B24=2017,6,IF($B24=2018,7,IF($B24=2019,8,IF($B24=2020,9,0))))))),FALSE)</f>
        <v>0.50758739181396961</v>
      </c>
      <c r="G24" s="546">
        <f>VLOOKUP($A24,EFNOXS!$A$1:$J$44,(IF($B24=2015,4,IF($B24=2016,5,IF($B24=2017,6,IF($B24=2018,7,IF($B24=2019,8,IF($B24=2020,9,0))))))),FALSE)</f>
        <v>1.1481509547445321</v>
      </c>
      <c r="H24" s="546">
        <f>VLOOKUP($A24,EFSOXS!$A$1:$J$44,(IF($B24=2015,4,IF($B24=2016,5,IF($B24=2017,6,IF($B24=2018,7,IF($B24=2019,8,IF($B24=2020,9,0))))))),FALSE)</f>
        <v>2.4954346257058686E-3</v>
      </c>
      <c r="I24" s="546">
        <f>VLOOKUP($A24,EFPMS!$A$1:$J$44,(IF($B24=2015,4,IF($B24=2016,5,IF($B24=2017,6,IF($B24=2018,7,IF($B24=2019,8,IF($B24=2020,9,0))))))),FALSE)</f>
        <v>3.7613858140880155E-2</v>
      </c>
      <c r="J24" s="536">
        <f t="shared" si="4"/>
        <v>3.3476333745383335E-2</v>
      </c>
      <c r="K24" s="549">
        <f>VLOOKUP($A24,EFCO2S!$A$1:$J$44,(IF($B24=2015,4,IF($B24=2016,5,IF($B24=2017,6,IF($B24=2018,7,IF($B24=2019,8,IF($B24=2020,9,0))))))),FALSE)</f>
        <v>254.23854571385056</v>
      </c>
      <c r="L24" s="546">
        <f>VLOOKUP($A24,EFCH4S!$A$1:$J$44,(IF($B24=2015,4,IF($B24=2016,5,IF($B24=2017,6,IF($B24=2018,7,IF($B24=2019,8,IF($B24=2020,9,0))))))),FALSE)</f>
        <v>1.1815564023556229E-2</v>
      </c>
      <c r="M24" s="540">
        <f t="shared" si="5"/>
        <v>0.10907434070073055</v>
      </c>
      <c r="N24" s="135">
        <v>1</v>
      </c>
      <c r="O24" s="135">
        <v>8</v>
      </c>
      <c r="P24" s="109">
        <v>8</v>
      </c>
      <c r="Q24" s="39">
        <f t="shared" si="6"/>
        <v>1.0107888306441333</v>
      </c>
      <c r="R24" s="29">
        <f t="shared" si="6"/>
        <v>4.0606991345117569</v>
      </c>
      <c r="S24" s="29">
        <f t="shared" si="6"/>
        <v>9.1852076379562568</v>
      </c>
      <c r="T24" s="29">
        <f t="shared" si="6"/>
        <v>1.9963477005646948E-2</v>
      </c>
      <c r="U24" s="29">
        <f t="shared" si="6"/>
        <v>0.30091086512704124</v>
      </c>
      <c r="V24" s="29">
        <f t="shared" si="6"/>
        <v>0.26781066996306668</v>
      </c>
      <c r="W24" s="29">
        <f t="shared" si="6"/>
        <v>2033.9083657108044</v>
      </c>
      <c r="X24" s="29">
        <f t="shared" si="6"/>
        <v>9.452451218844983E-2</v>
      </c>
      <c r="Y24" s="29">
        <f t="shared" si="6"/>
        <v>0.87259472560584439</v>
      </c>
    </row>
    <row r="25" spans="1:25" s="3" customFormat="1" x14ac:dyDescent="0.25">
      <c r="A25" s="19" t="s">
        <v>38</v>
      </c>
      <c r="B25" s="34"/>
      <c r="C25" s="134"/>
      <c r="D25" s="13"/>
      <c r="E25" s="26"/>
      <c r="F25" s="26"/>
      <c r="G25" s="26"/>
      <c r="H25" s="26"/>
      <c r="I25" s="26"/>
      <c r="J25" s="27"/>
      <c r="K25" s="28"/>
      <c r="L25" s="26"/>
      <c r="M25" s="38"/>
      <c r="N25" s="135"/>
      <c r="O25" s="135"/>
      <c r="P25" s="136"/>
      <c r="Q25" s="138">
        <f t="shared" ref="Q25:Y25" si="7">SUM(Q23:Q24)</f>
        <v>1.9729738119093185</v>
      </c>
      <c r="R25" s="138">
        <f t="shared" si="7"/>
        <v>7.0788148311241503</v>
      </c>
      <c r="S25" s="138">
        <f t="shared" si="7"/>
        <v>16.764829549483323</v>
      </c>
      <c r="T25" s="138">
        <f t="shared" si="7"/>
        <v>3.4954847828154265E-2</v>
      </c>
      <c r="U25" s="138">
        <f t="shared" si="7"/>
        <v>0.55114076950783752</v>
      </c>
      <c r="V25" s="138">
        <f t="shared" si="7"/>
        <v>0.49051528486197538</v>
      </c>
      <c r="W25" s="138">
        <f t="shared" si="7"/>
        <v>3366.2715243864996</v>
      </c>
      <c r="X25" s="138">
        <f t="shared" si="7"/>
        <v>0.18486311553940571</v>
      </c>
      <c r="Y25" s="138">
        <f t="shared" si="7"/>
        <v>1.5926588072009156</v>
      </c>
    </row>
    <row r="26" spans="1:25" s="3" customFormat="1" x14ac:dyDescent="0.25">
      <c r="A26" s="27"/>
      <c r="B26" s="34"/>
      <c r="C26" s="134"/>
      <c r="D26" s="13"/>
      <c r="E26" s="26"/>
      <c r="F26" s="26"/>
      <c r="G26" s="26"/>
      <c r="H26" s="26"/>
      <c r="I26" s="26"/>
      <c r="J26" s="27"/>
      <c r="K26" s="28"/>
      <c r="L26" s="26"/>
      <c r="M26" s="38"/>
      <c r="N26" s="135"/>
      <c r="O26" s="135"/>
      <c r="P26" s="136"/>
      <c r="Q26" s="39"/>
      <c r="R26" s="29"/>
      <c r="S26" s="29"/>
      <c r="T26" s="29"/>
      <c r="U26" s="29"/>
      <c r="V26" s="29"/>
      <c r="W26" s="29"/>
      <c r="X26" s="29"/>
      <c r="Y26" s="29"/>
    </row>
    <row r="27" spans="1:25" s="3" customFormat="1" x14ac:dyDescent="0.25">
      <c r="A27" s="19" t="s">
        <v>585</v>
      </c>
      <c r="B27" s="34">
        <v>2015</v>
      </c>
      <c r="C27" s="134"/>
      <c r="D27" s="13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39"/>
      <c r="R27" s="29"/>
      <c r="S27" s="29"/>
      <c r="T27" s="29"/>
      <c r="U27" s="29"/>
      <c r="V27" s="29"/>
      <c r="W27" s="29"/>
      <c r="X27" s="29"/>
      <c r="Y27" s="29"/>
    </row>
    <row r="28" spans="1:25" s="3" customFormat="1" x14ac:dyDescent="0.25">
      <c r="A28" s="37" t="s">
        <v>583</v>
      </c>
      <c r="B28" s="34">
        <v>2015</v>
      </c>
      <c r="C28" s="134">
        <v>6</v>
      </c>
      <c r="D28" s="134">
        <v>0.82</v>
      </c>
      <c r="E28" s="546">
        <f>VLOOKUP($A28,EFROGS!$A$1:$J$44,(IF($B28=2015,4,IF($B28=2016,5,IF($B28=2017,6,IF($B28=2018,7,IF($B28=2019,8,IF($B28=2020,9,0))))))),FALSE)</f>
        <v>7.1819076358046203E-3</v>
      </c>
      <c r="F28" s="546">
        <f>VLOOKUP($A28,EFCOS!$A$1:$J$44,(IF($B28=2015,4,IF($B28=2016,5,IF($B28=2017,6,IF($B28=2018,7,IF($B28=2019,8,IF($B28=2020,9,0))))))),FALSE)</f>
        <v>3.5788414726185346E-2</v>
      </c>
      <c r="G28" s="546">
        <f>VLOOKUP($A28,EFNOXS!$A$1:$J$44,(IF($B28=2015,4,IF($B28=2016,5,IF($B28=2017,6,IF($B28=2018,7,IF($B28=2019,8,IF($B28=2020,9,0))))))),FALSE)</f>
        <v>4.2727044104310538E-2</v>
      </c>
      <c r="H28" s="546">
        <f>VLOOKUP($A28,EFSOXS!$A$1:$J$44,(IF($B28=2015,4,IF($B28=2016,5,IF($B28=2017,6,IF($B28=2018,7,IF($B28=2019,8,IF($B28=2020,9,0))))))),FALSE)</f>
        <v>9.6006650553722128E-5</v>
      </c>
      <c r="I28" s="546">
        <f>VLOOKUP($A28,EFPMS!$A$1:$J$44,(IF($B28=2015,4,IF($B28=2016,5,IF($B28=2017,6,IF($B28=2018,7,IF($B28=2019,8,IF($B28=2020,9,0))))))),FALSE)</f>
        <v>1.6695764161062747E-3</v>
      </c>
      <c r="J28" s="536">
        <f t="shared" ref="J28:J35" si="8">0.89*I28</f>
        <v>1.4859230103345846E-3</v>
      </c>
      <c r="K28" s="549">
        <f>VLOOKUP($A28,EFCO2S!$A$1:$J$44,(IF($B28=2015,4,IF($B28=2016,5,IF($B28=2017,6,IF($B28=2018,7,IF($B28=2019,8,IF($B28=2020,9,0))))))),FALSE)</f>
        <v>6.1697435407429388</v>
      </c>
      <c r="L28" s="546">
        <f>VLOOKUP($A28,EFCH4S!$A$1:$J$44,(IF($B28=2015,4,IF($B28=2016,5,IF($B28=2017,6,IF($B28=2018,7,IF($B28=2019,8,IF($B28=2020,9,0))))))),FALSE)</f>
        <v>6.4801190876982576E-4</v>
      </c>
      <c r="M28" s="540">
        <f t="shared" ref="M28:M35" si="9">0.095*G28</f>
        <v>4.0590691899095015E-3</v>
      </c>
      <c r="N28" s="108">
        <v>1</v>
      </c>
      <c r="O28" s="108">
        <v>8</v>
      </c>
      <c r="P28" s="109">
        <v>422.4</v>
      </c>
      <c r="Q28" s="39">
        <f t="shared" ref="Q28:Y35" si="10">(E28*$N28*$O28)</f>
        <v>5.7455261086436962E-2</v>
      </c>
      <c r="R28" s="29">
        <f t="shared" si="10"/>
        <v>0.28630731780948276</v>
      </c>
      <c r="S28" s="29">
        <f t="shared" si="10"/>
        <v>0.3418163528344843</v>
      </c>
      <c r="T28" s="29">
        <f t="shared" si="10"/>
        <v>7.6805320442977702E-4</v>
      </c>
      <c r="U28" s="29">
        <f t="shared" si="10"/>
        <v>1.3356611328850198E-2</v>
      </c>
      <c r="V28" s="29">
        <f t="shared" si="10"/>
        <v>1.1887384082676677E-2</v>
      </c>
      <c r="W28" s="29">
        <f t="shared" si="10"/>
        <v>49.357948325943511</v>
      </c>
      <c r="X28" s="29">
        <f t="shared" si="10"/>
        <v>5.1840952701586061E-3</v>
      </c>
      <c r="Y28" s="29">
        <f t="shared" si="10"/>
        <v>3.2472553519276012E-2</v>
      </c>
    </row>
    <row r="29" spans="1:25" s="3" customFormat="1" x14ac:dyDescent="0.25">
      <c r="A29" s="27" t="s">
        <v>155</v>
      </c>
      <c r="B29" s="34">
        <v>2015</v>
      </c>
      <c r="C29" s="134">
        <v>82</v>
      </c>
      <c r="D29" s="134">
        <v>0.5</v>
      </c>
      <c r="E29" s="546">
        <f>VLOOKUP($A29,EFROGS!$A$1:$J$44,(IF($B29=2015,4,IF($B29=2016,5,IF($B29=2017,6,IF($B29=2018,7,IF($B29=2019,8,IF($B29=2020,9,0))))))),FALSE)</f>
        <v>3.6309327217992599E-2</v>
      </c>
      <c r="F29" s="546">
        <f>VLOOKUP($A29,EFCOS!$A$1:$J$44,(IF($B29=2015,4,IF($B29=2016,5,IF($B29=2017,6,IF($B29=2018,7,IF($B29=2019,8,IF($B29=2020,9,0))))))),FALSE)</f>
        <v>0.46093801457747435</v>
      </c>
      <c r="G29" s="546">
        <f>VLOOKUP($A29,EFNOXS!$A$1:$J$44,(IF($B29=2015,4,IF($B29=2016,5,IF($B29=2017,6,IF($B29=2018,7,IF($B29=2019,8,IF($B29=2020,9,0))))))),FALSE)</f>
        <v>0.36619894798559588</v>
      </c>
      <c r="H29" s="546">
        <f>VLOOKUP($A29,EFSOXS!$A$1:$J$44,(IF($B29=2015,4,IF($B29=2016,5,IF($B29=2017,6,IF($B29=2018,7,IF($B29=2019,8,IF($B29=2020,9,0))))))),FALSE)</f>
        <v>9.0467796015684726E-4</v>
      </c>
      <c r="I29" s="546">
        <f>VLOOKUP($A29,EFPMS!$A$1:$J$44,(IF($B29=2015,4,IF($B29=2016,5,IF($B29=2017,6,IF($B29=2018,7,IF($B29=2019,8,IF($B29=2020,9,0))))))),FALSE)</f>
        <v>1.5314374699910852E-2</v>
      </c>
      <c r="J29" s="536">
        <f t="shared" si="8"/>
        <v>1.3629793482920658E-2</v>
      </c>
      <c r="K29" s="549">
        <f>VLOOKUP($A29,EFCO2S!$A$1:$J$44,(IF($B29=2015,4,IF($B29=2016,5,IF($B29=2017,6,IF($B29=2018,7,IF($B29=2019,8,IF($B29=2020,9,0))))))),FALSE)</f>
        <v>77.121767330485099</v>
      </c>
      <c r="L29" s="546">
        <f>VLOOKUP($A29,EFCH4S!$A$1:$J$44,(IF($B29=2015,4,IF($B29=2016,5,IF($B29=2017,6,IF($B29=2018,7,IF($B29=2019,8,IF($B29=2020,9,0))))))),FALSE)</f>
        <v>3.3884664579035585E-3</v>
      </c>
      <c r="M29" s="540">
        <f t="shared" si="9"/>
        <v>3.4788900058631611E-2</v>
      </c>
      <c r="N29" s="108">
        <v>1</v>
      </c>
      <c r="O29" s="108">
        <v>6.4</v>
      </c>
      <c r="P29" s="109">
        <v>337.92</v>
      </c>
      <c r="Q29" s="39">
        <f t="shared" si="10"/>
        <v>0.23237969419515264</v>
      </c>
      <c r="R29" s="29">
        <f t="shared" si="10"/>
        <v>2.9500032932958362</v>
      </c>
      <c r="S29" s="29">
        <f t="shared" si="10"/>
        <v>2.3436732671078135</v>
      </c>
      <c r="T29" s="29">
        <f t="shared" si="10"/>
        <v>5.7899389450038231E-3</v>
      </c>
      <c r="U29" s="29">
        <f t="shared" si="10"/>
        <v>9.8011998079429452E-2</v>
      </c>
      <c r="V29" s="29">
        <f t="shared" si="10"/>
        <v>8.7230678290692212E-2</v>
      </c>
      <c r="W29" s="29">
        <f t="shared" si="10"/>
        <v>493.57931091510466</v>
      </c>
      <c r="X29" s="29">
        <f t="shared" si="10"/>
        <v>2.1686185330582777E-2</v>
      </c>
      <c r="Y29" s="29">
        <f t="shared" si="10"/>
        <v>0.22264896037524232</v>
      </c>
    </row>
    <row r="30" spans="1:25" s="3" customFormat="1" x14ac:dyDescent="0.25">
      <c r="A30" s="27" t="s">
        <v>197</v>
      </c>
      <c r="B30" s="34">
        <v>2015</v>
      </c>
      <c r="C30" s="134">
        <v>200</v>
      </c>
      <c r="D30" s="134">
        <v>0.36</v>
      </c>
      <c r="E30" s="546">
        <f>VLOOKUP($A30,EFROGS!$A$1:$J$44,(IF($B30=2015,4,IF($B30=2016,5,IF($B30=2017,6,IF($B30=2018,7,IF($B30=2019,8,IF($B30=2020,9,0))))))),FALSE)</f>
        <v>0.10736823912786365</v>
      </c>
      <c r="F30" s="546">
        <f>VLOOKUP($A30,EFCOS!$A$1:$J$44,(IF($B30=2015,4,IF($B30=2016,5,IF($B30=2017,6,IF($B30=2018,7,IF($B30=2019,8,IF($B30=2020,9,0))))))),FALSE)</f>
        <v>0.34779590495709528</v>
      </c>
      <c r="G30" s="546">
        <f>VLOOKUP($A30,EFNOXS!$A$1:$J$44,(IF($B30=2015,4,IF($B30=2016,5,IF($B30=2017,6,IF($B30=2018,7,IF($B30=2019,8,IF($B30=2020,9,0))))))),FALSE)</f>
        <v>0.95148079591778234</v>
      </c>
      <c r="H30" s="546">
        <f>VLOOKUP($A30,EFSOXS!$A$1:$J$44,(IF($B30=2015,4,IF($B30=2016,5,IF($B30=2017,6,IF($B30=2018,7,IF($B30=2019,8,IF($B30=2020,9,0))))))),FALSE)</f>
        <v>1.676243123421701E-3</v>
      </c>
      <c r="I30" s="546">
        <f>VLOOKUP($A30,EFPMS!$A$1:$J$44,(IF($B30=2015,4,IF($B30=2016,5,IF($B30=2017,6,IF($B30=2018,7,IF($B30=2019,8,IF($B30=2020,9,0))))))),FALSE)</f>
        <v>3.2120532550839874E-2</v>
      </c>
      <c r="J30" s="536">
        <f t="shared" si="8"/>
        <v>2.858727397024749E-2</v>
      </c>
      <c r="K30" s="549">
        <f>VLOOKUP($A30,EFCO2S!$A$1:$J$44,(IF($B30=2015,4,IF($B30=2016,5,IF($B30=2017,6,IF($B30=2018,7,IF($B30=2019,8,IF($B30=2020,9,0))))))),FALSE)</f>
        <v>148.97664453593197</v>
      </c>
      <c r="L30" s="546">
        <f>VLOOKUP($A30,EFCH4S!$A$1:$J$44,(IF($B30=2015,4,IF($B30=2016,5,IF($B30=2017,6,IF($B30=2018,7,IF($B30=2019,8,IF($B30=2020,9,0))))))),FALSE)</f>
        <v>1.0092011106863865E-2</v>
      </c>
      <c r="M30" s="540">
        <f t="shared" si="9"/>
        <v>9.0390675612189317E-2</v>
      </c>
      <c r="N30" s="135">
        <v>1</v>
      </c>
      <c r="O30" s="135">
        <v>3.2</v>
      </c>
      <c r="P30" s="136">
        <v>168.96</v>
      </c>
      <c r="Q30" s="39">
        <f t="shared" si="10"/>
        <v>0.34357836520916374</v>
      </c>
      <c r="R30" s="29">
        <f t="shared" si="10"/>
        <v>1.1129468958627049</v>
      </c>
      <c r="S30" s="29">
        <f t="shared" si="10"/>
        <v>3.0447385469369035</v>
      </c>
      <c r="T30" s="29">
        <f t="shared" si="10"/>
        <v>5.3639779949494438E-3</v>
      </c>
      <c r="U30" s="29">
        <f t="shared" si="10"/>
        <v>0.10278570416268761</v>
      </c>
      <c r="V30" s="29">
        <f t="shared" si="10"/>
        <v>9.1479276704791973E-2</v>
      </c>
      <c r="W30" s="29">
        <f t="shared" si="10"/>
        <v>476.72526251498232</v>
      </c>
      <c r="X30" s="29">
        <f t="shared" si="10"/>
        <v>3.2294435541964366E-2</v>
      </c>
      <c r="Y30" s="29">
        <f t="shared" si="10"/>
        <v>0.28925016195900582</v>
      </c>
    </row>
    <row r="31" spans="1:25" s="3" customFormat="1" x14ac:dyDescent="0.25">
      <c r="A31" s="27" t="s">
        <v>199</v>
      </c>
      <c r="B31" s="34">
        <v>2015</v>
      </c>
      <c r="C31" s="25">
        <v>175</v>
      </c>
      <c r="D31" s="134">
        <v>0.38</v>
      </c>
      <c r="E31" s="546">
        <f>VLOOKUP($A31,EFROGS!$A$1:$J$44,(IF($B31=2015,4,IF($B31=2016,5,IF($B31=2017,6,IF($B31=2018,7,IF($B31=2019,8,IF($B31=2020,9,0))))))),FALSE)</f>
        <v>0.11992127080629632</v>
      </c>
      <c r="F31" s="546">
        <f>VLOOKUP($A31,EFCOS!$A$1:$J$44,(IF($B31=2015,4,IF($B31=2016,5,IF($B31=2017,6,IF($B31=2018,7,IF($B31=2019,8,IF($B31=2020,9,0))))))),FALSE)</f>
        <v>0.37073007054215767</v>
      </c>
      <c r="G31" s="546">
        <f>VLOOKUP($A31,EFNOXS!$A$1:$J$44,(IF($B31=2015,4,IF($B31=2016,5,IF($B31=2017,6,IF($B31=2018,7,IF($B31=2019,8,IF($B31=2020,9,0))))))),FALSE)</f>
        <v>0.94368289767104196</v>
      </c>
      <c r="H31" s="546">
        <f>VLOOKUP($A31,EFSOXS!$A$1:$J$44,(IF($B31=2015,4,IF($B31=2016,5,IF($B31=2017,6,IF($B31=2018,7,IF($B31=2019,8,IF($B31=2020,9,0))))))),FALSE)</f>
        <v>1.8739213528134147E-3</v>
      </c>
      <c r="I31" s="546">
        <f>VLOOKUP($A31,EFPMS!$A$1:$J$44,(IF($B31=2015,4,IF($B31=2016,5,IF($B31=2017,6,IF($B31=2018,7,IF($B31=2019,8,IF($B31=2020,9,0))))))),FALSE)</f>
        <v>3.1241039634901123E-2</v>
      </c>
      <c r="J31" s="536">
        <f t="shared" si="8"/>
        <v>2.7804525275062001E-2</v>
      </c>
      <c r="K31" s="549">
        <f>VLOOKUP($A31,EFCO2S!$A$1:$J$44,(IF($B31=2015,4,IF($B31=2016,5,IF($B31=2017,6,IF($B31=2018,7,IF($B31=2019,8,IF($B31=2020,9,0))))))),FALSE)</f>
        <v>166.54539483446186</v>
      </c>
      <c r="L31" s="546">
        <f>VLOOKUP($A31,EFCH4S!$A$1:$J$44,(IF($B31=2015,4,IF($B31=2016,5,IF($B31=2017,6,IF($B31=2018,7,IF($B31=2019,8,IF($B31=2020,9,0))))))),FALSE)</f>
        <v>1.1292325418869483E-2</v>
      </c>
      <c r="M31" s="540">
        <f t="shared" si="9"/>
        <v>8.9649875278748986E-2</v>
      </c>
      <c r="N31" s="135">
        <v>1</v>
      </c>
      <c r="O31" s="135">
        <v>0.8</v>
      </c>
      <c r="P31" s="136">
        <v>42.24</v>
      </c>
      <c r="Q31" s="39">
        <f t="shared" si="10"/>
        <v>9.5937016645037065E-2</v>
      </c>
      <c r="R31" s="29">
        <f t="shared" si="10"/>
        <v>0.29658405643372615</v>
      </c>
      <c r="S31" s="29">
        <f t="shared" si="10"/>
        <v>0.75494631813683366</v>
      </c>
      <c r="T31" s="29">
        <f t="shared" si="10"/>
        <v>1.4991370822507318E-3</v>
      </c>
      <c r="U31" s="29">
        <f t="shared" si="10"/>
        <v>2.4992831707920899E-2</v>
      </c>
      <c r="V31" s="29">
        <f t="shared" si="10"/>
        <v>2.2243620220049602E-2</v>
      </c>
      <c r="W31" s="29">
        <f t="shared" si="10"/>
        <v>133.23631586756949</v>
      </c>
      <c r="X31" s="29">
        <f t="shared" si="10"/>
        <v>9.0338603350955862E-3</v>
      </c>
      <c r="Y31" s="29">
        <f t="shared" si="10"/>
        <v>7.1719900222999192E-2</v>
      </c>
    </row>
    <row r="32" spans="1:25" s="3" customFormat="1" x14ac:dyDescent="0.25">
      <c r="A32" s="27" t="s">
        <v>192</v>
      </c>
      <c r="B32" s="34">
        <v>2015</v>
      </c>
      <c r="C32" s="25">
        <v>45</v>
      </c>
      <c r="D32" s="134">
        <v>0.48</v>
      </c>
      <c r="E32" s="546">
        <f>VLOOKUP($A32,EFROGS!$A$1:$J$44,(IF($B32=2015,4,IF($B32=2016,5,IF($B32=2017,6,IF($B32=2018,7,IF($B32=2019,8,IF($B32=2020,9,0))))))),FALSE)</f>
        <v>7.4731714184131492E-2</v>
      </c>
      <c r="F32" s="546">
        <f>VLOOKUP($A32,EFCOS!$A$1:$J$44,(IF($B32=2015,4,IF($B32=2016,5,IF($B32=2017,6,IF($B32=2018,7,IF($B32=2019,8,IF($B32=2020,9,0))))))),FALSE)</f>
        <v>0.24453724453802805</v>
      </c>
      <c r="G32" s="546">
        <f>VLOOKUP($A32,EFNOXS!$A$1:$J$44,(IF($B32=2015,4,IF($B32=2016,5,IF($B32=2017,6,IF($B32=2018,7,IF($B32=2019,8,IF($B32=2020,9,0))))))),FALSE)</f>
        <v>0.22305455439379515</v>
      </c>
      <c r="H32" s="546">
        <f>VLOOKUP($A32,EFSOXS!$A$1:$J$44,(IF($B32=2015,4,IF($B32=2016,5,IF($B32=2017,6,IF($B32=2018,7,IF($B32=2019,8,IF($B32=2020,9,0))))))),FALSE)</f>
        <v>2.8791180196343529E-4</v>
      </c>
      <c r="I32" s="546">
        <f>VLOOKUP($A32,EFPMS!$A$1:$J$44,(IF($B32=2015,4,IF($B32=2016,5,IF($B32=2017,6,IF($B32=2018,7,IF($B32=2019,8,IF($B32=2020,9,0))))))),FALSE)</f>
        <v>1.8470024929196412E-2</v>
      </c>
      <c r="J32" s="536">
        <f t="shared" si="8"/>
        <v>1.6438322186984808E-2</v>
      </c>
      <c r="K32" s="549">
        <f>VLOOKUP($A32,EFCO2S!$A$1:$J$44,(IF($B32=2015,4,IF($B32=2016,5,IF($B32=2017,6,IF($B32=2018,7,IF($B32=2019,8,IF($B32=2020,9,0))))))),FALSE)</f>
        <v>22.271261510097837</v>
      </c>
      <c r="L32" s="546">
        <f>VLOOKUP($A32,EFCH4S!$A$1:$J$44,(IF($B32=2015,4,IF($B32=2016,5,IF($B32=2017,6,IF($B32=2018,7,IF($B32=2019,8,IF($B32=2020,9,0))))))),FALSE)</f>
        <v>6.7429224274720354E-3</v>
      </c>
      <c r="M32" s="540">
        <f t="shared" si="9"/>
        <v>2.1190182667410538E-2</v>
      </c>
      <c r="N32" s="135">
        <v>1</v>
      </c>
      <c r="O32" s="135">
        <v>6.4</v>
      </c>
      <c r="P32" s="109">
        <v>337.92</v>
      </c>
      <c r="Q32" s="39">
        <f t="shared" si="10"/>
        <v>0.47828297077844156</v>
      </c>
      <c r="R32" s="29">
        <f t="shared" si="10"/>
        <v>1.5650383650433797</v>
      </c>
      <c r="S32" s="29">
        <f t="shared" si="10"/>
        <v>1.4275491481202891</v>
      </c>
      <c r="T32" s="29">
        <f t="shared" si="10"/>
        <v>1.8426355325659859E-3</v>
      </c>
      <c r="U32" s="29">
        <f t="shared" si="10"/>
        <v>0.11820815954685704</v>
      </c>
      <c r="V32" s="29">
        <f t="shared" si="10"/>
        <v>0.10520526199670277</v>
      </c>
      <c r="W32" s="29">
        <f t="shared" si="10"/>
        <v>142.53607366462617</v>
      </c>
      <c r="X32" s="29">
        <f t="shared" si="10"/>
        <v>4.3154703535821029E-2</v>
      </c>
      <c r="Y32" s="29">
        <f t="shared" si="10"/>
        <v>0.13561716907142746</v>
      </c>
    </row>
    <row r="33" spans="1:32" s="3" customFormat="1" x14ac:dyDescent="0.25">
      <c r="A33" s="37" t="s">
        <v>157</v>
      </c>
      <c r="B33" s="34">
        <v>2015</v>
      </c>
      <c r="C33" s="25">
        <v>235</v>
      </c>
      <c r="D33" s="25">
        <v>0.38</v>
      </c>
      <c r="E33" s="546">
        <f>VLOOKUP($A33,EFROGS!$A$1:$J$44,(IF($B33=2015,4,IF($B33=2016,5,IF($B33=2017,6,IF($B33=2018,7,IF($B33=2019,8,IF($B33=2020,9,0))))))),FALSE)</f>
        <v>0.12027312265814816</v>
      </c>
      <c r="F33" s="546">
        <f>VLOOKUP($A33,EFCOS!$A$1:$J$44,(IF($B33=2015,4,IF($B33=2016,5,IF($B33=2017,6,IF($B33=2018,7,IF($B33=2019,8,IF($B33=2020,9,0))))))),FALSE)</f>
        <v>0.37726446207654918</v>
      </c>
      <c r="G33" s="546">
        <f>VLOOKUP($A33,EFNOXS!$A$1:$J$44,(IF($B33=2015,4,IF($B33=2016,5,IF($B33=2017,6,IF($B33=2018,7,IF($B33=2019,8,IF($B33=2020,9,0))))))),FALSE)</f>
        <v>0.94745273894088322</v>
      </c>
      <c r="H33" s="546">
        <f>VLOOKUP($A33,EFSOXS!$A$1:$J$44,(IF($B33=2015,4,IF($B33=2016,5,IF($B33=2017,6,IF($B33=2018,7,IF($B33=2019,8,IF($B33=2020,9,0))))))),FALSE)</f>
        <v>1.8739213528134147E-3</v>
      </c>
      <c r="I33" s="546">
        <f>VLOOKUP($A33,EFPMS!$A$1:$J$44,(IF($B33=2015,4,IF($B33=2016,5,IF($B33=2017,6,IF($B33=2018,7,IF($B33=2019,8,IF($B33=2020,9,0))))))),FALSE)</f>
        <v>3.1278738047599536E-2</v>
      </c>
      <c r="J33" s="536">
        <f t="shared" si="8"/>
        <v>2.7838076862363587E-2</v>
      </c>
      <c r="K33" s="549">
        <f>VLOOKUP($A33,EFCO2S!$A$1:$J$44,(IF($B33=2015,4,IF($B33=2016,5,IF($B33=2017,6,IF($B33=2018,7,IF($B33=2019,8,IF($B33=2020,9,0))))))),FALSE)</f>
        <v>166.54539483446186</v>
      </c>
      <c r="L33" s="546">
        <f>VLOOKUP($A33,EFCH4S!$A$1:$J$44,(IF($B33=2015,4,IF($B33=2016,5,IF($B33=2017,6,IF($B33=2018,7,IF($B33=2019,8,IF($B33=2020,9,0))))))),FALSE)</f>
        <v>1.1292325418869483E-2</v>
      </c>
      <c r="M33" s="540">
        <f t="shared" si="9"/>
        <v>9.0008010199383912E-2</v>
      </c>
      <c r="N33" s="108">
        <v>1</v>
      </c>
      <c r="O33" s="108">
        <v>1.6</v>
      </c>
      <c r="P33" s="109">
        <v>84.48</v>
      </c>
      <c r="Q33" s="39">
        <f t="shared" si="10"/>
        <v>0.19243699625303706</v>
      </c>
      <c r="R33" s="29">
        <f t="shared" si="10"/>
        <v>0.60362313932247869</v>
      </c>
      <c r="S33" s="29">
        <f t="shared" si="10"/>
        <v>1.5159243823054132</v>
      </c>
      <c r="T33" s="29">
        <f t="shared" si="10"/>
        <v>2.9982741645014637E-3</v>
      </c>
      <c r="U33" s="29">
        <f t="shared" si="10"/>
        <v>5.004598087615926E-2</v>
      </c>
      <c r="V33" s="29">
        <f t="shared" si="10"/>
        <v>4.4540922979781739E-2</v>
      </c>
      <c r="W33" s="29">
        <f t="shared" si="10"/>
        <v>266.47263173513898</v>
      </c>
      <c r="X33" s="29">
        <f t="shared" si="10"/>
        <v>1.8067720670191172E-2</v>
      </c>
      <c r="Y33" s="29">
        <f t="shared" si="10"/>
        <v>0.14401281631901428</v>
      </c>
    </row>
    <row r="34" spans="1:32" s="3" customFormat="1" x14ac:dyDescent="0.25">
      <c r="A34" s="37" t="s">
        <v>157</v>
      </c>
      <c r="B34" s="34">
        <v>2015</v>
      </c>
      <c r="C34" s="25">
        <v>235</v>
      </c>
      <c r="D34" s="25">
        <v>0.38</v>
      </c>
      <c r="E34" s="546">
        <f>VLOOKUP($A34,EFROGS!$A$1:$J$44,(IF($B34=2015,4,IF($B34=2016,5,IF($B34=2017,6,IF($B34=2018,7,IF($B34=2019,8,IF($B34=2020,9,0))))))),FALSE)</f>
        <v>0.12027312265814816</v>
      </c>
      <c r="F34" s="546">
        <f>VLOOKUP($A34,EFCOS!$A$1:$J$44,(IF($B34=2015,4,IF($B34=2016,5,IF($B34=2017,6,IF($B34=2018,7,IF($B34=2019,8,IF($B34=2020,9,0))))))),FALSE)</f>
        <v>0.37726446207654918</v>
      </c>
      <c r="G34" s="546">
        <f>VLOOKUP($A34,EFNOXS!$A$1:$J$44,(IF($B34=2015,4,IF($B34=2016,5,IF($B34=2017,6,IF($B34=2018,7,IF($B34=2019,8,IF($B34=2020,9,0))))))),FALSE)</f>
        <v>0.94745273894088322</v>
      </c>
      <c r="H34" s="546">
        <f>VLOOKUP($A34,EFSOXS!$A$1:$J$44,(IF($B34=2015,4,IF($B34=2016,5,IF($B34=2017,6,IF($B34=2018,7,IF($B34=2019,8,IF($B34=2020,9,0))))))),FALSE)</f>
        <v>1.8739213528134147E-3</v>
      </c>
      <c r="I34" s="546">
        <f>VLOOKUP($A34,EFPMS!$A$1:$J$44,(IF($B34=2015,4,IF($B34=2016,5,IF($B34=2017,6,IF($B34=2018,7,IF($B34=2019,8,IF($B34=2020,9,0))))))),FALSE)</f>
        <v>3.1278738047599536E-2</v>
      </c>
      <c r="J34" s="536">
        <f t="shared" si="8"/>
        <v>2.7838076862363587E-2</v>
      </c>
      <c r="K34" s="549">
        <f>VLOOKUP($A34,EFCO2S!$A$1:$J$44,(IF($B34=2015,4,IF($B34=2016,5,IF($B34=2017,6,IF($B34=2018,7,IF($B34=2019,8,IF($B34=2020,9,0))))))),FALSE)</f>
        <v>166.54539483446186</v>
      </c>
      <c r="L34" s="546">
        <f>VLOOKUP($A34,EFCH4S!$A$1:$J$44,(IF($B34=2015,4,IF($B34=2016,5,IF($B34=2017,6,IF($B34=2018,7,IF($B34=2019,8,IF($B34=2020,9,0))))))),FALSE)</f>
        <v>1.1292325418869483E-2</v>
      </c>
      <c r="M34" s="540">
        <f t="shared" si="9"/>
        <v>9.0008010199383912E-2</v>
      </c>
      <c r="N34" s="108">
        <v>1</v>
      </c>
      <c r="O34" s="108">
        <v>1.6</v>
      </c>
      <c r="P34" s="109">
        <v>84.48</v>
      </c>
      <c r="Q34" s="39">
        <f t="shared" si="10"/>
        <v>0.19243699625303706</v>
      </c>
      <c r="R34" s="29">
        <f t="shared" si="10"/>
        <v>0.60362313932247869</v>
      </c>
      <c r="S34" s="29">
        <f t="shared" si="10"/>
        <v>1.5159243823054132</v>
      </c>
      <c r="T34" s="29">
        <f t="shared" si="10"/>
        <v>2.9982741645014637E-3</v>
      </c>
      <c r="U34" s="29">
        <f t="shared" si="10"/>
        <v>5.004598087615926E-2</v>
      </c>
      <c r="V34" s="29">
        <f t="shared" si="10"/>
        <v>4.4540922979781739E-2</v>
      </c>
      <c r="W34" s="29">
        <f t="shared" si="10"/>
        <v>266.47263173513898</v>
      </c>
      <c r="X34" s="29">
        <f t="shared" si="10"/>
        <v>1.8067720670191172E-2</v>
      </c>
      <c r="Y34" s="29">
        <f t="shared" si="10"/>
        <v>0.14401281631901428</v>
      </c>
    </row>
    <row r="35" spans="1:32" s="3" customFormat="1" x14ac:dyDescent="0.25">
      <c r="A35" s="37" t="s">
        <v>162</v>
      </c>
      <c r="B35" s="34">
        <v>2015</v>
      </c>
      <c r="C35" s="25">
        <v>235</v>
      </c>
      <c r="D35" s="25">
        <v>0.38</v>
      </c>
      <c r="E35" s="546">
        <f>VLOOKUP($A35,EFROGS!$A$1:$J$44,(IF($B35=2015,4,IF($B35=2016,5,IF($B35=2017,6,IF($B35=2018,7,IF($B35=2019,8,IF($B35=2020,9,0))))))),FALSE)</f>
        <v>0.12027312265814816</v>
      </c>
      <c r="F35" s="546">
        <f>VLOOKUP($A35,EFCOS!$A$1:$J$44,(IF($B35=2015,4,IF($B35=2016,5,IF($B35=2017,6,IF($B35=2018,7,IF($B35=2019,8,IF($B35=2020,9,0))))))),FALSE)</f>
        <v>0.37726446207654918</v>
      </c>
      <c r="G35" s="546">
        <f>VLOOKUP($A35,EFNOXS!$A$1:$J$44,(IF($B35=2015,4,IF($B35=2016,5,IF($B35=2017,6,IF($B35=2018,7,IF($B35=2019,8,IF($B35=2020,9,0))))))),FALSE)</f>
        <v>0.94745273894088322</v>
      </c>
      <c r="H35" s="546">
        <f>VLOOKUP($A35,EFSOXS!$A$1:$J$44,(IF($B35=2015,4,IF($B35=2016,5,IF($B35=2017,6,IF($B35=2018,7,IF($B35=2019,8,IF($B35=2020,9,0))))))),FALSE)</f>
        <v>1.8739213528134147E-3</v>
      </c>
      <c r="I35" s="546">
        <f>VLOOKUP($A35,EFPMS!$A$1:$J$44,(IF($B35=2015,4,IF($B35=2016,5,IF($B35=2017,6,IF($B35=2018,7,IF($B35=2019,8,IF($B35=2020,9,0))))))),FALSE)</f>
        <v>3.1278738047599536E-2</v>
      </c>
      <c r="J35" s="536">
        <f t="shared" si="8"/>
        <v>2.7838076862363587E-2</v>
      </c>
      <c r="K35" s="549">
        <f>VLOOKUP($A35,EFCO2S!$A$1:$J$44,(IF($B35=2015,4,IF($B35=2016,5,IF($B35=2017,6,IF($B35=2018,7,IF($B35=2019,8,IF($B35=2020,9,0))))))),FALSE)</f>
        <v>166.54539483446186</v>
      </c>
      <c r="L35" s="546">
        <f>VLOOKUP($A35,EFCH4S!$A$1:$J$44,(IF($B35=2015,4,IF($B35=2016,5,IF($B35=2017,6,IF($B35=2018,7,IF($B35=2019,8,IF($B35=2020,9,0))))))),FALSE)</f>
        <v>1.1292325418869483E-2</v>
      </c>
      <c r="M35" s="540">
        <f t="shared" si="9"/>
        <v>9.0008010199383912E-2</v>
      </c>
      <c r="N35" s="108">
        <v>1</v>
      </c>
      <c r="O35" s="108">
        <v>1.6</v>
      </c>
      <c r="P35" s="109">
        <v>84.48</v>
      </c>
      <c r="Q35" s="39">
        <f t="shared" si="10"/>
        <v>0.19243699625303706</v>
      </c>
      <c r="R35" s="29">
        <f t="shared" si="10"/>
        <v>0.60362313932247869</v>
      </c>
      <c r="S35" s="29">
        <f t="shared" si="10"/>
        <v>1.5159243823054132</v>
      </c>
      <c r="T35" s="29">
        <f t="shared" si="10"/>
        <v>2.9982741645014637E-3</v>
      </c>
      <c r="U35" s="29">
        <f t="shared" si="10"/>
        <v>5.004598087615926E-2</v>
      </c>
      <c r="V35" s="29">
        <f t="shared" si="10"/>
        <v>4.4540922979781739E-2</v>
      </c>
      <c r="W35" s="29">
        <f t="shared" si="10"/>
        <v>266.47263173513898</v>
      </c>
      <c r="X35" s="29">
        <f t="shared" si="10"/>
        <v>1.8067720670191172E-2</v>
      </c>
      <c r="Y35" s="29">
        <f t="shared" si="10"/>
        <v>0.14401281631901428</v>
      </c>
    </row>
    <row r="36" spans="1:32" s="3" customFormat="1" x14ac:dyDescent="0.25">
      <c r="A36" s="19" t="s">
        <v>38</v>
      </c>
      <c r="B36" s="34"/>
      <c r="C36" s="25"/>
      <c r="D36" s="20"/>
      <c r="E36" s="26"/>
      <c r="F36" s="26"/>
      <c r="G36" s="26"/>
      <c r="H36" s="26"/>
      <c r="I36" s="26"/>
      <c r="J36" s="27"/>
      <c r="K36" s="28"/>
      <c r="L36" s="26"/>
      <c r="M36" s="38"/>
      <c r="N36" s="135"/>
      <c r="O36" s="135"/>
      <c r="P36" s="136"/>
      <c r="Q36" s="138">
        <f>SUM(Q28:Q35)</f>
        <v>1.7849442966733429</v>
      </c>
      <c r="R36" s="138">
        <f t="shared" ref="R36:Y36" si="11">SUM(R28:R35)</f>
        <v>8.021749346412566</v>
      </c>
      <c r="S36" s="138">
        <f t="shared" si="11"/>
        <v>12.460496780052566</v>
      </c>
      <c r="T36" s="138">
        <f t="shared" si="11"/>
        <v>2.4258565252704152E-2</v>
      </c>
      <c r="U36" s="138">
        <f t="shared" si="11"/>
        <v>0.50749324745422297</v>
      </c>
      <c r="V36" s="138">
        <f t="shared" si="11"/>
        <v>0.45166899023425844</v>
      </c>
      <c r="W36" s="138">
        <f t="shared" si="11"/>
        <v>2094.8528064936431</v>
      </c>
      <c r="X36" s="138">
        <f t="shared" si="11"/>
        <v>0.16555644202419587</v>
      </c>
      <c r="Y36" s="138">
        <f t="shared" si="11"/>
        <v>1.1837471941049937</v>
      </c>
    </row>
    <row r="37" spans="1:32" s="3" customFormat="1" x14ac:dyDescent="0.25">
      <c r="A37" s="27"/>
      <c r="B37" s="34"/>
      <c r="C37" s="25"/>
      <c r="D37" s="20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39"/>
      <c r="R37" s="29"/>
      <c r="S37" s="29"/>
      <c r="T37" s="29"/>
      <c r="U37" s="29"/>
      <c r="V37" s="29"/>
      <c r="W37" s="29"/>
      <c r="X37" s="29"/>
      <c r="Y37" s="29"/>
    </row>
    <row r="38" spans="1:32" s="6" customFormat="1" x14ac:dyDescent="0.25">
      <c r="A38" s="187" t="s">
        <v>117</v>
      </c>
      <c r="B38" s="134"/>
      <c r="C38" s="25"/>
      <c r="D38" s="25"/>
      <c r="E38" s="26"/>
      <c r="F38" s="26"/>
      <c r="G38" s="26"/>
      <c r="H38" s="26"/>
      <c r="I38" s="26"/>
      <c r="J38" s="27"/>
      <c r="K38" s="28"/>
      <c r="L38" s="26"/>
      <c r="M38" s="26"/>
      <c r="N38" s="109"/>
      <c r="O38" s="109"/>
      <c r="P38" s="109"/>
      <c r="Q38" s="22">
        <f t="shared" ref="Q38:Y38" si="12">Q20+Q25+Q36</f>
        <v>11.834460073096867</v>
      </c>
      <c r="R38" s="22">
        <f t="shared" si="12"/>
        <v>46.186880570075473</v>
      </c>
      <c r="S38" s="22">
        <f t="shared" si="12"/>
        <v>87.697728016164064</v>
      </c>
      <c r="T38" s="22">
        <f t="shared" si="12"/>
        <v>0.16087346128577509</v>
      </c>
      <c r="U38" s="22">
        <f t="shared" si="12"/>
        <v>3.8877264786666066</v>
      </c>
      <c r="V38" s="22">
        <f t="shared" si="12"/>
        <v>3.4600765660132793</v>
      </c>
      <c r="W38" s="22">
        <f t="shared" si="12"/>
        <v>14332.710545952217</v>
      </c>
      <c r="X38" s="22">
        <f t="shared" si="12"/>
        <v>1.106851811722269</v>
      </c>
      <c r="Y38" s="22">
        <f t="shared" si="12"/>
        <v>8.3312841615355868</v>
      </c>
      <c r="AF38" s="7"/>
    </row>
    <row r="39" spans="1:32" s="6" customFormat="1" x14ac:dyDescent="0.25">
      <c r="A39" s="562"/>
      <c r="B39" s="1"/>
      <c r="C39" s="1"/>
      <c r="D39" s="1"/>
      <c r="E39" s="623" t="s">
        <v>2</v>
      </c>
      <c r="F39" s="623"/>
      <c r="G39" s="623"/>
      <c r="H39" s="623"/>
      <c r="I39" s="623"/>
      <c r="J39" s="623"/>
      <c r="K39" s="623"/>
      <c r="L39" s="623"/>
      <c r="M39" s="562"/>
      <c r="N39" s="3"/>
      <c r="O39" s="562"/>
      <c r="P39" s="562"/>
      <c r="Q39" s="4"/>
      <c r="R39" s="4"/>
      <c r="S39" s="4"/>
      <c r="T39" s="4"/>
      <c r="U39" s="4"/>
      <c r="V39" s="4"/>
      <c r="W39" s="5"/>
      <c r="X39" s="4"/>
      <c r="Y39" s="4"/>
      <c r="AF39" s="7"/>
    </row>
    <row r="40" spans="1:32" s="6" customFormat="1" ht="39.6" x14ac:dyDescent="0.25">
      <c r="A40" s="12" t="s">
        <v>131</v>
      </c>
      <c r="B40" s="13" t="s">
        <v>3</v>
      </c>
      <c r="C40" s="13" t="s">
        <v>4</v>
      </c>
      <c r="D40" s="1"/>
      <c r="E40" s="18" t="s">
        <v>27</v>
      </c>
      <c r="F40" s="18" t="s">
        <v>28</v>
      </c>
      <c r="G40" s="18" t="s">
        <v>29</v>
      </c>
      <c r="H40" s="18" t="s">
        <v>30</v>
      </c>
      <c r="I40" s="18" t="s">
        <v>31</v>
      </c>
      <c r="J40" s="18" t="s">
        <v>32</v>
      </c>
      <c r="K40" s="17" t="s">
        <v>33</v>
      </c>
      <c r="L40" s="18" t="s">
        <v>34</v>
      </c>
      <c r="M40" s="18" t="s">
        <v>35</v>
      </c>
      <c r="N40" s="3"/>
      <c r="O40" s="562"/>
      <c r="P40" s="562"/>
      <c r="Q40" s="4"/>
      <c r="R40" s="4"/>
      <c r="S40" s="4"/>
      <c r="T40" s="4"/>
      <c r="U40" s="4"/>
      <c r="V40" s="4"/>
      <c r="W40" s="5"/>
      <c r="X40" s="4"/>
      <c r="Y40" s="4"/>
      <c r="AF40" s="7"/>
    </row>
    <row r="41" spans="1:32" s="3" customFormat="1" x14ac:dyDescent="0.25">
      <c r="A41" s="12" t="str">
        <f t="shared" ref="A41:A54" si="13">A7</f>
        <v xml:space="preserve">Undergrounding 1: Construction 800' of UG </v>
      </c>
      <c r="B41" s="36"/>
      <c r="C41" s="20"/>
      <c r="D41" s="1"/>
      <c r="E41" s="30"/>
      <c r="F41" s="30"/>
      <c r="G41" s="30"/>
      <c r="H41" s="30"/>
      <c r="I41" s="30"/>
      <c r="J41" s="30"/>
      <c r="K41" s="30"/>
      <c r="L41" s="30"/>
      <c r="M41" s="30"/>
      <c r="O41" s="562"/>
      <c r="P41" s="562"/>
      <c r="Q41" s="4"/>
      <c r="R41" s="4"/>
      <c r="S41" s="4"/>
      <c r="T41" s="4"/>
      <c r="U41" s="4"/>
      <c r="V41" s="4"/>
      <c r="W41" s="5"/>
      <c r="X41" s="4"/>
      <c r="Y41" s="4"/>
      <c r="Z41" s="6"/>
      <c r="AA41" s="6"/>
      <c r="AB41" s="6"/>
      <c r="AC41" s="6"/>
      <c r="AD41" s="6"/>
      <c r="AE41" s="6"/>
      <c r="AF41" s="7"/>
    </row>
    <row r="42" spans="1:32" s="3" customFormat="1" x14ac:dyDescent="0.25">
      <c r="A42" s="137" t="str">
        <f t="shared" si="13"/>
        <v>Concrete Saws</v>
      </c>
      <c r="B42" s="36"/>
      <c r="C42" s="20"/>
      <c r="D42" s="1"/>
      <c r="E42" s="30">
        <f t="shared" ref="E42:M53" si="14">(E8*$P8)/2000</f>
        <v>1.4549617421334413E-2</v>
      </c>
      <c r="F42" s="30">
        <f t="shared" si="14"/>
        <v>8.0709609468744462E-2</v>
      </c>
      <c r="G42" s="30">
        <f t="shared" si="14"/>
        <v>0.1027907121240185</v>
      </c>
      <c r="H42" s="30">
        <f t="shared" si="14"/>
        <v>1.4696388430185343E-4</v>
      </c>
      <c r="I42" s="30">
        <f t="shared" si="14"/>
        <v>7.8331359089972852E-3</v>
      </c>
      <c r="J42" s="30">
        <f t="shared" si="14"/>
        <v>6.9714909590075846E-3</v>
      </c>
      <c r="K42" s="30">
        <f t="shared" si="14"/>
        <v>12.52834642234342</v>
      </c>
      <c r="L42" s="30">
        <f t="shared" si="14"/>
        <v>1.3597682954304606E-3</v>
      </c>
      <c r="M42" s="30">
        <f t="shared" si="14"/>
        <v>9.7651176517817573E-3</v>
      </c>
      <c r="O42" s="562"/>
      <c r="P42" s="562"/>
      <c r="Q42" s="4"/>
      <c r="R42" s="4"/>
      <c r="S42" s="4"/>
      <c r="T42" s="4"/>
      <c r="U42" s="4"/>
      <c r="V42" s="4"/>
      <c r="W42" s="5"/>
      <c r="X42" s="4"/>
      <c r="Y42" s="4"/>
      <c r="Z42" s="6"/>
      <c r="AA42" s="6"/>
      <c r="AB42" s="6"/>
      <c r="AC42" s="6"/>
      <c r="AD42" s="6"/>
      <c r="AE42" s="6"/>
      <c r="AF42" s="7"/>
    </row>
    <row r="43" spans="1:32" s="3" customFormat="1" x14ac:dyDescent="0.25">
      <c r="A43" s="137" t="str">
        <f t="shared" si="13"/>
        <v>CAT 416 Rubber Tire Backhoe</v>
      </c>
      <c r="B43" s="36"/>
      <c r="C43" s="20"/>
      <c r="D43" s="1"/>
      <c r="E43" s="30">
        <f t="shared" si="14"/>
        <v>2.6966517754617569E-2</v>
      </c>
      <c r="F43" s="30">
        <f t="shared" si="14"/>
        <v>0.135508428015023</v>
      </c>
      <c r="G43" s="30">
        <f t="shared" si="14"/>
        <v>0.17062224807966139</v>
      </c>
      <c r="H43" s="30">
        <f t="shared" si="14"/>
        <v>2.3353168857344117E-4</v>
      </c>
      <c r="I43" s="30">
        <f t="shared" si="14"/>
        <v>1.3839587260804729E-2</v>
      </c>
      <c r="J43" s="30">
        <f t="shared" si="14"/>
        <v>1.231723266211621E-2</v>
      </c>
      <c r="K43" s="30">
        <f t="shared" si="14"/>
        <v>19.908053980202453</v>
      </c>
      <c r="L43" s="30">
        <f t="shared" si="14"/>
        <v>2.5460498558601136E-3</v>
      </c>
      <c r="M43" s="30">
        <f t="shared" si="14"/>
        <v>1.6209113567567834E-2</v>
      </c>
      <c r="O43" s="562"/>
      <c r="P43" s="562"/>
      <c r="Q43" s="4"/>
      <c r="R43" s="4"/>
      <c r="S43" s="4"/>
      <c r="T43" s="4"/>
      <c r="U43" s="4"/>
      <c r="V43" s="4"/>
      <c r="W43" s="5"/>
      <c r="X43" s="4"/>
      <c r="Y43" s="4"/>
      <c r="Z43" s="6"/>
      <c r="AA43" s="6"/>
      <c r="AB43" s="6"/>
      <c r="AC43" s="6"/>
      <c r="AD43" s="6"/>
      <c r="AE43" s="6"/>
      <c r="AF43" s="7"/>
    </row>
    <row r="44" spans="1:32" s="3" customFormat="1" x14ac:dyDescent="0.25">
      <c r="A44" s="137" t="str">
        <f t="shared" si="13"/>
        <v>Skid Steer Loaders</v>
      </c>
      <c r="B44" s="36"/>
      <c r="C44" s="20"/>
      <c r="D44" s="1"/>
      <c r="E44" s="30">
        <f t="shared" si="14"/>
        <v>1.9977209868880445E-3</v>
      </c>
      <c r="F44" s="30">
        <f t="shared" si="14"/>
        <v>1.1052337477867963E-2</v>
      </c>
      <c r="G44" s="30">
        <f t="shared" si="14"/>
        <v>1.0740064074289535E-2</v>
      </c>
      <c r="H44" s="30">
        <f t="shared" si="14"/>
        <v>1.7418666259898297E-5</v>
      </c>
      <c r="I44" s="30">
        <f t="shared" si="14"/>
        <v>5.8639338319600547E-4</v>
      </c>
      <c r="J44" s="30">
        <f t="shared" si="14"/>
        <v>5.218901110444448E-4</v>
      </c>
      <c r="K44" s="30">
        <f t="shared" si="14"/>
        <v>1.3474108738688018</v>
      </c>
      <c r="L44" s="30">
        <f t="shared" si="14"/>
        <v>1.8025117688530597E-4</v>
      </c>
      <c r="M44" s="30">
        <f t="shared" si="14"/>
        <v>1.0203060870575059E-3</v>
      </c>
      <c r="O44" s="562"/>
      <c r="P44" s="562"/>
      <c r="Q44" s="4"/>
      <c r="R44" s="4"/>
      <c r="S44" s="4"/>
      <c r="T44" s="4"/>
      <c r="U44" s="4"/>
      <c r="V44" s="4"/>
      <c r="W44" s="5"/>
      <c r="X44" s="4"/>
      <c r="Y44" s="4"/>
      <c r="Z44" s="6"/>
      <c r="AA44" s="6"/>
      <c r="AB44" s="6"/>
      <c r="AC44" s="6"/>
      <c r="AD44" s="6"/>
      <c r="AE44" s="6"/>
      <c r="AF44" s="7"/>
    </row>
    <row r="45" spans="1:32" s="3" customFormat="1" x14ac:dyDescent="0.25">
      <c r="A45" s="137" t="str">
        <f t="shared" si="13"/>
        <v>Dump/Haul Truck</v>
      </c>
      <c r="B45" s="36"/>
      <c r="C45" s="20"/>
      <c r="D45" s="1"/>
      <c r="E45" s="30">
        <f t="shared" si="14"/>
        <v>5.3343535361341864E-2</v>
      </c>
      <c r="F45" s="30">
        <f t="shared" si="14"/>
        <v>0.16732433422019108</v>
      </c>
      <c r="G45" s="30">
        <f t="shared" si="14"/>
        <v>0.42021423877506042</v>
      </c>
      <c r="H45" s="30">
        <f t="shared" si="14"/>
        <v>8.311215983998056E-4</v>
      </c>
      <c r="I45" s="30">
        <f t="shared" si="14"/>
        <v>1.3872745898871344E-2</v>
      </c>
      <c r="J45" s="30">
        <f t="shared" si="14"/>
        <v>1.2346743849995496E-2</v>
      </c>
      <c r="K45" s="30">
        <f t="shared" si="14"/>
        <v>73.866213516980508</v>
      </c>
      <c r="L45" s="30">
        <f t="shared" si="14"/>
        <v>5.0083721697769925E-3</v>
      </c>
      <c r="M45" s="30">
        <f t="shared" si="14"/>
        <v>3.9920352683630748E-2</v>
      </c>
      <c r="O45" s="562"/>
      <c r="P45" s="562"/>
      <c r="Q45" s="4"/>
      <c r="R45" s="4"/>
      <c r="S45" s="4"/>
      <c r="T45" s="4"/>
      <c r="U45" s="4"/>
      <c r="V45" s="4"/>
      <c r="W45" s="5"/>
      <c r="X45" s="4"/>
      <c r="Y45" s="4"/>
      <c r="Z45" s="6"/>
      <c r="AA45" s="6"/>
      <c r="AB45" s="6"/>
      <c r="AC45" s="6"/>
      <c r="AD45" s="6"/>
      <c r="AE45" s="6"/>
      <c r="AF45" s="7"/>
    </row>
    <row r="46" spans="1:32" s="3" customFormat="1" x14ac:dyDescent="0.25">
      <c r="A46" s="137" t="str">
        <f t="shared" si="13"/>
        <v>Water Truck</v>
      </c>
      <c r="B46" s="36"/>
      <c r="C46" s="20"/>
      <c r="D46" s="1"/>
      <c r="E46" s="30">
        <f t="shared" si="14"/>
        <v>1.2663686197144891E-2</v>
      </c>
      <c r="F46" s="30">
        <f t="shared" si="14"/>
        <v>3.9149095449251846E-2</v>
      </c>
      <c r="G46" s="30">
        <f t="shared" si="14"/>
        <v>9.9652913994062037E-2</v>
      </c>
      <c r="H46" s="30">
        <f t="shared" si="14"/>
        <v>1.9788609485709658E-4</v>
      </c>
      <c r="I46" s="30">
        <f t="shared" si="14"/>
        <v>3.2990537854455586E-3</v>
      </c>
      <c r="J46" s="30">
        <f t="shared" si="14"/>
        <v>2.9361578690465474E-3</v>
      </c>
      <c r="K46" s="30">
        <f t="shared" si="14"/>
        <v>17.587193694519168</v>
      </c>
      <c r="L46" s="30">
        <f t="shared" si="14"/>
        <v>1.1924695642326173E-3</v>
      </c>
      <c r="M46" s="30">
        <f t="shared" si="14"/>
        <v>9.4670268294358931E-3</v>
      </c>
      <c r="O46" s="562"/>
      <c r="P46" s="562"/>
      <c r="Q46" s="4"/>
      <c r="R46" s="4"/>
      <c r="S46" s="4"/>
      <c r="T46" s="4"/>
      <c r="U46" s="4"/>
      <c r="V46" s="4"/>
      <c r="W46" s="5"/>
      <c r="X46" s="4"/>
      <c r="Y46" s="4"/>
      <c r="Z46" s="6"/>
      <c r="AA46" s="6"/>
      <c r="AB46" s="6"/>
      <c r="AC46" s="6"/>
      <c r="AD46" s="6"/>
      <c r="AE46" s="6"/>
      <c r="AF46" s="7"/>
    </row>
    <row r="47" spans="1:32" s="3" customFormat="1" x14ac:dyDescent="0.25">
      <c r="A47" s="137" t="str">
        <f t="shared" si="13"/>
        <v>Air Compressor</v>
      </c>
      <c r="B47" s="36"/>
      <c r="C47" s="20"/>
      <c r="D47" s="1"/>
      <c r="E47" s="30">
        <f t="shared" si="14"/>
        <v>1.5783338035688572E-3</v>
      </c>
      <c r="F47" s="30">
        <f t="shared" si="14"/>
        <v>5.1646266046431527E-3</v>
      </c>
      <c r="G47" s="30">
        <f t="shared" si="14"/>
        <v>4.710912188796954E-3</v>
      </c>
      <c r="H47" s="30">
        <f t="shared" si="14"/>
        <v>6.0806972574677534E-6</v>
      </c>
      <c r="I47" s="30">
        <f t="shared" si="14"/>
        <v>3.9008692650462822E-4</v>
      </c>
      <c r="J47" s="30">
        <f t="shared" si="14"/>
        <v>3.4717736458911915E-4</v>
      </c>
      <c r="K47" s="30">
        <f t="shared" si="14"/>
        <v>0.47036904309326633</v>
      </c>
      <c r="L47" s="30">
        <f t="shared" si="14"/>
        <v>1.4241052166820938E-4</v>
      </c>
      <c r="M47" s="30">
        <f t="shared" si="14"/>
        <v>4.4753665793571058E-4</v>
      </c>
      <c r="O47" s="562"/>
      <c r="P47" s="562"/>
      <c r="Q47" s="4"/>
      <c r="R47" s="4"/>
      <c r="S47" s="4"/>
      <c r="T47" s="4"/>
      <c r="U47" s="4"/>
      <c r="V47" s="4"/>
      <c r="W47" s="5"/>
      <c r="X47" s="4"/>
      <c r="Y47" s="4"/>
      <c r="Z47" s="6"/>
      <c r="AA47" s="6"/>
      <c r="AB47" s="6"/>
      <c r="AC47" s="6"/>
      <c r="AD47" s="6"/>
      <c r="AE47" s="6"/>
      <c r="AF47" s="7"/>
    </row>
    <row r="48" spans="1:32" s="3" customFormat="1" x14ac:dyDescent="0.25">
      <c r="A48" s="137" t="str">
        <f t="shared" si="13"/>
        <v>Compactor</v>
      </c>
      <c r="B48" s="36"/>
      <c r="C48" s="20"/>
      <c r="D48" s="1"/>
      <c r="E48" s="30">
        <f t="shared" si="14"/>
        <v>1.1256284368154708E-2</v>
      </c>
      <c r="F48" s="30">
        <f t="shared" si="14"/>
        <v>3.8740753365310666E-2</v>
      </c>
      <c r="G48" s="30">
        <f t="shared" si="14"/>
        <v>0.11148737751680096</v>
      </c>
      <c r="H48" s="30">
        <f t="shared" si="14"/>
        <v>1.818984814833234E-4</v>
      </c>
      <c r="I48" s="30">
        <f t="shared" si="14"/>
        <v>3.7099329934590012E-3</v>
      </c>
      <c r="J48" s="30">
        <f t="shared" si="14"/>
        <v>3.3018403641785106E-3</v>
      </c>
      <c r="K48" s="30">
        <f t="shared" si="14"/>
        <v>16.166281372751232</v>
      </c>
      <c r="L48" s="30">
        <f t="shared" si="14"/>
        <v>1.0543872452414616E-3</v>
      </c>
      <c r="M48" s="30">
        <f t="shared" si="14"/>
        <v>1.0591300864096091E-2</v>
      </c>
      <c r="O48" s="562"/>
      <c r="P48" s="562"/>
      <c r="Q48" s="4"/>
      <c r="R48" s="4"/>
      <c r="S48" s="4"/>
      <c r="T48" s="4"/>
      <c r="U48" s="4"/>
      <c r="V48" s="4"/>
      <c r="W48" s="5"/>
      <c r="X48" s="4"/>
      <c r="Y48" s="4"/>
      <c r="Z48" s="6"/>
      <c r="AA48" s="6"/>
      <c r="AB48" s="6"/>
      <c r="AC48" s="6"/>
      <c r="AD48" s="6"/>
      <c r="AE48" s="6"/>
      <c r="AF48" s="7"/>
    </row>
    <row r="49" spans="1:32" s="3" customFormat="1" x14ac:dyDescent="0.25">
      <c r="A49" s="137" t="str">
        <f t="shared" si="13"/>
        <v>Handheld Compactor</v>
      </c>
      <c r="B49" s="36"/>
      <c r="C49" s="20"/>
      <c r="D49" s="1"/>
      <c r="E49" s="30">
        <f t="shared" si="14"/>
        <v>3.1060865350848716E-4</v>
      </c>
      <c r="F49" s="30">
        <f t="shared" si="14"/>
        <v>1.5478050671235374E-3</v>
      </c>
      <c r="G49" s="30">
        <f t="shared" si="14"/>
        <v>1.8478918364236078E-3</v>
      </c>
      <c r="H49" s="30">
        <f t="shared" si="14"/>
        <v>4.1521693994668849E-6</v>
      </c>
      <c r="I49" s="30">
        <f t="shared" si="14"/>
        <v>7.2165570681676961E-5</v>
      </c>
      <c r="J49" s="30">
        <f t="shared" si="14"/>
        <v>6.4227357906692503E-5</v>
      </c>
      <c r="K49" s="30">
        <f t="shared" si="14"/>
        <v>0.26683378342671571</v>
      </c>
      <c r="L49" s="30">
        <f t="shared" si="14"/>
        <v>2.8025717246034565E-5</v>
      </c>
      <c r="M49" s="30">
        <f t="shared" si="14"/>
        <v>1.7554972446024274E-4</v>
      </c>
      <c r="O49" s="562"/>
      <c r="P49" s="562"/>
      <c r="Q49" s="4"/>
      <c r="R49" s="4"/>
      <c r="S49" s="4"/>
      <c r="T49" s="4"/>
      <c r="U49" s="4"/>
      <c r="V49" s="4"/>
      <c r="W49" s="5"/>
      <c r="X49" s="4"/>
      <c r="Y49" s="4"/>
      <c r="Z49" s="6"/>
      <c r="AA49" s="6"/>
      <c r="AB49" s="6"/>
      <c r="AC49" s="6"/>
      <c r="AD49" s="6"/>
      <c r="AE49" s="6"/>
      <c r="AF49" s="7"/>
    </row>
    <row r="50" spans="1:32" s="3" customFormat="1" x14ac:dyDescent="0.25">
      <c r="A50" s="137" t="str">
        <f t="shared" si="13"/>
        <v>Sprayer</v>
      </c>
      <c r="B50" s="36"/>
      <c r="C50" s="20"/>
      <c r="D50" s="1"/>
      <c r="E50" s="30">
        <f t="shared" si="14"/>
        <v>2.2059288093478433E-3</v>
      </c>
      <c r="F50" s="30">
        <f t="shared" si="14"/>
        <v>1.2679261749045802E-2</v>
      </c>
      <c r="G50" s="30">
        <f t="shared" si="14"/>
        <v>1.4780633818677972E-2</v>
      </c>
      <c r="H50" s="30">
        <f t="shared" si="14"/>
        <v>2.3238837542084399E-5</v>
      </c>
      <c r="I50" s="30">
        <f t="shared" si="14"/>
        <v>1.168739467885563E-3</v>
      </c>
      <c r="J50" s="30">
        <f t="shared" si="14"/>
        <v>1.040178126418151E-3</v>
      </c>
      <c r="K50" s="30">
        <f t="shared" si="14"/>
        <v>1.9810588186652196</v>
      </c>
      <c r="L50" s="30">
        <f t="shared" si="14"/>
        <v>2.0951306890381E-4</v>
      </c>
      <c r="M50" s="30">
        <f t="shared" si="14"/>
        <v>1.4041602127744073E-3</v>
      </c>
      <c r="O50" s="562"/>
      <c r="P50" s="562"/>
      <c r="Q50" s="4"/>
      <c r="R50" s="4"/>
      <c r="S50" s="4"/>
      <c r="T50" s="4"/>
      <c r="U50" s="4"/>
      <c r="V50" s="4"/>
      <c r="W50" s="5"/>
      <c r="X50" s="4"/>
      <c r="Y50" s="4"/>
      <c r="Z50" s="6"/>
      <c r="AA50" s="6"/>
      <c r="AB50" s="6"/>
      <c r="AC50" s="6"/>
      <c r="AD50" s="6"/>
      <c r="AE50" s="6"/>
      <c r="AF50" s="7"/>
    </row>
    <row r="51" spans="1:32" s="3" customFormat="1" x14ac:dyDescent="0.25">
      <c r="A51" s="137" t="str">
        <f t="shared" si="13"/>
        <v>Grinder</v>
      </c>
      <c r="B51" s="36"/>
      <c r="C51" s="20"/>
      <c r="D51" s="1"/>
      <c r="E51" s="30">
        <f t="shared" si="14"/>
        <v>8.7792676857178561E-3</v>
      </c>
      <c r="F51" s="30">
        <f t="shared" si="14"/>
        <v>4.248259479142074E-2</v>
      </c>
      <c r="G51" s="30">
        <f t="shared" si="14"/>
        <v>5.5480828891794863E-2</v>
      </c>
      <c r="H51" s="30">
        <f t="shared" si="14"/>
        <v>7.7242718104201255E-5</v>
      </c>
      <c r="I51" s="30">
        <f t="shared" si="14"/>
        <v>4.7343182418940841E-3</v>
      </c>
      <c r="J51" s="30">
        <f t="shared" si="14"/>
        <v>4.2135432352857346E-3</v>
      </c>
      <c r="K51" s="30">
        <f t="shared" si="14"/>
        <v>6.5847686222916311</v>
      </c>
      <c r="L51" s="30">
        <f t="shared" si="14"/>
        <v>8.3383080217282158E-4</v>
      </c>
      <c r="M51" s="30">
        <f t="shared" si="14"/>
        <v>5.2706787447205118E-3</v>
      </c>
      <c r="O51" s="562"/>
      <c r="P51" s="562"/>
      <c r="Q51" s="4"/>
      <c r="R51" s="4"/>
      <c r="S51" s="4"/>
      <c r="T51" s="4"/>
      <c r="U51" s="4"/>
      <c r="V51" s="4"/>
      <c r="W51" s="5"/>
      <c r="X51" s="4"/>
      <c r="Y51" s="4"/>
      <c r="Z51" s="6"/>
      <c r="AA51" s="6"/>
      <c r="AB51" s="6"/>
      <c r="AC51" s="6"/>
      <c r="AD51" s="6"/>
      <c r="AE51" s="6"/>
      <c r="AF51" s="7"/>
    </row>
    <row r="52" spans="1:32" s="3" customFormat="1" x14ac:dyDescent="0.25">
      <c r="A52" s="137" t="str">
        <f t="shared" si="13"/>
        <v>Spreader</v>
      </c>
      <c r="B52" s="36"/>
      <c r="C52" s="20"/>
      <c r="D52" s="1"/>
      <c r="E52" s="30">
        <f t="shared" si="14"/>
        <v>4.8594366364099993E-3</v>
      </c>
      <c r="F52" s="30">
        <f t="shared" si="14"/>
        <v>1.9518648528133242E-2</v>
      </c>
      <c r="G52" s="30">
        <f t="shared" si="14"/>
        <v>2.94642300824745E-2</v>
      </c>
      <c r="H52" s="30">
        <f t="shared" si="14"/>
        <v>3.3755342218575341E-5</v>
      </c>
      <c r="I52" s="30">
        <f t="shared" si="14"/>
        <v>2.5210744644307294E-3</v>
      </c>
      <c r="J52" s="30">
        <f t="shared" si="14"/>
        <v>2.2437562733433492E-3</v>
      </c>
      <c r="K52" s="30">
        <f t="shared" si="14"/>
        <v>2.8775672888429895</v>
      </c>
      <c r="L52" s="30">
        <f t="shared" si="14"/>
        <v>4.6153588693126298E-4</v>
      </c>
      <c r="M52" s="30">
        <f t="shared" si="14"/>
        <v>2.7991018578350773E-3</v>
      </c>
      <c r="O52" s="562"/>
      <c r="P52" s="562"/>
      <c r="Q52" s="4"/>
      <c r="R52" s="4"/>
      <c r="S52" s="4"/>
      <c r="T52" s="4"/>
      <c r="U52" s="4"/>
      <c r="V52" s="4"/>
      <c r="W52" s="5"/>
      <c r="X52" s="4"/>
      <c r="Y52" s="4"/>
      <c r="Z52" s="6"/>
      <c r="AA52" s="6"/>
      <c r="AB52" s="6"/>
      <c r="AC52" s="6"/>
      <c r="AD52" s="6"/>
      <c r="AE52" s="6"/>
      <c r="AF52" s="7"/>
    </row>
    <row r="53" spans="1:32" s="3" customFormat="1" x14ac:dyDescent="0.25">
      <c r="A53" s="137" t="str">
        <f t="shared" si="13"/>
        <v>Signal Board</v>
      </c>
      <c r="B53" s="36"/>
      <c r="C53" s="20"/>
      <c r="D53" s="1"/>
      <c r="E53" s="30">
        <f t="shared" si="14"/>
        <v>3.0336377853638712E-3</v>
      </c>
      <c r="F53" s="30">
        <f t="shared" si="14"/>
        <v>1.511702638034069E-2</v>
      </c>
      <c r="G53" s="30">
        <f t="shared" si="14"/>
        <v>1.8047903429660769E-2</v>
      </c>
      <c r="H53" s="30">
        <f t="shared" si="14"/>
        <v>4.0553209193892219E-5</v>
      </c>
      <c r="I53" s="30">
        <f t="shared" si="14"/>
        <v>7.0522907816329044E-4</v>
      </c>
      <c r="J53" s="30">
        <f t="shared" si="14"/>
        <v>6.2765387956532849E-4</v>
      </c>
      <c r="K53" s="30">
        <f t="shared" si="14"/>
        <v>2.606099671609817</v>
      </c>
      <c r="L53" s="30">
        <f t="shared" si="14"/>
        <v>2.7372023026437438E-4</v>
      </c>
      <c r="M53" s="30">
        <f t="shared" si="14"/>
        <v>1.7145508258177733E-3</v>
      </c>
      <c r="O53" s="562"/>
      <c r="P53" s="562"/>
      <c r="Q53" s="4"/>
      <c r="R53" s="4"/>
      <c r="S53" s="4"/>
      <c r="T53" s="4"/>
      <c r="U53" s="4"/>
      <c r="V53" s="4"/>
      <c r="W53" s="5"/>
      <c r="X53" s="4"/>
      <c r="Y53" s="4"/>
      <c r="Z53" s="6"/>
      <c r="AA53" s="6"/>
      <c r="AB53" s="6"/>
      <c r="AC53" s="6"/>
      <c r="AD53" s="6"/>
      <c r="AE53" s="6"/>
      <c r="AF53" s="7"/>
    </row>
    <row r="54" spans="1:32" s="3" customFormat="1" x14ac:dyDescent="0.25">
      <c r="A54" s="12" t="str">
        <f t="shared" si="13"/>
        <v>Subtotal</v>
      </c>
      <c r="B54" s="36"/>
      <c r="C54" s="20"/>
      <c r="D54" s="1"/>
      <c r="E54" s="24">
        <f>SUM(E42:E53)</f>
        <v>0.14154457546339841</v>
      </c>
      <c r="F54" s="24">
        <f t="shared" ref="F54:M54" si="15">SUM(F42:F53)</f>
        <v>0.56899452111709625</v>
      </c>
      <c r="G54" s="24">
        <f t="shared" si="15"/>
        <v>1.0398399548117214</v>
      </c>
      <c r="H54" s="24">
        <f t="shared" si="15"/>
        <v>1.7938433875911064E-3</v>
      </c>
      <c r="I54" s="24">
        <f t="shared" si="15"/>
        <v>5.2732462980333891E-2</v>
      </c>
      <c r="J54" s="24">
        <f t="shared" si="15"/>
        <v>4.6931892052497169E-2</v>
      </c>
      <c r="K54" s="24">
        <f t="shared" si="15"/>
        <v>156.1901970885952</v>
      </c>
      <c r="L54" s="24">
        <f t="shared" si="15"/>
        <v>1.3290334534613464E-2</v>
      </c>
      <c r="M54" s="24">
        <f t="shared" si="15"/>
        <v>9.8784795707113543E-2</v>
      </c>
      <c r="O54" s="562"/>
      <c r="P54" s="562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/>
      <c r="B55" s="36"/>
      <c r="C55" s="20"/>
      <c r="D55" s="1"/>
      <c r="E55" s="30"/>
      <c r="F55" s="30"/>
      <c r="G55" s="30"/>
      <c r="H55" s="30"/>
      <c r="I55" s="30"/>
      <c r="J55" s="30"/>
      <c r="K55" s="30"/>
      <c r="L55" s="30"/>
      <c r="M55" s="30"/>
      <c r="O55" s="562"/>
      <c r="P55" s="562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2" t="str">
        <f>A22</f>
        <v>Conductor Pulling</v>
      </c>
      <c r="B56" s="36"/>
      <c r="C56" s="20"/>
      <c r="D56" s="1"/>
      <c r="E56" s="30"/>
      <c r="F56" s="30"/>
      <c r="G56" s="30"/>
      <c r="H56" s="30"/>
      <c r="I56" s="30"/>
      <c r="J56" s="30"/>
      <c r="K56" s="30"/>
      <c r="L56" s="30"/>
      <c r="M56" s="30"/>
      <c r="O56" s="562"/>
      <c r="P56" s="562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 t="str">
        <f>A23</f>
        <v>Boom Truck</v>
      </c>
      <c r="B57" s="36"/>
      <c r="C57" s="20"/>
      <c r="D57" s="1"/>
      <c r="E57" s="30">
        <f t="shared" ref="E57:M58" si="16">(E23*$P23)/2000</f>
        <v>4.8109249063259263E-4</v>
      </c>
      <c r="F57" s="30">
        <f t="shared" si="16"/>
        <v>1.5090578483061966E-3</v>
      </c>
      <c r="G57" s="30">
        <f t="shared" si="16"/>
        <v>3.7898109557635328E-3</v>
      </c>
      <c r="H57" s="30">
        <f t="shared" si="16"/>
        <v>7.495685411253659E-6</v>
      </c>
      <c r="I57" s="30">
        <f t="shared" si="16"/>
        <v>1.2511495219039815E-4</v>
      </c>
      <c r="J57" s="30">
        <f t="shared" si="16"/>
        <v>1.1135230744945435E-4</v>
      </c>
      <c r="K57" s="30">
        <f t="shared" si="16"/>
        <v>0.66618157933784738</v>
      </c>
      <c r="L57" s="30">
        <f t="shared" si="16"/>
        <v>4.5169301675477934E-5</v>
      </c>
      <c r="M57" s="30">
        <f t="shared" si="16"/>
        <v>3.6003204079753564E-4</v>
      </c>
      <c r="O57" s="562"/>
      <c r="P57" s="562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37" t="str">
        <f>A24</f>
        <v>Reel Trailer</v>
      </c>
      <c r="B58" s="36"/>
      <c r="C58" s="20"/>
      <c r="D58" s="1"/>
      <c r="E58" s="30">
        <f t="shared" si="16"/>
        <v>5.0539441532206661E-4</v>
      </c>
      <c r="F58" s="30">
        <f t="shared" si="16"/>
        <v>2.0303495672558784E-3</v>
      </c>
      <c r="G58" s="30">
        <f t="shared" si="16"/>
        <v>4.5926038189781282E-3</v>
      </c>
      <c r="H58" s="30">
        <f t="shared" si="16"/>
        <v>9.9817385028234742E-6</v>
      </c>
      <c r="I58" s="30">
        <f t="shared" si="16"/>
        <v>1.5045543256352062E-4</v>
      </c>
      <c r="J58" s="30">
        <f t="shared" si="16"/>
        <v>1.3390533498153334E-4</v>
      </c>
      <c r="K58" s="30">
        <f t="shared" si="16"/>
        <v>1.0169541828554023</v>
      </c>
      <c r="L58" s="30">
        <f t="shared" si="16"/>
        <v>4.7262256094224917E-5</v>
      </c>
      <c r="M58" s="30">
        <f t="shared" si="16"/>
        <v>4.3629736280292219E-4</v>
      </c>
      <c r="O58" s="562"/>
      <c r="P58" s="562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2" t="str">
        <f t="shared" ref="A59" si="17">A25</f>
        <v>Subtotal</v>
      </c>
      <c r="B59" s="36"/>
      <c r="C59" s="20"/>
      <c r="D59" s="1"/>
      <c r="E59" s="24">
        <f t="shared" ref="E59:M59" si="18">SUM(E57:E58)</f>
        <v>9.8648690595465934E-4</v>
      </c>
      <c r="F59" s="24">
        <f t="shared" si="18"/>
        <v>3.5394074155620748E-3</v>
      </c>
      <c r="G59" s="24">
        <f t="shared" si="18"/>
        <v>8.3824147747416609E-3</v>
      </c>
      <c r="H59" s="24">
        <f t="shared" si="18"/>
        <v>1.7477423914077132E-5</v>
      </c>
      <c r="I59" s="24">
        <f t="shared" si="18"/>
        <v>2.7557038475391877E-4</v>
      </c>
      <c r="J59" s="24">
        <f t="shared" si="18"/>
        <v>2.4525764243098767E-4</v>
      </c>
      <c r="K59" s="24">
        <f t="shared" si="18"/>
        <v>1.6831357621932497</v>
      </c>
      <c r="L59" s="24">
        <f t="shared" si="18"/>
        <v>9.2431557769702844E-5</v>
      </c>
      <c r="M59" s="24">
        <f t="shared" si="18"/>
        <v>7.9632940360045788E-4</v>
      </c>
      <c r="O59" s="562"/>
      <c r="P59" s="562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/>
      <c r="B60" s="36"/>
      <c r="C60" s="20"/>
      <c r="D60" s="1"/>
      <c r="E60" s="30"/>
      <c r="F60" s="30"/>
      <c r="G60" s="30"/>
      <c r="H60" s="30"/>
      <c r="I60" s="30"/>
      <c r="J60" s="30"/>
      <c r="K60" s="30"/>
      <c r="L60" s="30"/>
      <c r="M60" s="30"/>
      <c r="O60" s="562"/>
      <c r="P60" s="562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2" t="str">
        <f t="shared" ref="A61:A70" si="19">A27</f>
        <v>Cable Poles Foundation</v>
      </c>
      <c r="B61" s="36"/>
      <c r="C61" s="20"/>
      <c r="D61" s="1"/>
      <c r="E61" s="30"/>
      <c r="F61" s="30"/>
      <c r="G61" s="30"/>
      <c r="H61" s="30"/>
      <c r="I61" s="30"/>
      <c r="J61" s="30"/>
      <c r="K61" s="30"/>
      <c r="L61" s="30"/>
      <c r="M61" s="30"/>
      <c r="O61" s="562"/>
      <c r="P61" s="562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19"/>
        <v>Signal Board</v>
      </c>
      <c r="B62" s="36"/>
      <c r="C62" s="20"/>
      <c r="D62" s="1"/>
      <c r="E62" s="30">
        <f t="shared" ref="E62:M69" si="20">(E28*$P28)/2000</f>
        <v>1.5168188926819356E-3</v>
      </c>
      <c r="F62" s="30">
        <f t="shared" si="20"/>
        <v>7.558513190170345E-3</v>
      </c>
      <c r="G62" s="30">
        <f t="shared" si="20"/>
        <v>9.0239517148303847E-3</v>
      </c>
      <c r="H62" s="30">
        <f t="shared" si="20"/>
        <v>2.027660459694611E-5</v>
      </c>
      <c r="I62" s="30">
        <f t="shared" si="20"/>
        <v>3.5261453908164522E-4</v>
      </c>
      <c r="J62" s="30">
        <f t="shared" si="20"/>
        <v>3.1382693978266425E-4</v>
      </c>
      <c r="K62" s="30">
        <f t="shared" si="20"/>
        <v>1.3030498358049085</v>
      </c>
      <c r="L62" s="30">
        <f t="shared" si="20"/>
        <v>1.3686011513218719E-4</v>
      </c>
      <c r="M62" s="30">
        <f t="shared" si="20"/>
        <v>8.5727541290888667E-4</v>
      </c>
      <c r="O62" s="562"/>
      <c r="P62" s="5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19"/>
        <v>Drill Rig</v>
      </c>
      <c r="B63" s="36"/>
      <c r="C63" s="20"/>
      <c r="D63" s="1"/>
      <c r="E63" s="30">
        <f t="shared" si="20"/>
        <v>6.1348239267520295E-3</v>
      </c>
      <c r="F63" s="30">
        <f t="shared" si="20"/>
        <v>7.7880086943010074E-2</v>
      </c>
      <c r="G63" s="30">
        <f t="shared" si="20"/>
        <v>6.1872974251646284E-2</v>
      </c>
      <c r="H63" s="30">
        <f t="shared" si="20"/>
        <v>1.5285438814810094E-4</v>
      </c>
      <c r="I63" s="30">
        <f t="shared" si="20"/>
        <v>2.5875167492969376E-3</v>
      </c>
      <c r="J63" s="30">
        <f t="shared" si="20"/>
        <v>2.3028899068742743E-3</v>
      </c>
      <c r="K63" s="30">
        <f t="shared" si="20"/>
        <v>13.030493808158763</v>
      </c>
      <c r="L63" s="30">
        <f t="shared" si="20"/>
        <v>5.725152927273853E-4</v>
      </c>
      <c r="M63" s="30">
        <f t="shared" si="20"/>
        <v>5.877932553906398E-3</v>
      </c>
      <c r="O63" s="562"/>
      <c r="P63" s="562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19"/>
        <v>Loader</v>
      </c>
      <c r="B64" s="36"/>
      <c r="C64" s="20"/>
      <c r="D64" s="1"/>
      <c r="E64" s="30">
        <f t="shared" si="20"/>
        <v>9.0704688415219215E-3</v>
      </c>
      <c r="F64" s="30">
        <f t="shared" si="20"/>
        <v>2.9381798050775412E-2</v>
      </c>
      <c r="G64" s="30">
        <f t="shared" si="20"/>
        <v>8.0381097639134258E-2</v>
      </c>
      <c r="H64" s="30">
        <f t="shared" si="20"/>
        <v>1.4160901906666533E-4</v>
      </c>
      <c r="I64" s="30">
        <f t="shared" si="20"/>
        <v>2.713542589894953E-3</v>
      </c>
      <c r="J64" s="30">
        <f t="shared" si="20"/>
        <v>2.4150529050065081E-3</v>
      </c>
      <c r="K64" s="30">
        <f t="shared" si="20"/>
        <v>12.585546930395532</v>
      </c>
      <c r="L64" s="30">
        <f t="shared" si="20"/>
        <v>8.5257309830785927E-4</v>
      </c>
      <c r="M64" s="30">
        <f t="shared" si="20"/>
        <v>7.6362042757177539E-3</v>
      </c>
      <c r="O64" s="562"/>
      <c r="P64" s="562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37" t="str">
        <f t="shared" si="19"/>
        <v>Water Truck</v>
      </c>
      <c r="B65" s="36"/>
      <c r="C65" s="20"/>
      <c r="D65" s="1"/>
      <c r="E65" s="30">
        <f t="shared" si="20"/>
        <v>2.5327372394289786E-3</v>
      </c>
      <c r="F65" s="30">
        <f t="shared" si="20"/>
        <v>7.8298190898503702E-3</v>
      </c>
      <c r="G65" s="30">
        <f t="shared" si="20"/>
        <v>1.9930582798812407E-2</v>
      </c>
      <c r="H65" s="30">
        <f t="shared" si="20"/>
        <v>3.9577218971419323E-5</v>
      </c>
      <c r="I65" s="30">
        <f t="shared" si="20"/>
        <v>6.5981075708911171E-4</v>
      </c>
      <c r="J65" s="30">
        <f t="shared" si="20"/>
        <v>5.8723157380930944E-4</v>
      </c>
      <c r="K65" s="30">
        <f t="shared" si="20"/>
        <v>3.5174387389038348</v>
      </c>
      <c r="L65" s="30">
        <f t="shared" si="20"/>
        <v>2.3849391284652349E-4</v>
      </c>
      <c r="M65" s="30">
        <f t="shared" si="20"/>
        <v>1.8934053658871788E-3</v>
      </c>
      <c r="O65" s="562"/>
      <c r="P65" s="562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37" t="str">
        <f t="shared" si="19"/>
        <v>Air Compressor</v>
      </c>
      <c r="B66" s="36"/>
      <c r="C66" s="20"/>
      <c r="D66" s="1"/>
      <c r="E66" s="30">
        <f t="shared" si="20"/>
        <v>1.2626670428550858E-2</v>
      </c>
      <c r="F66" s="30">
        <f t="shared" si="20"/>
        <v>4.1317012837145221E-2</v>
      </c>
      <c r="G66" s="30">
        <f t="shared" si="20"/>
        <v>3.7687297510375632E-2</v>
      </c>
      <c r="H66" s="30">
        <f t="shared" si="20"/>
        <v>4.8645578059742027E-5</v>
      </c>
      <c r="I66" s="30">
        <f t="shared" si="20"/>
        <v>3.1206954120370257E-3</v>
      </c>
      <c r="J66" s="30">
        <f t="shared" si="20"/>
        <v>2.7774189167129532E-3</v>
      </c>
      <c r="K66" s="30">
        <f t="shared" si="20"/>
        <v>3.7629523447461306</v>
      </c>
      <c r="L66" s="30">
        <f t="shared" si="20"/>
        <v>1.139284173345675E-3</v>
      </c>
      <c r="M66" s="30">
        <f t="shared" si="20"/>
        <v>3.5802932634856847E-3</v>
      </c>
      <c r="O66" s="562"/>
      <c r="P66" s="562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37" t="str">
        <f t="shared" si="19"/>
        <v>Concrete Trucks</v>
      </c>
      <c r="B67" s="36"/>
      <c r="C67" s="20"/>
      <c r="D67" s="1"/>
      <c r="E67" s="30">
        <f t="shared" si="20"/>
        <v>5.0803367010801787E-3</v>
      </c>
      <c r="F67" s="30">
        <f t="shared" si="20"/>
        <v>1.5935650878113439E-2</v>
      </c>
      <c r="G67" s="30">
        <f t="shared" si="20"/>
        <v>4.0020403692862909E-2</v>
      </c>
      <c r="H67" s="30">
        <f t="shared" si="20"/>
        <v>7.9154437942838645E-5</v>
      </c>
      <c r="I67" s="30">
        <f t="shared" si="20"/>
        <v>1.3212138951306045E-3</v>
      </c>
      <c r="J67" s="30">
        <f t="shared" si="20"/>
        <v>1.1758803666662378E-3</v>
      </c>
      <c r="K67" s="30">
        <f t="shared" si="20"/>
        <v>7.0348774778076697</v>
      </c>
      <c r="L67" s="30">
        <f t="shared" si="20"/>
        <v>4.7698782569304698E-4</v>
      </c>
      <c r="M67" s="30">
        <f t="shared" si="20"/>
        <v>3.8019383508219764E-3</v>
      </c>
      <c r="O67" s="562"/>
      <c r="P67" s="562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37" t="str">
        <f t="shared" si="19"/>
        <v>Concrete Trucks</v>
      </c>
      <c r="B68" s="36"/>
      <c r="C68" s="20"/>
      <c r="D68" s="1"/>
      <c r="E68" s="30">
        <f t="shared" si="20"/>
        <v>5.0803367010801787E-3</v>
      </c>
      <c r="F68" s="30">
        <f t="shared" si="20"/>
        <v>1.5935650878113439E-2</v>
      </c>
      <c r="G68" s="30">
        <f t="shared" si="20"/>
        <v>4.0020403692862909E-2</v>
      </c>
      <c r="H68" s="30">
        <f t="shared" si="20"/>
        <v>7.9154437942838645E-5</v>
      </c>
      <c r="I68" s="30">
        <f t="shared" si="20"/>
        <v>1.3212138951306045E-3</v>
      </c>
      <c r="J68" s="30">
        <f t="shared" si="20"/>
        <v>1.1758803666662378E-3</v>
      </c>
      <c r="K68" s="30">
        <f t="shared" si="20"/>
        <v>7.0348774778076697</v>
      </c>
      <c r="L68" s="30">
        <f t="shared" si="20"/>
        <v>4.7698782569304698E-4</v>
      </c>
      <c r="M68" s="30">
        <f t="shared" si="20"/>
        <v>3.8019383508219764E-3</v>
      </c>
      <c r="O68" s="562"/>
      <c r="P68" s="562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19"/>
        <v>Boom Truck</v>
      </c>
      <c r="B69" s="36"/>
      <c r="C69" s="20"/>
      <c r="D69" s="1"/>
      <c r="E69" s="30">
        <f t="shared" si="20"/>
        <v>5.0803367010801787E-3</v>
      </c>
      <c r="F69" s="30">
        <f t="shared" si="20"/>
        <v>1.5935650878113439E-2</v>
      </c>
      <c r="G69" s="30">
        <f t="shared" si="20"/>
        <v>4.0020403692862909E-2</v>
      </c>
      <c r="H69" s="30">
        <f t="shared" si="20"/>
        <v>7.9154437942838645E-5</v>
      </c>
      <c r="I69" s="30">
        <f t="shared" si="20"/>
        <v>1.3212138951306045E-3</v>
      </c>
      <c r="J69" s="30">
        <f t="shared" si="20"/>
        <v>1.1758803666662378E-3</v>
      </c>
      <c r="K69" s="30">
        <f t="shared" si="20"/>
        <v>7.0348774778076697</v>
      </c>
      <c r="L69" s="30">
        <f t="shared" si="20"/>
        <v>4.7698782569304698E-4</v>
      </c>
      <c r="M69" s="30">
        <f t="shared" si="20"/>
        <v>3.8019383508219764E-3</v>
      </c>
      <c r="O69" s="562"/>
      <c r="P69" s="562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2" t="str">
        <f t="shared" si="19"/>
        <v>Subtotal</v>
      </c>
      <c r="B70" s="36"/>
      <c r="C70" s="20"/>
      <c r="D70" s="1"/>
      <c r="E70" s="24">
        <f>SUM(E62:E69)</f>
        <v>4.7122529432176256E-2</v>
      </c>
      <c r="F70" s="24">
        <f t="shared" ref="F70:M70" si="21">SUM(F62:F69)</f>
        <v>0.21177418274529172</v>
      </c>
      <c r="G70" s="24">
        <f t="shared" si="21"/>
        <v>0.3289571149933877</v>
      </c>
      <c r="H70" s="24">
        <f t="shared" si="21"/>
        <v>6.4042612267138979E-4</v>
      </c>
      <c r="I70" s="24">
        <f t="shared" si="21"/>
        <v>1.3397821732791488E-2</v>
      </c>
      <c r="J70" s="24">
        <f t="shared" si="21"/>
        <v>1.1924061342184425E-2</v>
      </c>
      <c r="K70" s="24">
        <f t="shared" si="21"/>
        <v>55.304114091432176</v>
      </c>
      <c r="L70" s="24">
        <f t="shared" si="21"/>
        <v>4.3706900694387707E-3</v>
      </c>
      <c r="M70" s="24">
        <f t="shared" si="21"/>
        <v>3.1250925924371828E-2</v>
      </c>
      <c r="O70" s="562"/>
      <c r="P70" s="562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/>
      <c r="B71" s="36"/>
      <c r="C71" s="20"/>
      <c r="D71" s="1"/>
      <c r="E71" s="30"/>
      <c r="F71" s="30"/>
      <c r="G71" s="30"/>
      <c r="H71" s="30"/>
      <c r="I71" s="30"/>
      <c r="J71" s="30"/>
      <c r="K71" s="30"/>
      <c r="L71" s="30"/>
      <c r="M71" s="30"/>
      <c r="O71" s="562"/>
      <c r="P71" s="562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x14ac:dyDescent="0.25">
      <c r="A72" s="19" t="s">
        <v>117</v>
      </c>
      <c r="B72" s="560"/>
      <c r="C72" s="560"/>
      <c r="D72" s="560"/>
      <c r="E72" s="22">
        <f t="shared" ref="E72:M72" si="22">E54+E59+E70</f>
        <v>0.18965359180152933</v>
      </c>
      <c r="F72" s="22">
        <f t="shared" si="22"/>
        <v>0.78430811127794997</v>
      </c>
      <c r="G72" s="22">
        <f t="shared" si="22"/>
        <v>1.3771794845798506</v>
      </c>
      <c r="H72" s="22">
        <f t="shared" si="22"/>
        <v>2.4517469341765732E-3</v>
      </c>
      <c r="I72" s="22">
        <f t="shared" si="22"/>
        <v>6.6405855097879302E-2</v>
      </c>
      <c r="J72" s="22">
        <f t="shared" si="22"/>
        <v>5.9101211037112585E-2</v>
      </c>
      <c r="K72" s="22">
        <f t="shared" si="22"/>
        <v>213.17744694222063</v>
      </c>
      <c r="L72" s="22">
        <f t="shared" si="22"/>
        <v>1.7753456161821939E-2</v>
      </c>
      <c r="M72" s="22">
        <f t="shared" si="22"/>
        <v>0.13083205103508583</v>
      </c>
    </row>
  </sheetData>
  <mergeCells count="3">
    <mergeCell ref="E3:L3"/>
    <mergeCell ref="Q3:X3"/>
    <mergeCell ref="E39:L39"/>
  </mergeCells>
  <pageMargins left="0.75" right="0.75" top="1" bottom="1" header="0.5" footer="0.5"/>
  <pageSetup scale="47" orientation="landscape" r:id="rId1"/>
  <headerFooter alignWithMargins="0">
    <oddHeader xml:space="preserve">&amp;CTable A-1
Construction Heavy Equipment Emissions
South Orange County Reliability Project
Distribution Facilities - Reroute 2-12kV Circuits to Temporary Position
</oddHeader>
    <oddFooter>&amp;CA-1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48"/>
  <sheetViews>
    <sheetView zoomScale="75" zoomScaleNormal="75" workbookViewId="0">
      <selection activeCell="E48" sqref="E48"/>
    </sheetView>
  </sheetViews>
  <sheetFormatPr defaultColWidth="9.109375" defaultRowHeight="13.2" x14ac:dyDescent="0.25"/>
  <cols>
    <col min="1" max="1" width="42.88671875" style="562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style="562" customWidth="1"/>
    <col min="16" max="16" width="8.44140625" style="562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  <col min="33" max="16384" width="9.109375" style="562"/>
  </cols>
  <sheetData>
    <row r="2" spans="1:25" x14ac:dyDescent="0.25">
      <c r="A2" s="581" t="s">
        <v>623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554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577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587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09"/>
      <c r="O7" s="109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199</v>
      </c>
      <c r="B8" s="34">
        <v>2015</v>
      </c>
      <c r="C8" s="25">
        <v>175</v>
      </c>
      <c r="D8" s="25">
        <v>0.38</v>
      </c>
      <c r="E8" s="546">
        <f>VLOOKUP($A8,EFROGS!$A$1:$J$44,(IF($B8=2015,4,IF($B8=2016,5,IF($B8=2017,6,IF($B8=2018,7,IF($B8=2019,8,IF($B8=2020,9,0))))))),FALSE)</f>
        <v>0.11992127080629632</v>
      </c>
      <c r="F8" s="546">
        <f>VLOOKUP($A8,EFCOS!$A$1:$J$44,(IF($B8=2015,4,IF($B8=2016,5,IF($B8=2017,6,IF($B8=2018,7,IF($B8=2019,8,IF($B8=2020,9,0))))))),FALSE)</f>
        <v>0.37073007054215767</v>
      </c>
      <c r="G8" s="546">
        <f>VLOOKUP($A8,EFNOXS!$A$1:$J$44,(IF($B8=2015,4,IF($B8=2016,5,IF($B8=2017,6,IF($B8=2018,7,IF($B8=2019,8,IF($B8=2020,9,0))))))),FALSE)</f>
        <v>0.94368289767104196</v>
      </c>
      <c r="H8" s="546">
        <f>VLOOKUP($A8,EFSOXS!$A$1:$J$44,(IF($B8=2015,4,IF($B8=2016,5,IF($B8=2017,6,IF($B8=2018,7,IF($B8=2019,8,IF($B8=2020,9,0))))))),FALSE)</f>
        <v>1.8739213528134147E-3</v>
      </c>
      <c r="I8" s="546">
        <f>VLOOKUP($A8,EFPMS!$A$1:$J$44,(IF($B8=2015,4,IF($B8=2016,5,IF($B8=2017,6,IF($B8=2018,7,IF($B8=2019,8,IF($B8=2020,9,0))))))),FALSE)</f>
        <v>3.1241039634901123E-2</v>
      </c>
      <c r="J8" s="536">
        <f t="shared" ref="J8:J12" si="0">0.89*I8</f>
        <v>2.7804525275062001E-2</v>
      </c>
      <c r="K8" s="549">
        <f>VLOOKUP($A8,EFCO2S!$A$1:$J$44,(IF($B8=2015,4,IF($B8=2016,5,IF($B8=2017,6,IF($B8=2018,7,IF($B8=2019,8,IF($B8=2020,9,0))))))),FALSE)</f>
        <v>166.54539483446186</v>
      </c>
      <c r="L8" s="546">
        <f>VLOOKUP($A8,EFCH4S!$A$1:$J$44,(IF($B8=2015,4,IF($B8=2016,5,IF($B8=2017,6,IF($B8=2018,7,IF($B8=2019,8,IF($B8=2020,9,0))))))),FALSE)</f>
        <v>1.1292325418869483E-2</v>
      </c>
      <c r="M8" s="540">
        <f t="shared" ref="M8:M12" si="1">0.095*G8</f>
        <v>8.9649875278748986E-2</v>
      </c>
      <c r="N8" s="145">
        <v>1</v>
      </c>
      <c r="O8" s="145">
        <v>2</v>
      </c>
      <c r="P8" s="136">
        <v>8</v>
      </c>
      <c r="Q8" s="39">
        <f t="shared" ref="Q8:Y12" si="2">(E8*$N8*$O8)</f>
        <v>0.23984254161259264</v>
      </c>
      <c r="R8" s="29">
        <f t="shared" si="2"/>
        <v>0.74146014108431535</v>
      </c>
      <c r="S8" s="29">
        <f t="shared" si="2"/>
        <v>1.8873657953420839</v>
      </c>
      <c r="T8" s="29">
        <f t="shared" si="2"/>
        <v>3.7478427056268295E-3</v>
      </c>
      <c r="U8" s="29">
        <f t="shared" si="2"/>
        <v>6.2482079269802246E-2</v>
      </c>
      <c r="V8" s="29">
        <f t="shared" si="2"/>
        <v>5.5609050550124002E-2</v>
      </c>
      <c r="W8" s="29">
        <f t="shared" si="2"/>
        <v>333.09078966892372</v>
      </c>
      <c r="X8" s="29">
        <f t="shared" si="2"/>
        <v>2.2584650837738966E-2</v>
      </c>
      <c r="Y8" s="29">
        <f t="shared" si="2"/>
        <v>0.17929975055749797</v>
      </c>
    </row>
    <row r="9" spans="1:25" s="3" customFormat="1" x14ac:dyDescent="0.25">
      <c r="A9" s="27" t="s">
        <v>164</v>
      </c>
      <c r="B9" s="34">
        <v>2015</v>
      </c>
      <c r="C9" s="134">
        <v>250</v>
      </c>
      <c r="D9" s="25">
        <v>0.4</v>
      </c>
      <c r="E9" s="546">
        <f>VLOOKUP($A9,EFROGS!$A$1:$J$44,(IF($B9=2015,4,IF($B9=2016,5,IF($B9=2017,6,IF($B9=2018,7,IF($B9=2019,8,IF($B9=2020,9,0))))))),FALSE)</f>
        <v>0.11209958615994069</v>
      </c>
      <c r="F9" s="546">
        <f>VLOOKUP($A9,EFCOS!$A$1:$J$44,(IF($B9=2015,4,IF($B9=2016,5,IF($B9=2017,6,IF($B9=2018,7,IF($B9=2019,8,IF($B9=2020,9,0))))))),FALSE)</f>
        <v>0.36735843490140963</v>
      </c>
      <c r="G9" s="546">
        <f>VLOOKUP($A9,EFNOXS!$A$1:$J$44,(IF($B9=2015,4,IF($B9=2016,5,IF($B9=2017,6,IF($B9=2018,7,IF($B9=2019,8,IF($B9=2020,9,0))))))),FALSE)</f>
        <v>0.99851916371893912</v>
      </c>
      <c r="H9" s="546">
        <f>VLOOKUP($A9,EFSOXS!$A$1:$J$44,(IF($B9=2015,4,IF($B9=2016,5,IF($B9=2017,6,IF($B9=2018,7,IF($B9=2019,8,IF($B9=2020,9,0))))))),FALSE)</f>
        <v>1.9217538838910294E-3</v>
      </c>
      <c r="I9" s="546">
        <f>VLOOKUP($A9,EFPMS!$A$1:$J$44,(IF($B9=2015,4,IF($B9=2016,5,IF($B9=2017,6,IF($B9=2018,7,IF($B9=2019,8,IF($B9=2020,9,0))))))),FALSE)</f>
        <v>3.2254740099391166E-2</v>
      </c>
      <c r="J9" s="536">
        <f t="shared" si="0"/>
        <v>2.8706718688458137E-2</v>
      </c>
      <c r="K9" s="549">
        <f>VLOOKUP($A9,EFCO2S!$A$1:$J$44,(IF($B9=2015,4,IF($B9=2016,5,IF($B9=2017,6,IF($B9=2018,7,IF($B9=2019,8,IF($B9=2020,9,0))))))),FALSE)</f>
        <v>170.79652191325471</v>
      </c>
      <c r="L9" s="546">
        <f>VLOOKUP($A9,EFCH4S!$A$1:$J$44,(IF($B9=2015,4,IF($B9=2016,5,IF($B9=2017,6,IF($B9=2018,7,IF($B9=2019,8,IF($B9=2020,9,0))))))),FALSE)</f>
        <v>1.054137705305298E-2</v>
      </c>
      <c r="M9" s="540">
        <f t="shared" si="1"/>
        <v>9.4859320553299223E-2</v>
      </c>
      <c r="N9" s="145">
        <v>1</v>
      </c>
      <c r="O9" s="145">
        <v>6</v>
      </c>
      <c r="P9" s="136">
        <v>12</v>
      </c>
      <c r="Q9" s="39">
        <f t="shared" si="2"/>
        <v>0.67259751695964409</v>
      </c>
      <c r="R9" s="29">
        <f t="shared" si="2"/>
        <v>2.2041506094084578</v>
      </c>
      <c r="S9" s="29">
        <f t="shared" si="2"/>
        <v>5.9911149823136345</v>
      </c>
      <c r="T9" s="29">
        <f t="shared" si="2"/>
        <v>1.1530523303346175E-2</v>
      </c>
      <c r="U9" s="29">
        <f t="shared" si="2"/>
        <v>0.193528440596347</v>
      </c>
      <c r="V9" s="29">
        <f t="shared" si="2"/>
        <v>0.17224031213074881</v>
      </c>
      <c r="W9" s="29">
        <f t="shared" si="2"/>
        <v>1024.7791314795281</v>
      </c>
      <c r="X9" s="29">
        <f t="shared" si="2"/>
        <v>6.3248262318317872E-2</v>
      </c>
      <c r="Y9" s="29">
        <f t="shared" si="2"/>
        <v>0.56915592331979536</v>
      </c>
    </row>
    <row r="10" spans="1:25" s="3" customFormat="1" x14ac:dyDescent="0.25">
      <c r="A10" s="27" t="s">
        <v>155</v>
      </c>
      <c r="B10" s="34">
        <v>2015</v>
      </c>
      <c r="C10" s="134">
        <v>82</v>
      </c>
      <c r="D10" s="134">
        <v>0.5</v>
      </c>
      <c r="E10" s="546">
        <f>VLOOKUP($A10,EFROGS!$A$1:$J$44,(IF($B10=2015,4,IF($B10=2016,5,IF($B10=2017,6,IF($B10=2018,7,IF($B10=2019,8,IF($B10=2020,9,0))))))),FALSE)</f>
        <v>3.6309327217992599E-2</v>
      </c>
      <c r="F10" s="546">
        <f>VLOOKUP($A10,EFCOS!$A$1:$J$44,(IF($B10=2015,4,IF($B10=2016,5,IF($B10=2017,6,IF($B10=2018,7,IF($B10=2019,8,IF($B10=2020,9,0))))))),FALSE)</f>
        <v>0.46093801457747435</v>
      </c>
      <c r="G10" s="546">
        <f>VLOOKUP($A10,EFNOXS!$A$1:$J$44,(IF($B10=2015,4,IF($B10=2016,5,IF($B10=2017,6,IF($B10=2018,7,IF($B10=2019,8,IF($B10=2020,9,0))))))),FALSE)</f>
        <v>0.36619894798559588</v>
      </c>
      <c r="H10" s="546">
        <f>VLOOKUP($A10,EFSOXS!$A$1:$J$44,(IF($B10=2015,4,IF($B10=2016,5,IF($B10=2017,6,IF($B10=2018,7,IF($B10=2019,8,IF($B10=2020,9,0))))))),FALSE)</f>
        <v>9.0467796015684726E-4</v>
      </c>
      <c r="I10" s="546">
        <f>VLOOKUP($A10,EFPMS!$A$1:$J$44,(IF($B10=2015,4,IF($B10=2016,5,IF($B10=2017,6,IF($B10=2018,7,IF($B10=2019,8,IF($B10=2020,9,0))))))),FALSE)</f>
        <v>1.5314374699910852E-2</v>
      </c>
      <c r="J10" s="536">
        <f t="shared" si="0"/>
        <v>1.3629793482920658E-2</v>
      </c>
      <c r="K10" s="549">
        <f>VLOOKUP($A10,EFCO2S!$A$1:$J$44,(IF($B10=2015,4,IF($B10=2016,5,IF($B10=2017,6,IF($B10=2018,7,IF($B10=2019,8,IF($B10=2020,9,0))))))),FALSE)</f>
        <v>77.121767330485099</v>
      </c>
      <c r="L10" s="546">
        <f>VLOOKUP($A10,EFCH4S!$A$1:$J$44,(IF($B10=2015,4,IF($B10=2016,5,IF($B10=2017,6,IF($B10=2018,7,IF($B10=2019,8,IF($B10=2020,9,0))))))),FALSE)</f>
        <v>3.3884664579035585E-3</v>
      </c>
      <c r="M10" s="540">
        <f t="shared" si="1"/>
        <v>3.4788900058631611E-2</v>
      </c>
      <c r="N10" s="145">
        <v>1</v>
      </c>
      <c r="O10" s="145">
        <v>8</v>
      </c>
      <c r="P10" s="109">
        <v>32</v>
      </c>
      <c r="Q10" s="39">
        <f t="shared" si="2"/>
        <v>0.29047461774394079</v>
      </c>
      <c r="R10" s="29">
        <f t="shared" si="2"/>
        <v>3.6875041166197948</v>
      </c>
      <c r="S10" s="29">
        <f t="shared" si="2"/>
        <v>2.929591583884767</v>
      </c>
      <c r="T10" s="29">
        <f t="shared" si="2"/>
        <v>7.2374236812547781E-3</v>
      </c>
      <c r="U10" s="29">
        <f t="shared" si="2"/>
        <v>0.12251499759928682</v>
      </c>
      <c r="V10" s="29">
        <f t="shared" si="2"/>
        <v>0.10903834786336526</v>
      </c>
      <c r="W10" s="29">
        <f t="shared" si="2"/>
        <v>616.97413864388079</v>
      </c>
      <c r="X10" s="29">
        <f t="shared" si="2"/>
        <v>2.7107731663228468E-2</v>
      </c>
      <c r="Y10" s="29">
        <f t="shared" si="2"/>
        <v>0.27831120046905289</v>
      </c>
    </row>
    <row r="11" spans="1:25" s="3" customFormat="1" x14ac:dyDescent="0.25">
      <c r="A11" s="27" t="s">
        <v>192</v>
      </c>
      <c r="B11" s="34">
        <v>2015</v>
      </c>
      <c r="C11" s="25">
        <v>45</v>
      </c>
      <c r="D11" s="25">
        <v>0.48</v>
      </c>
      <c r="E11" s="546">
        <f>VLOOKUP($A11,EFROGS!$A$1:$J$44,(IF($B11=2015,4,IF($B11=2016,5,IF($B11=2017,6,IF($B11=2018,7,IF($B11=2019,8,IF($B11=2020,9,0))))))),FALSE)</f>
        <v>7.4731714184131492E-2</v>
      </c>
      <c r="F11" s="546">
        <f>VLOOKUP($A11,EFCOS!$A$1:$J$44,(IF($B11=2015,4,IF($B11=2016,5,IF($B11=2017,6,IF($B11=2018,7,IF($B11=2019,8,IF($B11=2020,9,0))))))),FALSE)</f>
        <v>0.24453724453802805</v>
      </c>
      <c r="G11" s="546">
        <f>VLOOKUP($A11,EFNOXS!$A$1:$J$44,(IF($B11=2015,4,IF($B11=2016,5,IF($B11=2017,6,IF($B11=2018,7,IF($B11=2019,8,IF($B11=2020,9,0))))))),FALSE)</f>
        <v>0.22305455439379515</v>
      </c>
      <c r="H11" s="546">
        <f>VLOOKUP($A11,EFSOXS!$A$1:$J$44,(IF($B11=2015,4,IF($B11=2016,5,IF($B11=2017,6,IF($B11=2018,7,IF($B11=2019,8,IF($B11=2020,9,0))))))),FALSE)</f>
        <v>2.8791180196343529E-4</v>
      </c>
      <c r="I11" s="546">
        <f>VLOOKUP($A11,EFPMS!$A$1:$J$44,(IF($B11=2015,4,IF($B11=2016,5,IF($B11=2017,6,IF($B11=2018,7,IF($B11=2019,8,IF($B11=2020,9,0))))))),FALSE)</f>
        <v>1.8470024929196412E-2</v>
      </c>
      <c r="J11" s="536">
        <f t="shared" si="0"/>
        <v>1.6438322186984808E-2</v>
      </c>
      <c r="K11" s="549">
        <f>VLOOKUP($A11,EFCO2S!$A$1:$J$44,(IF($B11=2015,4,IF($B11=2016,5,IF($B11=2017,6,IF($B11=2018,7,IF($B11=2019,8,IF($B11=2020,9,0))))))),FALSE)</f>
        <v>22.271261510097837</v>
      </c>
      <c r="L11" s="546">
        <f>VLOOKUP($A11,EFCH4S!$A$1:$J$44,(IF($B11=2015,4,IF($B11=2016,5,IF($B11=2017,6,IF($B11=2018,7,IF($B11=2019,8,IF($B11=2020,9,0))))))),FALSE)</f>
        <v>6.7429224274720354E-3</v>
      </c>
      <c r="M11" s="540">
        <f t="shared" si="1"/>
        <v>2.1190182667410538E-2</v>
      </c>
      <c r="N11" s="145">
        <v>1</v>
      </c>
      <c r="O11" s="145">
        <v>8</v>
      </c>
      <c r="P11" s="136">
        <v>32</v>
      </c>
      <c r="Q11" s="39">
        <f t="shared" si="2"/>
        <v>0.59785371347305194</v>
      </c>
      <c r="R11" s="29">
        <f t="shared" si="2"/>
        <v>1.9562979563042244</v>
      </c>
      <c r="S11" s="29">
        <f t="shared" si="2"/>
        <v>1.7844364351503612</v>
      </c>
      <c r="T11" s="29">
        <f t="shared" si="2"/>
        <v>2.3032944157074823E-3</v>
      </c>
      <c r="U11" s="29">
        <f t="shared" si="2"/>
        <v>0.1477601994335713</v>
      </c>
      <c r="V11" s="29">
        <f t="shared" si="2"/>
        <v>0.13150657749587846</v>
      </c>
      <c r="W11" s="29">
        <f t="shared" si="2"/>
        <v>178.17009208078269</v>
      </c>
      <c r="X11" s="29">
        <f t="shared" si="2"/>
        <v>5.3943379419776283E-2</v>
      </c>
      <c r="Y11" s="29">
        <f t="shared" si="2"/>
        <v>0.16952146133928431</v>
      </c>
    </row>
    <row r="12" spans="1:25" s="3" customFormat="1" x14ac:dyDescent="0.25">
      <c r="A12" s="27" t="s">
        <v>162</v>
      </c>
      <c r="B12" s="34">
        <v>2015</v>
      </c>
      <c r="C12" s="25">
        <v>235</v>
      </c>
      <c r="D12" s="25">
        <v>0.38</v>
      </c>
      <c r="E12" s="546">
        <f>VLOOKUP($A12,EFROGS!$A$1:$J$44,(IF($B12=2015,4,IF($B12=2016,5,IF($B12=2017,6,IF($B12=2018,7,IF($B12=2019,8,IF($B12=2020,9,0))))))),FALSE)</f>
        <v>0.12027312265814816</v>
      </c>
      <c r="F12" s="546">
        <f>VLOOKUP($A12,EFCOS!$A$1:$J$44,(IF($B12=2015,4,IF($B12=2016,5,IF($B12=2017,6,IF($B12=2018,7,IF($B12=2019,8,IF($B12=2020,9,0))))))),FALSE)</f>
        <v>0.37726446207654918</v>
      </c>
      <c r="G12" s="546">
        <f>VLOOKUP($A12,EFNOXS!$A$1:$J$44,(IF($B12=2015,4,IF($B12=2016,5,IF($B12=2017,6,IF($B12=2018,7,IF($B12=2019,8,IF($B12=2020,9,0))))))),FALSE)</f>
        <v>0.94745273894088322</v>
      </c>
      <c r="H12" s="546">
        <f>VLOOKUP($A12,EFSOXS!$A$1:$J$44,(IF($B12=2015,4,IF($B12=2016,5,IF($B12=2017,6,IF($B12=2018,7,IF($B12=2019,8,IF($B12=2020,9,0))))))),FALSE)</f>
        <v>1.8739213528134147E-3</v>
      </c>
      <c r="I12" s="546">
        <f>VLOOKUP($A12,EFPMS!$A$1:$J$44,(IF($B12=2015,4,IF($B12=2016,5,IF($B12=2017,6,IF($B12=2018,7,IF($B12=2019,8,IF($B12=2020,9,0))))))),FALSE)</f>
        <v>3.1278738047599536E-2</v>
      </c>
      <c r="J12" s="536">
        <f t="shared" si="0"/>
        <v>2.7838076862363587E-2</v>
      </c>
      <c r="K12" s="549">
        <f>VLOOKUP($A12,EFCO2S!$A$1:$J$44,(IF($B12=2015,4,IF($B12=2016,5,IF($B12=2017,6,IF($B12=2018,7,IF($B12=2019,8,IF($B12=2020,9,0))))))),FALSE)</f>
        <v>166.54539483446186</v>
      </c>
      <c r="L12" s="546">
        <f>VLOOKUP($A12,EFCH4S!$A$1:$J$44,(IF($B12=2015,4,IF($B12=2016,5,IF($B12=2017,6,IF($B12=2018,7,IF($B12=2019,8,IF($B12=2020,9,0))))))),FALSE)</f>
        <v>1.1292325418869483E-2</v>
      </c>
      <c r="M12" s="540">
        <f t="shared" si="1"/>
        <v>9.0008010199383912E-2</v>
      </c>
      <c r="N12" s="145">
        <v>1</v>
      </c>
      <c r="O12" s="145">
        <v>4</v>
      </c>
      <c r="P12" s="109">
        <v>16</v>
      </c>
      <c r="Q12" s="39">
        <f t="shared" si="2"/>
        <v>0.48109249063259263</v>
      </c>
      <c r="R12" s="29">
        <f t="shared" si="2"/>
        <v>1.5090578483061967</v>
      </c>
      <c r="S12" s="29">
        <f t="shared" si="2"/>
        <v>3.7898109557635329</v>
      </c>
      <c r="T12" s="29">
        <f t="shared" si="2"/>
        <v>7.4956854112536589E-3</v>
      </c>
      <c r="U12" s="29">
        <f t="shared" si="2"/>
        <v>0.12511495219039814</v>
      </c>
      <c r="V12" s="29">
        <f t="shared" si="2"/>
        <v>0.11135230744945435</v>
      </c>
      <c r="W12" s="29">
        <f t="shared" si="2"/>
        <v>666.18157933784744</v>
      </c>
      <c r="X12" s="29">
        <f t="shared" si="2"/>
        <v>4.5169301675477933E-2</v>
      </c>
      <c r="Y12" s="29">
        <f t="shared" si="2"/>
        <v>0.36003204079753565</v>
      </c>
    </row>
    <row r="13" spans="1:25" s="3" customFormat="1" x14ac:dyDescent="0.25">
      <c r="A13" s="19" t="s">
        <v>38</v>
      </c>
      <c r="B13" s="34"/>
      <c r="C13" s="25"/>
      <c r="D13" s="25"/>
      <c r="E13" s="26"/>
      <c r="F13" s="26"/>
      <c r="G13" s="26"/>
      <c r="H13" s="26"/>
      <c r="I13" s="26"/>
      <c r="J13" s="27"/>
      <c r="K13" s="28"/>
      <c r="L13" s="26"/>
      <c r="M13" s="38"/>
      <c r="N13" s="109"/>
      <c r="O13" s="109"/>
      <c r="P13" s="136"/>
      <c r="Q13" s="138">
        <f t="shared" ref="Q13:Y13" si="3">SUM(Q8:Q12)</f>
        <v>2.2818608804218221</v>
      </c>
      <c r="R13" s="138">
        <f t="shared" si="3"/>
        <v>10.098470671722989</v>
      </c>
      <c r="S13" s="138">
        <f t="shared" si="3"/>
        <v>16.382319752454379</v>
      </c>
      <c r="T13" s="138">
        <f t="shared" si="3"/>
        <v>3.2314769517188924E-2</v>
      </c>
      <c r="U13" s="138">
        <f t="shared" si="3"/>
        <v>0.65140066908940553</v>
      </c>
      <c r="V13" s="138">
        <f t="shared" si="3"/>
        <v>0.57974659548957086</v>
      </c>
      <c r="W13" s="138">
        <f t="shared" si="3"/>
        <v>2819.1957312109625</v>
      </c>
      <c r="X13" s="138">
        <f t="shared" si="3"/>
        <v>0.21205332591453951</v>
      </c>
      <c r="Y13" s="138">
        <f t="shared" si="3"/>
        <v>1.5563203764831663</v>
      </c>
    </row>
    <row r="14" spans="1:25" s="3" customFormat="1" x14ac:dyDescent="0.25">
      <c r="A14" s="27"/>
      <c r="B14" s="34"/>
      <c r="C14" s="25"/>
      <c r="D14" s="25"/>
      <c r="E14" s="26"/>
      <c r="F14" s="26"/>
      <c r="G14" s="26"/>
      <c r="H14" s="26"/>
      <c r="I14" s="26"/>
      <c r="J14" s="27"/>
      <c r="K14" s="28"/>
      <c r="L14" s="26"/>
      <c r="M14" s="38"/>
      <c r="N14" s="109"/>
      <c r="O14" s="109"/>
      <c r="P14" s="136"/>
      <c r="Q14" s="39"/>
      <c r="R14" s="29"/>
      <c r="S14" s="29"/>
      <c r="T14" s="29"/>
      <c r="U14" s="29"/>
      <c r="V14" s="29"/>
      <c r="W14" s="29"/>
      <c r="X14" s="29"/>
      <c r="Y14" s="29"/>
    </row>
    <row r="15" spans="1:25" s="3" customFormat="1" x14ac:dyDescent="0.25">
      <c r="A15" s="19" t="s">
        <v>588</v>
      </c>
      <c r="B15" s="34">
        <v>2015</v>
      </c>
      <c r="C15" s="25"/>
      <c r="D15" s="25"/>
      <c r="E15" s="26"/>
      <c r="F15" s="26"/>
      <c r="G15" s="26"/>
      <c r="H15" s="26"/>
      <c r="I15" s="26"/>
      <c r="J15" s="27"/>
      <c r="K15" s="28"/>
      <c r="L15" s="26"/>
      <c r="M15" s="38"/>
      <c r="N15" s="109"/>
      <c r="O15" s="109"/>
      <c r="P15" s="136"/>
      <c r="Q15" s="39"/>
      <c r="R15" s="29"/>
      <c r="S15" s="29"/>
      <c r="T15" s="29"/>
      <c r="U15" s="29"/>
      <c r="V15" s="29"/>
      <c r="W15" s="29"/>
      <c r="X15" s="29"/>
      <c r="Y15" s="29"/>
    </row>
    <row r="16" spans="1:25" s="3" customFormat="1" x14ac:dyDescent="0.25">
      <c r="A16" s="27" t="s">
        <v>162</v>
      </c>
      <c r="B16" s="34">
        <v>2015</v>
      </c>
      <c r="C16" s="25">
        <v>235</v>
      </c>
      <c r="D16" s="25">
        <v>0.38</v>
      </c>
      <c r="E16" s="546">
        <f>VLOOKUP($A16,EFROGS!$A$1:$J$44,(IF($B16=2015,4,IF($B16=2016,5,IF($B16=2017,6,IF($B16=2018,7,IF($B16=2019,8,IF($B16=2020,9,0))))))),FALSE)</f>
        <v>0.12027312265814816</v>
      </c>
      <c r="F16" s="546">
        <f>VLOOKUP($A16,EFCOS!$A$1:$J$44,(IF($B16=2015,4,IF($B16=2016,5,IF($B16=2017,6,IF($B16=2018,7,IF($B16=2019,8,IF($B16=2020,9,0))))))),FALSE)</f>
        <v>0.37726446207654918</v>
      </c>
      <c r="G16" s="546">
        <f>VLOOKUP($A16,EFNOXS!$A$1:$J$44,(IF($B16=2015,4,IF($B16=2016,5,IF($B16=2017,6,IF($B16=2018,7,IF($B16=2019,8,IF($B16=2020,9,0))))))),FALSE)</f>
        <v>0.94745273894088322</v>
      </c>
      <c r="H16" s="546">
        <f>VLOOKUP($A16,EFSOXS!$A$1:$J$44,(IF($B16=2015,4,IF($B16=2016,5,IF($B16=2017,6,IF($B16=2018,7,IF($B16=2019,8,IF($B16=2020,9,0))))))),FALSE)</f>
        <v>1.8739213528134147E-3</v>
      </c>
      <c r="I16" s="546">
        <f>VLOOKUP($A16,EFPMS!$A$1:$J$44,(IF($B16=2015,4,IF($B16=2016,5,IF($B16=2017,6,IF($B16=2018,7,IF($B16=2019,8,IF($B16=2020,9,0))))))),FALSE)</f>
        <v>3.1278738047599536E-2</v>
      </c>
      <c r="J16" s="536">
        <f t="shared" ref="J16:J18" si="4">0.89*I16</f>
        <v>2.7838076862363587E-2</v>
      </c>
      <c r="K16" s="549">
        <f>VLOOKUP($A16,EFCO2S!$A$1:$J$44,(IF($B16=2015,4,IF($B16=2016,5,IF($B16=2017,6,IF($B16=2018,7,IF($B16=2019,8,IF($B16=2020,9,0))))))),FALSE)</f>
        <v>166.54539483446186</v>
      </c>
      <c r="L16" s="546">
        <f>VLOOKUP($A16,EFCH4S!$A$1:$J$44,(IF($B16=2015,4,IF($B16=2016,5,IF($B16=2017,6,IF($B16=2018,7,IF($B16=2019,8,IF($B16=2020,9,0))))))),FALSE)</f>
        <v>1.1292325418869483E-2</v>
      </c>
      <c r="M16" s="540">
        <f t="shared" ref="M16:M18" si="5">0.095*G16</f>
        <v>9.0008010199383912E-2</v>
      </c>
      <c r="N16" s="109">
        <v>1</v>
      </c>
      <c r="O16" s="145">
        <v>3</v>
      </c>
      <c r="P16" s="109">
        <v>12</v>
      </c>
      <c r="Q16" s="39">
        <f t="shared" ref="Q16:Y18" si="6">(E16*$N16*$O16)</f>
        <v>0.36081936797444447</v>
      </c>
      <c r="R16" s="29">
        <f t="shared" si="6"/>
        <v>1.1317933862296474</v>
      </c>
      <c r="S16" s="29">
        <f t="shared" si="6"/>
        <v>2.8423582168226496</v>
      </c>
      <c r="T16" s="29">
        <f t="shared" si="6"/>
        <v>5.6217640584402444E-3</v>
      </c>
      <c r="U16" s="29">
        <f t="shared" si="6"/>
        <v>9.3836214142798607E-2</v>
      </c>
      <c r="V16" s="29">
        <f t="shared" si="6"/>
        <v>8.351423058709076E-2</v>
      </c>
      <c r="W16" s="29">
        <f t="shared" si="6"/>
        <v>499.63618450338561</v>
      </c>
      <c r="X16" s="29">
        <f t="shared" si="6"/>
        <v>3.3876976256608446E-2</v>
      </c>
      <c r="Y16" s="29">
        <f t="shared" si="6"/>
        <v>0.27002403059815172</v>
      </c>
    </row>
    <row r="17" spans="1:32" s="3" customFormat="1" x14ac:dyDescent="0.25">
      <c r="A17" s="37" t="s">
        <v>589</v>
      </c>
      <c r="B17" s="34">
        <v>2015</v>
      </c>
      <c r="C17" s="25">
        <v>235</v>
      </c>
      <c r="D17" s="25">
        <v>0.38</v>
      </c>
      <c r="E17" s="546">
        <f>VLOOKUP($A17,EFROGS!$A$1:$J$44,(IF($B17=2015,4,IF($B17=2016,5,IF($B17=2017,6,IF($B17=2018,7,IF($B17=2019,8,IF($B17=2020,9,0))))))),FALSE)</f>
        <v>0.11889503623839508</v>
      </c>
      <c r="F17" s="546">
        <f>VLOOKUP($A17,EFCOS!$A$1:$J$44,(IF($B17=2015,4,IF($B17=2016,5,IF($B17=2017,6,IF($B17=2018,7,IF($B17=2019,8,IF($B17=2020,9,0))))))),FALSE)</f>
        <v>0.35167142856684902</v>
      </c>
      <c r="G17" s="546">
        <f>VLOOKUP($A17,EFNOXS!$A$1:$J$44,(IF($B17=2015,4,IF($B17=2016,5,IF($B17=2017,6,IF($B17=2018,7,IF($B17=2019,8,IF($B17=2020,9,0))))))),FALSE)</f>
        <v>0.93268752730067161</v>
      </c>
      <c r="H17" s="546">
        <f>VLOOKUP($A17,EFSOXS!$A$1:$J$44,(IF($B17=2015,4,IF($B17=2016,5,IF($B17=2017,6,IF($B17=2018,7,IF($B17=2019,8,IF($B17=2020,9,0))))))),FALSE)</f>
        <v>1.8739213528134147E-3</v>
      </c>
      <c r="I17" s="546">
        <f>VLOOKUP($A17,EFPMS!$A$1:$J$44,(IF($B17=2015,4,IF($B17=2016,5,IF($B17=2017,6,IF($B17=2018,7,IF($B17=2019,8,IF($B17=2020,9,0))))))),FALSE)</f>
        <v>3.1131085931197421E-2</v>
      </c>
      <c r="J17" s="536">
        <f t="shared" si="4"/>
        <v>2.7706666478765705E-2</v>
      </c>
      <c r="K17" s="549">
        <f>VLOOKUP($A17,EFCO2S!$A$1:$J$44,(IF($B17=2015,4,IF($B17=2016,5,IF($B17=2017,6,IF($B17=2018,7,IF($B17=2019,8,IF($B17=2020,9,0))))))),FALSE)</f>
        <v>166.54539483446186</v>
      </c>
      <c r="L17" s="546">
        <f>VLOOKUP($A17,EFCH4S!$A$1:$J$44,(IF($B17=2015,4,IF($B17=2016,5,IF($B17=2017,6,IF($B17=2018,7,IF($B17=2019,8,IF($B17=2020,9,0))))))),FALSE)</f>
        <v>1.1292325418869483E-2</v>
      </c>
      <c r="M17" s="540">
        <f t="shared" si="5"/>
        <v>8.86053150935638E-2</v>
      </c>
      <c r="N17" s="109">
        <v>1</v>
      </c>
      <c r="O17" s="145">
        <v>3</v>
      </c>
      <c r="P17" s="109">
        <v>12</v>
      </c>
      <c r="Q17" s="39">
        <f t="shared" si="6"/>
        <v>0.35668510871518522</v>
      </c>
      <c r="R17" s="29">
        <f t="shared" si="6"/>
        <v>1.0550142857005471</v>
      </c>
      <c r="S17" s="29">
        <f t="shared" si="6"/>
        <v>2.7980625819020148</v>
      </c>
      <c r="T17" s="29">
        <f t="shared" si="6"/>
        <v>5.6217640584402444E-3</v>
      </c>
      <c r="U17" s="29">
        <f t="shared" si="6"/>
        <v>9.3393257793592255E-2</v>
      </c>
      <c r="V17" s="29">
        <f t="shared" si="6"/>
        <v>8.311999943629711E-2</v>
      </c>
      <c r="W17" s="29">
        <f t="shared" si="6"/>
        <v>499.63618450338561</v>
      </c>
      <c r="X17" s="29">
        <f t="shared" si="6"/>
        <v>3.3876976256608446E-2</v>
      </c>
      <c r="Y17" s="29">
        <f t="shared" si="6"/>
        <v>0.26581594528069141</v>
      </c>
    </row>
    <row r="18" spans="1:32" s="3" customFormat="1" x14ac:dyDescent="0.25">
      <c r="A18" s="27" t="s">
        <v>199</v>
      </c>
      <c r="B18" s="34">
        <v>2015</v>
      </c>
      <c r="C18" s="25">
        <v>235</v>
      </c>
      <c r="D18" s="25">
        <v>0.38</v>
      </c>
      <c r="E18" s="546">
        <f>VLOOKUP($A18,EFROGS!$A$1:$J$44,(IF($B18=2015,4,IF($B18=2016,5,IF($B18=2017,6,IF($B18=2018,7,IF($B18=2019,8,IF($B18=2020,9,0))))))),FALSE)</f>
        <v>0.11992127080629632</v>
      </c>
      <c r="F18" s="546">
        <f>VLOOKUP($A18,EFCOS!$A$1:$J$44,(IF($B18=2015,4,IF($B18=2016,5,IF($B18=2017,6,IF($B18=2018,7,IF($B18=2019,8,IF($B18=2020,9,0))))))),FALSE)</f>
        <v>0.37073007054215767</v>
      </c>
      <c r="G18" s="546">
        <f>VLOOKUP($A18,EFNOXS!$A$1:$J$44,(IF($B18=2015,4,IF($B18=2016,5,IF($B18=2017,6,IF($B18=2018,7,IF($B18=2019,8,IF($B18=2020,9,0))))))),FALSE)</f>
        <v>0.94368289767104196</v>
      </c>
      <c r="H18" s="546">
        <f>VLOOKUP($A18,EFSOXS!$A$1:$J$44,(IF($B18=2015,4,IF($B18=2016,5,IF($B18=2017,6,IF($B18=2018,7,IF($B18=2019,8,IF($B18=2020,9,0))))))),FALSE)</f>
        <v>1.8739213528134147E-3</v>
      </c>
      <c r="I18" s="546">
        <f>VLOOKUP($A18,EFPMS!$A$1:$J$44,(IF($B18=2015,4,IF($B18=2016,5,IF($B18=2017,6,IF($B18=2018,7,IF($B18=2019,8,IF($B18=2020,9,0))))))),FALSE)</f>
        <v>3.1241039634901123E-2</v>
      </c>
      <c r="J18" s="536">
        <f t="shared" si="4"/>
        <v>2.7804525275062001E-2</v>
      </c>
      <c r="K18" s="549">
        <f>VLOOKUP($A18,EFCO2S!$A$1:$J$44,(IF($B18=2015,4,IF($B18=2016,5,IF($B18=2017,6,IF($B18=2018,7,IF($B18=2019,8,IF($B18=2020,9,0))))))),FALSE)</f>
        <v>166.54539483446186</v>
      </c>
      <c r="L18" s="546">
        <f>VLOOKUP($A18,EFCH4S!$A$1:$J$44,(IF($B18=2015,4,IF($B18=2016,5,IF($B18=2017,6,IF($B18=2018,7,IF($B18=2019,8,IF($B18=2020,9,0))))))),FALSE)</f>
        <v>1.1292325418869483E-2</v>
      </c>
      <c r="M18" s="540">
        <f t="shared" si="5"/>
        <v>8.9649875278748986E-2</v>
      </c>
      <c r="N18" s="109">
        <v>1</v>
      </c>
      <c r="O18" s="145">
        <v>2</v>
      </c>
      <c r="P18" s="109">
        <v>8</v>
      </c>
      <c r="Q18" s="39">
        <f t="shared" si="6"/>
        <v>0.23984254161259264</v>
      </c>
      <c r="R18" s="29">
        <f t="shared" si="6"/>
        <v>0.74146014108431535</v>
      </c>
      <c r="S18" s="29">
        <f t="shared" si="6"/>
        <v>1.8873657953420839</v>
      </c>
      <c r="T18" s="29">
        <f t="shared" si="6"/>
        <v>3.7478427056268295E-3</v>
      </c>
      <c r="U18" s="29">
        <f t="shared" si="6"/>
        <v>6.2482079269802246E-2</v>
      </c>
      <c r="V18" s="29">
        <f t="shared" si="6"/>
        <v>5.5609050550124002E-2</v>
      </c>
      <c r="W18" s="29">
        <f t="shared" si="6"/>
        <v>333.09078966892372</v>
      </c>
      <c r="X18" s="29">
        <f t="shared" si="6"/>
        <v>2.2584650837738966E-2</v>
      </c>
      <c r="Y18" s="29">
        <f t="shared" si="6"/>
        <v>0.17929975055749797</v>
      </c>
    </row>
    <row r="19" spans="1:32" s="3" customFormat="1" x14ac:dyDescent="0.25">
      <c r="A19" s="19" t="s">
        <v>38</v>
      </c>
      <c r="B19" s="34"/>
      <c r="C19" s="25"/>
      <c r="D19" s="25"/>
      <c r="E19" s="26"/>
      <c r="F19" s="26"/>
      <c r="G19" s="26"/>
      <c r="H19" s="26"/>
      <c r="I19" s="26"/>
      <c r="J19" s="27"/>
      <c r="K19" s="28"/>
      <c r="L19" s="26"/>
      <c r="M19" s="38"/>
      <c r="N19" s="109"/>
      <c r="O19" s="109"/>
      <c r="P19" s="136"/>
      <c r="Q19" s="138">
        <f t="shared" ref="Q19:Y19" si="7">SUM(Q16:Q18)</f>
        <v>0.95734701830222235</v>
      </c>
      <c r="R19" s="138">
        <f t="shared" si="7"/>
        <v>2.9282678130145099</v>
      </c>
      <c r="S19" s="138">
        <f t="shared" si="7"/>
        <v>7.5277865940667477</v>
      </c>
      <c r="T19" s="138">
        <f t="shared" si="7"/>
        <v>1.4991370822507318E-2</v>
      </c>
      <c r="U19" s="138">
        <f t="shared" si="7"/>
        <v>0.24971155120619309</v>
      </c>
      <c r="V19" s="138">
        <f t="shared" si="7"/>
        <v>0.22224328057351186</v>
      </c>
      <c r="W19" s="138">
        <f t="shared" si="7"/>
        <v>1332.3631586756949</v>
      </c>
      <c r="X19" s="138">
        <f t="shared" si="7"/>
        <v>9.0338603350955865E-2</v>
      </c>
      <c r="Y19" s="138">
        <f t="shared" si="7"/>
        <v>0.71513972643634105</v>
      </c>
    </row>
    <row r="20" spans="1:32" s="3" customFormat="1" x14ac:dyDescent="0.25">
      <c r="A20" s="27"/>
      <c r="B20" s="34"/>
      <c r="C20" s="25"/>
      <c r="D20" s="25"/>
      <c r="E20" s="26"/>
      <c r="F20" s="26"/>
      <c r="G20" s="26"/>
      <c r="H20" s="26"/>
      <c r="I20" s="26"/>
      <c r="J20" s="27"/>
      <c r="K20" s="28"/>
      <c r="L20" s="26"/>
      <c r="M20" s="38"/>
      <c r="N20" s="109"/>
      <c r="O20" s="109"/>
      <c r="P20" s="136"/>
      <c r="Q20" s="39"/>
      <c r="R20" s="29"/>
      <c r="S20" s="29"/>
      <c r="T20" s="29"/>
      <c r="U20" s="29"/>
      <c r="V20" s="29"/>
      <c r="W20" s="29"/>
      <c r="X20" s="29"/>
      <c r="Y20" s="29"/>
    </row>
    <row r="21" spans="1:32" s="3" customFormat="1" x14ac:dyDescent="0.25">
      <c r="A21" s="19" t="s">
        <v>590</v>
      </c>
      <c r="B21" s="34">
        <v>2015</v>
      </c>
      <c r="C21" s="25"/>
      <c r="D21" s="25"/>
      <c r="E21" s="26"/>
      <c r="F21" s="26"/>
      <c r="G21" s="26"/>
      <c r="H21" s="26"/>
      <c r="I21" s="26"/>
      <c r="J21" s="27"/>
      <c r="K21" s="28"/>
      <c r="L21" s="26"/>
      <c r="M21" s="38"/>
      <c r="N21" s="109"/>
      <c r="O21" s="109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32" s="3" customFormat="1" x14ac:dyDescent="0.25">
      <c r="A22" s="27" t="s">
        <v>206</v>
      </c>
      <c r="B22" s="34">
        <v>2015</v>
      </c>
      <c r="C22" s="25">
        <v>300</v>
      </c>
      <c r="D22" s="25">
        <v>0.42</v>
      </c>
      <c r="E22" s="546">
        <f>VLOOKUP($A22,EFROGS!$A$1:$J$44,(IF($B22=2015,4,IF($B22=2016,5,IF($B22=2017,6,IF($B22=2018,7,IF($B22=2019,8,IF($B22=2020,9,0))))))),FALSE)</f>
        <v>0.12634860383051666</v>
      </c>
      <c r="F22" s="546">
        <f>VLOOKUP($A22,EFCOS!$A$1:$J$44,(IF($B22=2015,4,IF($B22=2016,5,IF($B22=2017,6,IF($B22=2018,7,IF($B22=2019,8,IF($B22=2020,9,0))))))),FALSE)</f>
        <v>0.50758739181396961</v>
      </c>
      <c r="G22" s="546">
        <f>VLOOKUP($A22,EFNOXS!$A$1:$J$44,(IF($B22=2015,4,IF($B22=2016,5,IF($B22=2017,6,IF($B22=2018,7,IF($B22=2019,8,IF($B22=2020,9,0))))))),FALSE)</f>
        <v>1.1481509547445321</v>
      </c>
      <c r="H22" s="546">
        <f>VLOOKUP($A22,EFSOXS!$A$1:$J$44,(IF($B22=2015,4,IF($B22=2016,5,IF($B22=2017,6,IF($B22=2018,7,IF($B22=2019,8,IF($B22=2020,9,0))))))),FALSE)</f>
        <v>2.4954346257058686E-3</v>
      </c>
      <c r="I22" s="546">
        <f>VLOOKUP($A22,EFPMS!$A$1:$J$44,(IF($B22=2015,4,IF($B22=2016,5,IF($B22=2017,6,IF($B22=2018,7,IF($B22=2019,8,IF($B22=2020,9,0))))))),FALSE)</f>
        <v>3.7613858140880155E-2</v>
      </c>
      <c r="J22" s="536">
        <f t="shared" ref="J22:J24" si="8">0.89*I22</f>
        <v>3.3476333745383335E-2</v>
      </c>
      <c r="K22" s="549">
        <f>VLOOKUP($A22,EFCO2S!$A$1:$J$44,(IF($B22=2015,4,IF($B22=2016,5,IF($B22=2017,6,IF($B22=2018,7,IF($B22=2019,8,IF($B22=2020,9,0))))))),FALSE)</f>
        <v>254.23854571385056</v>
      </c>
      <c r="L22" s="546">
        <f>VLOOKUP($A22,EFCH4S!$A$1:$J$44,(IF($B22=2015,4,IF($B22=2016,5,IF($B22=2017,6,IF($B22=2018,7,IF($B22=2019,8,IF($B22=2020,9,0))))))),FALSE)</f>
        <v>1.1815564023556229E-2</v>
      </c>
      <c r="M22" s="540">
        <f t="shared" ref="M22:M24" si="9">0.095*G22</f>
        <v>0.10907434070073055</v>
      </c>
      <c r="N22" s="145">
        <v>1</v>
      </c>
      <c r="O22" s="145">
        <v>3</v>
      </c>
      <c r="P22" s="109">
        <v>12</v>
      </c>
      <c r="Q22" s="39">
        <f t="shared" ref="Q22:Y24" si="10">(E22*$N22*$O22)</f>
        <v>0.37904581149154998</v>
      </c>
      <c r="R22" s="29">
        <f t="shared" si="10"/>
        <v>1.5227621754419087</v>
      </c>
      <c r="S22" s="29">
        <f t="shared" si="10"/>
        <v>3.4444528642335963</v>
      </c>
      <c r="T22" s="29">
        <f t="shared" si="10"/>
        <v>7.4863038771176057E-3</v>
      </c>
      <c r="U22" s="29">
        <f t="shared" si="10"/>
        <v>0.11284157442264046</v>
      </c>
      <c r="V22" s="29">
        <f t="shared" si="10"/>
        <v>0.10042900123615001</v>
      </c>
      <c r="W22" s="29">
        <f t="shared" si="10"/>
        <v>762.71563714155172</v>
      </c>
      <c r="X22" s="29">
        <f t="shared" si="10"/>
        <v>3.5446692070668688E-2</v>
      </c>
      <c r="Y22" s="29">
        <f t="shared" si="10"/>
        <v>0.32722302210219167</v>
      </c>
    </row>
    <row r="23" spans="1:32" s="3" customFormat="1" x14ac:dyDescent="0.25">
      <c r="A23" s="27" t="s">
        <v>207</v>
      </c>
      <c r="B23" s="34">
        <v>2015</v>
      </c>
      <c r="C23" s="25">
        <v>300</v>
      </c>
      <c r="D23" s="25">
        <v>0.38</v>
      </c>
      <c r="E23" s="546">
        <f>VLOOKUP($A23,EFROGS!$A$1:$J$44,(IF($B23=2015,4,IF($B23=2016,5,IF($B23=2017,6,IF($B23=2018,7,IF($B23=2019,8,IF($B23=2020,9,0))))))),FALSE)</f>
        <v>0.12634860383051666</v>
      </c>
      <c r="F23" s="546">
        <f>VLOOKUP($A23,EFCOS!$A$1:$J$44,(IF($B23=2015,4,IF($B23=2016,5,IF($B23=2017,6,IF($B23=2018,7,IF($B23=2019,8,IF($B23=2020,9,0))))))),FALSE)</f>
        <v>0.50758739181396961</v>
      </c>
      <c r="G23" s="546">
        <f>VLOOKUP($A23,EFNOXS!$A$1:$J$44,(IF($B23=2015,4,IF($B23=2016,5,IF($B23=2017,6,IF($B23=2018,7,IF($B23=2019,8,IF($B23=2020,9,0))))))),FALSE)</f>
        <v>1.1481509547445321</v>
      </c>
      <c r="H23" s="546">
        <f>VLOOKUP($A23,EFSOXS!$A$1:$J$44,(IF($B23=2015,4,IF($B23=2016,5,IF($B23=2017,6,IF($B23=2018,7,IF($B23=2019,8,IF($B23=2020,9,0))))))),FALSE)</f>
        <v>2.4954346257058686E-3</v>
      </c>
      <c r="I23" s="546">
        <f>VLOOKUP($A23,EFPMS!$A$1:$J$44,(IF($B23=2015,4,IF($B23=2016,5,IF($B23=2017,6,IF($B23=2018,7,IF($B23=2019,8,IF($B23=2020,9,0))))))),FALSE)</f>
        <v>3.7613858140880155E-2</v>
      </c>
      <c r="J23" s="536">
        <f t="shared" si="8"/>
        <v>3.3476333745383335E-2</v>
      </c>
      <c r="K23" s="549">
        <f>VLOOKUP($A23,EFCO2S!$A$1:$J$44,(IF($B23=2015,4,IF($B23=2016,5,IF($B23=2017,6,IF($B23=2018,7,IF($B23=2019,8,IF($B23=2020,9,0))))))),FALSE)</f>
        <v>254.23854571385056</v>
      </c>
      <c r="L23" s="546">
        <f>VLOOKUP($A23,EFCH4S!$A$1:$J$44,(IF($B23=2015,4,IF($B23=2016,5,IF($B23=2017,6,IF($B23=2018,7,IF($B23=2019,8,IF($B23=2020,9,0))))))),FALSE)</f>
        <v>1.1815564023556229E-2</v>
      </c>
      <c r="M23" s="540">
        <f t="shared" si="9"/>
        <v>0.10907434070073055</v>
      </c>
      <c r="N23" s="145">
        <v>1</v>
      </c>
      <c r="O23" s="145">
        <v>3</v>
      </c>
      <c r="P23" s="109">
        <v>12</v>
      </c>
      <c r="Q23" s="39">
        <f t="shared" si="10"/>
        <v>0.37904581149154998</v>
      </c>
      <c r="R23" s="29">
        <f t="shared" si="10"/>
        <v>1.5227621754419087</v>
      </c>
      <c r="S23" s="29">
        <f t="shared" si="10"/>
        <v>3.4444528642335963</v>
      </c>
      <c r="T23" s="29">
        <f t="shared" si="10"/>
        <v>7.4863038771176057E-3</v>
      </c>
      <c r="U23" s="29">
        <f t="shared" si="10"/>
        <v>0.11284157442264046</v>
      </c>
      <c r="V23" s="29">
        <f t="shared" si="10"/>
        <v>0.10042900123615001</v>
      </c>
      <c r="W23" s="29">
        <f t="shared" si="10"/>
        <v>762.71563714155172</v>
      </c>
      <c r="X23" s="29">
        <f t="shared" si="10"/>
        <v>3.5446692070668688E-2</v>
      </c>
      <c r="Y23" s="29">
        <f t="shared" si="10"/>
        <v>0.32722302210219167</v>
      </c>
    </row>
    <row r="24" spans="1:32" s="3" customFormat="1" x14ac:dyDescent="0.25">
      <c r="A24" s="37" t="s">
        <v>589</v>
      </c>
      <c r="B24" s="34">
        <v>2015</v>
      </c>
      <c r="C24" s="25">
        <v>235</v>
      </c>
      <c r="D24" s="25">
        <v>0.38</v>
      </c>
      <c r="E24" s="546">
        <f>VLOOKUP($A24,EFROGS!$A$1:$J$44,(IF($B24=2015,4,IF($B24=2016,5,IF($B24=2017,6,IF($B24=2018,7,IF($B24=2019,8,IF($B24=2020,9,0))))))),FALSE)</f>
        <v>0.11889503623839508</v>
      </c>
      <c r="F24" s="546">
        <f>VLOOKUP($A24,EFCOS!$A$1:$J$44,(IF($B24=2015,4,IF($B24=2016,5,IF($B24=2017,6,IF($B24=2018,7,IF($B24=2019,8,IF($B24=2020,9,0))))))),FALSE)</f>
        <v>0.35167142856684902</v>
      </c>
      <c r="G24" s="546">
        <f>VLOOKUP($A24,EFNOXS!$A$1:$J$44,(IF($B24=2015,4,IF($B24=2016,5,IF($B24=2017,6,IF($B24=2018,7,IF($B24=2019,8,IF($B24=2020,9,0))))))),FALSE)</f>
        <v>0.93268752730067161</v>
      </c>
      <c r="H24" s="546">
        <f>VLOOKUP($A24,EFSOXS!$A$1:$J$44,(IF($B24=2015,4,IF($B24=2016,5,IF($B24=2017,6,IF($B24=2018,7,IF($B24=2019,8,IF($B24=2020,9,0))))))),FALSE)</f>
        <v>1.8739213528134147E-3</v>
      </c>
      <c r="I24" s="546">
        <f>VLOOKUP($A24,EFPMS!$A$1:$J$44,(IF($B24=2015,4,IF($B24=2016,5,IF($B24=2017,6,IF($B24=2018,7,IF($B24=2019,8,IF($B24=2020,9,0))))))),FALSE)</f>
        <v>3.1131085931197421E-2</v>
      </c>
      <c r="J24" s="536">
        <f t="shared" si="8"/>
        <v>2.7706666478765705E-2</v>
      </c>
      <c r="K24" s="549">
        <f>VLOOKUP($A24,EFCO2S!$A$1:$J$44,(IF($B24=2015,4,IF($B24=2016,5,IF($B24=2017,6,IF($B24=2018,7,IF($B24=2019,8,IF($B24=2020,9,0))))))),FALSE)</f>
        <v>166.54539483446186</v>
      </c>
      <c r="L24" s="546">
        <f>VLOOKUP($A24,EFCH4S!$A$1:$J$44,(IF($B24=2015,4,IF($B24=2016,5,IF($B24=2017,6,IF($B24=2018,7,IF($B24=2019,8,IF($B24=2020,9,0))))))),FALSE)</f>
        <v>1.1292325418869483E-2</v>
      </c>
      <c r="M24" s="540">
        <f t="shared" si="9"/>
        <v>8.86053150935638E-2</v>
      </c>
      <c r="N24" s="145">
        <v>2</v>
      </c>
      <c r="O24" s="145">
        <v>3</v>
      </c>
      <c r="P24" s="109">
        <v>24</v>
      </c>
      <c r="Q24" s="39">
        <f t="shared" si="10"/>
        <v>0.71337021743037043</v>
      </c>
      <c r="R24" s="29">
        <f t="shared" si="10"/>
        <v>2.1100285714010942</v>
      </c>
      <c r="S24" s="29">
        <f t="shared" si="10"/>
        <v>5.5961251638040297</v>
      </c>
      <c r="T24" s="29">
        <f t="shared" si="10"/>
        <v>1.1243528116880489E-2</v>
      </c>
      <c r="U24" s="29">
        <f t="shared" si="10"/>
        <v>0.18678651558718451</v>
      </c>
      <c r="V24" s="29">
        <f t="shared" si="10"/>
        <v>0.16623999887259422</v>
      </c>
      <c r="W24" s="29">
        <f t="shared" si="10"/>
        <v>999.27236900677121</v>
      </c>
      <c r="X24" s="29">
        <f t="shared" si="10"/>
        <v>6.7753952513216892E-2</v>
      </c>
      <c r="Y24" s="29">
        <f t="shared" si="10"/>
        <v>0.53163189056138282</v>
      </c>
    </row>
    <row r="25" spans="1:32" s="3" customFormat="1" x14ac:dyDescent="0.25">
      <c r="A25" s="19" t="s">
        <v>38</v>
      </c>
      <c r="B25" s="34"/>
      <c r="C25" s="25"/>
      <c r="D25" s="20"/>
      <c r="E25" s="26"/>
      <c r="F25" s="26"/>
      <c r="G25" s="26"/>
      <c r="H25" s="26"/>
      <c r="I25" s="26"/>
      <c r="J25" s="27"/>
      <c r="K25" s="28"/>
      <c r="L25" s="26"/>
      <c r="M25" s="38"/>
      <c r="N25" s="135"/>
      <c r="O25" s="135"/>
      <c r="P25" s="136"/>
      <c r="Q25" s="138">
        <f t="shared" ref="Q25:Y25" si="11">SUM(Q22:Q24)</f>
        <v>1.4714618404134705</v>
      </c>
      <c r="R25" s="138">
        <f t="shared" si="11"/>
        <v>5.1555529222849117</v>
      </c>
      <c r="S25" s="138">
        <f t="shared" si="11"/>
        <v>12.485030892271222</v>
      </c>
      <c r="T25" s="138">
        <f t="shared" si="11"/>
        <v>2.6216135871115702E-2</v>
      </c>
      <c r="U25" s="138">
        <f t="shared" si="11"/>
        <v>0.41246966443246547</v>
      </c>
      <c r="V25" s="138">
        <f t="shared" si="11"/>
        <v>0.36709800134489423</v>
      </c>
      <c r="W25" s="138">
        <f t="shared" si="11"/>
        <v>2524.7036432898749</v>
      </c>
      <c r="X25" s="138">
        <f t="shared" si="11"/>
        <v>0.13864733665455425</v>
      </c>
      <c r="Y25" s="138">
        <f t="shared" si="11"/>
        <v>1.1860779347657662</v>
      </c>
    </row>
    <row r="26" spans="1:32" s="6" customFormat="1" x14ac:dyDescent="0.25">
      <c r="A26" s="187" t="s">
        <v>117</v>
      </c>
      <c r="B26" s="134"/>
      <c r="C26" s="25"/>
      <c r="D26" s="25"/>
      <c r="E26" s="26"/>
      <c r="F26" s="26"/>
      <c r="G26" s="26"/>
      <c r="H26" s="26"/>
      <c r="I26" s="26"/>
      <c r="J26" s="27"/>
      <c r="K26" s="28"/>
      <c r="L26" s="26"/>
      <c r="M26" s="26"/>
      <c r="N26" s="109"/>
      <c r="O26" s="109"/>
      <c r="P26" s="109"/>
      <c r="Q26" s="22">
        <f t="shared" ref="Q26:Y26" si="12">Q13+Q19+Q25</f>
        <v>4.710669739137515</v>
      </c>
      <c r="R26" s="22">
        <f t="shared" si="12"/>
        <v>18.182291407022412</v>
      </c>
      <c r="S26" s="22">
        <f t="shared" si="12"/>
        <v>36.395137238792344</v>
      </c>
      <c r="T26" s="22">
        <f t="shared" si="12"/>
        <v>7.3522276210811949E-2</v>
      </c>
      <c r="U26" s="22">
        <f t="shared" si="12"/>
        <v>1.313581884728064</v>
      </c>
      <c r="V26" s="22">
        <f t="shared" si="12"/>
        <v>1.1690878774079769</v>
      </c>
      <c r="W26" s="22">
        <f t="shared" si="12"/>
        <v>6676.2625331765321</v>
      </c>
      <c r="X26" s="22">
        <f t="shared" si="12"/>
        <v>0.44103926592004966</v>
      </c>
      <c r="Y26" s="22">
        <f t="shared" si="12"/>
        <v>3.4575380376852736</v>
      </c>
      <c r="AF26" s="7"/>
    </row>
    <row r="27" spans="1:32" s="6" customFormat="1" x14ac:dyDescent="0.25">
      <c r="A27" s="562"/>
      <c r="B27" s="1"/>
      <c r="C27" s="1"/>
      <c r="D27" s="1"/>
      <c r="E27" s="623" t="s">
        <v>2</v>
      </c>
      <c r="F27" s="623"/>
      <c r="G27" s="623"/>
      <c r="H27" s="623"/>
      <c r="I27" s="623"/>
      <c r="J27" s="623"/>
      <c r="K27" s="623"/>
      <c r="L27" s="623"/>
      <c r="M27" s="562"/>
      <c r="N27" s="3"/>
      <c r="O27" s="562"/>
      <c r="P27" s="562"/>
      <c r="Q27" s="4"/>
      <c r="R27" s="4"/>
      <c r="S27" s="4"/>
      <c r="T27" s="4"/>
      <c r="U27" s="4"/>
      <c r="V27" s="4"/>
      <c r="W27" s="5"/>
      <c r="X27" s="4"/>
      <c r="Y27" s="4"/>
      <c r="AF27" s="7"/>
    </row>
    <row r="28" spans="1:32" s="6" customFormat="1" ht="39.6" x14ac:dyDescent="0.25">
      <c r="A28" s="12" t="s">
        <v>131</v>
      </c>
      <c r="B28" s="13" t="s">
        <v>3</v>
      </c>
      <c r="C28" s="13" t="s">
        <v>4</v>
      </c>
      <c r="D28" s="1"/>
      <c r="E28" s="18" t="s">
        <v>27</v>
      </c>
      <c r="F28" s="18" t="s">
        <v>28</v>
      </c>
      <c r="G28" s="18" t="s">
        <v>29</v>
      </c>
      <c r="H28" s="18" t="s">
        <v>30</v>
      </c>
      <c r="I28" s="18" t="s">
        <v>31</v>
      </c>
      <c r="J28" s="18" t="s">
        <v>32</v>
      </c>
      <c r="K28" s="17" t="s">
        <v>33</v>
      </c>
      <c r="L28" s="18" t="s">
        <v>34</v>
      </c>
      <c r="M28" s="18" t="s">
        <v>35</v>
      </c>
      <c r="N28" s="3"/>
      <c r="O28" s="562"/>
      <c r="P28" s="562"/>
      <c r="Q28" s="4"/>
      <c r="R28" s="4"/>
      <c r="S28" s="4"/>
      <c r="T28" s="4"/>
      <c r="U28" s="4"/>
      <c r="V28" s="4"/>
      <c r="W28" s="5"/>
      <c r="X28" s="4"/>
      <c r="Y28" s="4"/>
      <c r="AF28" s="7"/>
    </row>
    <row r="29" spans="1:32" s="3" customFormat="1" x14ac:dyDescent="0.25">
      <c r="A29" s="12" t="str">
        <f t="shared" ref="A29:A35" si="13">A7</f>
        <v>Construct Foundations</v>
      </c>
      <c r="B29" s="36"/>
      <c r="C29" s="20"/>
      <c r="D29" s="1"/>
      <c r="E29" s="30"/>
      <c r="F29" s="30"/>
      <c r="G29" s="30"/>
      <c r="H29" s="30"/>
      <c r="I29" s="30"/>
      <c r="J29" s="30"/>
      <c r="K29" s="30"/>
      <c r="L29" s="30"/>
      <c r="M29" s="30"/>
      <c r="O29" s="562"/>
      <c r="P29" s="562"/>
      <c r="Q29" s="4"/>
      <c r="R29" s="4"/>
      <c r="S29" s="4"/>
      <c r="T29" s="4"/>
      <c r="U29" s="4"/>
      <c r="V29" s="4"/>
      <c r="W29" s="5"/>
      <c r="X29" s="4"/>
      <c r="Y29" s="4"/>
      <c r="Z29" s="6"/>
      <c r="AA29" s="6"/>
      <c r="AB29" s="6"/>
      <c r="AC29" s="6"/>
      <c r="AD29" s="6"/>
      <c r="AE29" s="6"/>
      <c r="AF29" s="7"/>
    </row>
    <row r="30" spans="1:32" s="3" customFormat="1" x14ac:dyDescent="0.25">
      <c r="A30" s="137" t="str">
        <f t="shared" si="13"/>
        <v>Water Truck</v>
      </c>
      <c r="B30" s="36"/>
      <c r="C30" s="20"/>
      <c r="D30" s="1"/>
      <c r="E30" s="30">
        <f t="shared" ref="E30:M34" si="14">(Q8*$P8)/2000</f>
        <v>9.5937016645037049E-4</v>
      </c>
      <c r="F30" s="30">
        <f t="shared" si="14"/>
        <v>2.9658405643372614E-3</v>
      </c>
      <c r="G30" s="30">
        <f t="shared" si="14"/>
        <v>7.5494631813683355E-3</v>
      </c>
      <c r="H30" s="30">
        <f t="shared" si="14"/>
        <v>1.4991370822507318E-5</v>
      </c>
      <c r="I30" s="30">
        <f t="shared" si="14"/>
        <v>2.4992831707920898E-4</v>
      </c>
      <c r="J30" s="30">
        <f t="shared" si="14"/>
        <v>2.2243620220049602E-4</v>
      </c>
      <c r="K30" s="30">
        <f t="shared" si="14"/>
        <v>1.3323631586756948</v>
      </c>
      <c r="L30" s="30">
        <f t="shared" si="14"/>
        <v>9.0338603350955868E-5</v>
      </c>
      <c r="M30" s="30">
        <f t="shared" si="14"/>
        <v>7.1719900222999187E-4</v>
      </c>
      <c r="O30" s="562"/>
      <c r="P30" s="562"/>
      <c r="Q30" s="4"/>
      <c r="R30" s="4"/>
      <c r="S30" s="4"/>
      <c r="T30" s="4"/>
      <c r="U30" s="4"/>
      <c r="V30" s="4"/>
      <c r="W30" s="5"/>
      <c r="X30" s="4"/>
      <c r="Y30" s="4"/>
      <c r="Z30" s="6"/>
      <c r="AA30" s="6"/>
      <c r="AB30" s="6"/>
      <c r="AC30" s="6"/>
      <c r="AD30" s="6"/>
      <c r="AE30" s="6"/>
      <c r="AF30" s="7"/>
    </row>
    <row r="31" spans="1:32" s="3" customFormat="1" x14ac:dyDescent="0.25">
      <c r="A31" s="137" t="str">
        <f t="shared" si="13"/>
        <v>Rough Terrain Forklifts</v>
      </c>
      <c r="B31" s="36"/>
      <c r="C31" s="20"/>
      <c r="D31" s="1"/>
      <c r="E31" s="30">
        <f t="shared" si="14"/>
        <v>4.0355851017578647E-3</v>
      </c>
      <c r="F31" s="30">
        <f t="shared" si="14"/>
        <v>1.3224903656450746E-2</v>
      </c>
      <c r="G31" s="30">
        <f t="shared" si="14"/>
        <v>3.5946689893881813E-2</v>
      </c>
      <c r="H31" s="30">
        <f t="shared" si="14"/>
        <v>6.9183139820077057E-5</v>
      </c>
      <c r="I31" s="30">
        <f t="shared" si="14"/>
        <v>1.1611706435780819E-3</v>
      </c>
      <c r="J31" s="30">
        <f t="shared" si="14"/>
        <v>1.0334418727844929E-3</v>
      </c>
      <c r="K31" s="30">
        <f t="shared" si="14"/>
        <v>6.1486747888771687</v>
      </c>
      <c r="L31" s="30">
        <f t="shared" si="14"/>
        <v>3.7948957390990723E-4</v>
      </c>
      <c r="M31" s="30">
        <f t="shared" si="14"/>
        <v>3.414935539918772E-3</v>
      </c>
      <c r="O31" s="562"/>
      <c r="P31" s="562"/>
      <c r="Q31" s="4"/>
      <c r="R31" s="4"/>
      <c r="S31" s="4"/>
      <c r="T31" s="4"/>
      <c r="U31" s="4"/>
      <c r="V31" s="4"/>
      <c r="W31" s="5"/>
      <c r="X31" s="4"/>
      <c r="Y31" s="4"/>
      <c r="Z31" s="6"/>
      <c r="AA31" s="6"/>
      <c r="AB31" s="6"/>
      <c r="AC31" s="6"/>
      <c r="AD31" s="6"/>
      <c r="AE31" s="6"/>
      <c r="AF31" s="7"/>
    </row>
    <row r="32" spans="1:32" s="3" customFormat="1" x14ac:dyDescent="0.25">
      <c r="A32" s="137" t="str">
        <f t="shared" si="13"/>
        <v>Drill Rig</v>
      </c>
      <c r="B32" s="36"/>
      <c r="C32" s="20"/>
      <c r="D32" s="1"/>
      <c r="E32" s="30">
        <f t="shared" si="14"/>
        <v>4.6475938839030525E-3</v>
      </c>
      <c r="F32" s="30">
        <f t="shared" si="14"/>
        <v>5.9000065865916718E-2</v>
      </c>
      <c r="G32" s="30">
        <f t="shared" si="14"/>
        <v>4.6873465342156272E-2</v>
      </c>
      <c r="H32" s="30">
        <f t="shared" si="14"/>
        <v>1.1579877890007645E-4</v>
      </c>
      <c r="I32" s="30">
        <f t="shared" si="14"/>
        <v>1.960239961588589E-3</v>
      </c>
      <c r="J32" s="30">
        <f t="shared" si="14"/>
        <v>1.7446135658138442E-3</v>
      </c>
      <c r="K32" s="30">
        <f t="shared" si="14"/>
        <v>9.8715862183020935</v>
      </c>
      <c r="L32" s="30">
        <f t="shared" si="14"/>
        <v>4.3372370661165548E-4</v>
      </c>
      <c r="M32" s="30">
        <f t="shared" si="14"/>
        <v>4.4529792075048459E-3</v>
      </c>
      <c r="O32" s="562"/>
      <c r="P32" s="562"/>
      <c r="Q32" s="4"/>
      <c r="R32" s="4"/>
      <c r="S32" s="4"/>
      <c r="T32" s="4"/>
      <c r="U32" s="4"/>
      <c r="V32" s="4"/>
      <c r="W32" s="5"/>
      <c r="X32" s="4"/>
      <c r="Y32" s="4"/>
      <c r="Z32" s="6"/>
      <c r="AA32" s="6"/>
      <c r="AB32" s="6"/>
      <c r="AC32" s="6"/>
      <c r="AD32" s="6"/>
      <c r="AE32" s="6"/>
      <c r="AF32" s="7"/>
    </row>
    <row r="33" spans="1:32" s="3" customFormat="1" x14ac:dyDescent="0.25">
      <c r="A33" s="137" t="str">
        <f t="shared" si="13"/>
        <v>Air Compressor</v>
      </c>
      <c r="B33" s="36"/>
      <c r="C33" s="20"/>
      <c r="D33" s="1"/>
      <c r="E33" s="30">
        <f t="shared" si="14"/>
        <v>9.5656594155688317E-3</v>
      </c>
      <c r="F33" s="30">
        <f t="shared" si="14"/>
        <v>3.1300767300867588E-2</v>
      </c>
      <c r="G33" s="30">
        <f t="shared" si="14"/>
        <v>2.8550982962405779E-2</v>
      </c>
      <c r="H33" s="30">
        <f t="shared" si="14"/>
        <v>3.6852710651319718E-5</v>
      </c>
      <c r="I33" s="30">
        <f t="shared" si="14"/>
        <v>2.364163190937141E-3</v>
      </c>
      <c r="J33" s="30">
        <f t="shared" si="14"/>
        <v>2.1041052399340555E-3</v>
      </c>
      <c r="K33" s="30">
        <f t="shared" si="14"/>
        <v>2.850721473292523</v>
      </c>
      <c r="L33" s="30">
        <f t="shared" si="14"/>
        <v>8.6309407071642047E-4</v>
      </c>
      <c r="M33" s="30">
        <f t="shared" si="14"/>
        <v>2.7123433814285488E-3</v>
      </c>
      <c r="O33" s="562"/>
      <c r="P33" s="562"/>
      <c r="Q33" s="4"/>
      <c r="R33" s="4"/>
      <c r="S33" s="4"/>
      <c r="T33" s="4"/>
      <c r="U33" s="4"/>
      <c r="V33" s="4"/>
      <c r="W33" s="5"/>
      <c r="X33" s="4"/>
      <c r="Y33" s="4"/>
      <c r="Z33" s="6"/>
      <c r="AA33" s="6"/>
      <c r="AB33" s="6"/>
      <c r="AC33" s="6"/>
      <c r="AD33" s="6"/>
      <c r="AE33" s="6"/>
      <c r="AF33" s="7"/>
    </row>
    <row r="34" spans="1:32" s="3" customFormat="1" x14ac:dyDescent="0.25">
      <c r="A34" s="137" t="str">
        <f t="shared" si="13"/>
        <v>Boom Truck</v>
      </c>
      <c r="B34" s="36"/>
      <c r="C34" s="20"/>
      <c r="D34" s="1"/>
      <c r="E34" s="30">
        <f t="shared" si="14"/>
        <v>3.848739925060741E-3</v>
      </c>
      <c r="F34" s="30">
        <f t="shared" si="14"/>
        <v>1.2072462786449573E-2</v>
      </c>
      <c r="G34" s="30">
        <f t="shared" si="14"/>
        <v>3.0318487646108262E-2</v>
      </c>
      <c r="H34" s="30">
        <f t="shared" si="14"/>
        <v>5.9965483290029272E-5</v>
      </c>
      <c r="I34" s="30">
        <f t="shared" si="14"/>
        <v>1.0009196175231852E-3</v>
      </c>
      <c r="J34" s="30">
        <f t="shared" si="14"/>
        <v>8.9081845959563481E-4</v>
      </c>
      <c r="K34" s="30">
        <f t="shared" si="14"/>
        <v>5.3294526347027791</v>
      </c>
      <c r="L34" s="30">
        <f t="shared" si="14"/>
        <v>3.6135441340382347E-4</v>
      </c>
      <c r="M34" s="30">
        <f t="shared" si="14"/>
        <v>2.8802563263802851E-3</v>
      </c>
      <c r="O34" s="562"/>
      <c r="P34" s="562"/>
      <c r="Q34" s="4"/>
      <c r="R34" s="4"/>
      <c r="S34" s="4"/>
      <c r="T34" s="4"/>
      <c r="U34" s="4"/>
      <c r="V34" s="4"/>
      <c r="W34" s="5"/>
      <c r="X34" s="4"/>
      <c r="Y34" s="4"/>
      <c r="Z34" s="6"/>
      <c r="AA34" s="6"/>
      <c r="AB34" s="6"/>
      <c r="AC34" s="6"/>
      <c r="AD34" s="6"/>
      <c r="AE34" s="6"/>
      <c r="AF34" s="7"/>
    </row>
    <row r="35" spans="1:32" s="3" customFormat="1" x14ac:dyDescent="0.25">
      <c r="A35" s="12" t="str">
        <f t="shared" si="13"/>
        <v>Subtotal</v>
      </c>
      <c r="B35" s="36"/>
      <c r="C35" s="20"/>
      <c r="D35" s="1"/>
      <c r="E35" s="24">
        <f t="shared" ref="E35:M35" si="15">SUM(E30:E34)</f>
        <v>2.3056948492740859E-2</v>
      </c>
      <c r="F35" s="24">
        <f t="shared" si="15"/>
        <v>0.11856404017402189</v>
      </c>
      <c r="G35" s="24">
        <f t="shared" si="15"/>
        <v>0.14923908902592048</v>
      </c>
      <c r="H35" s="24">
        <f t="shared" si="15"/>
        <v>2.9679148348400985E-4</v>
      </c>
      <c r="I35" s="24">
        <f t="shared" si="15"/>
        <v>6.7364217307062067E-3</v>
      </c>
      <c r="J35" s="24">
        <f t="shared" si="15"/>
        <v>5.9954153403285236E-3</v>
      </c>
      <c r="K35" s="24">
        <f t="shared" si="15"/>
        <v>25.532798273850258</v>
      </c>
      <c r="L35" s="24">
        <f t="shared" si="15"/>
        <v>2.1280003679927627E-3</v>
      </c>
      <c r="M35" s="24">
        <f t="shared" si="15"/>
        <v>1.4177713457462444E-2</v>
      </c>
      <c r="O35" s="562"/>
      <c r="P35" s="562"/>
      <c r="Q35" s="4"/>
      <c r="R35" s="4"/>
      <c r="S35" s="4"/>
      <c r="T35" s="4"/>
      <c r="U35" s="4"/>
      <c r="V35" s="4"/>
      <c r="W35" s="5"/>
      <c r="X35" s="4"/>
      <c r="Y35" s="4"/>
      <c r="Z35" s="6"/>
      <c r="AA35" s="6"/>
      <c r="AB35" s="6"/>
      <c r="AC35" s="6"/>
      <c r="AD35" s="6"/>
      <c r="AE35" s="6"/>
      <c r="AF35" s="7"/>
    </row>
    <row r="36" spans="1:32" s="3" customFormat="1" x14ac:dyDescent="0.25">
      <c r="A36" s="137"/>
      <c r="B36" s="36"/>
      <c r="C36" s="20"/>
      <c r="D36" s="1"/>
      <c r="E36" s="30"/>
      <c r="F36" s="30"/>
      <c r="G36" s="30"/>
      <c r="H36" s="30"/>
      <c r="I36" s="30"/>
      <c r="J36" s="30"/>
      <c r="K36" s="30"/>
      <c r="L36" s="30"/>
      <c r="M36" s="30"/>
      <c r="O36" s="562"/>
      <c r="P36" s="562"/>
      <c r="Q36" s="4"/>
      <c r="R36" s="4"/>
      <c r="S36" s="4"/>
      <c r="T36" s="4"/>
      <c r="U36" s="4"/>
      <c r="V36" s="4"/>
      <c r="W36" s="5"/>
      <c r="X36" s="4"/>
      <c r="Y36" s="4"/>
      <c r="Z36" s="6"/>
      <c r="AA36" s="6"/>
      <c r="AB36" s="6"/>
      <c r="AC36" s="6"/>
      <c r="AD36" s="6"/>
      <c r="AE36" s="6"/>
      <c r="AF36" s="7"/>
    </row>
    <row r="37" spans="1:32" s="3" customFormat="1" x14ac:dyDescent="0.25">
      <c r="A37" s="12" t="str">
        <f>A15</f>
        <v>Set Poles</v>
      </c>
      <c r="B37" s="36"/>
      <c r="C37" s="20"/>
      <c r="D37" s="1"/>
      <c r="E37" s="30"/>
      <c r="F37" s="30"/>
      <c r="G37" s="30"/>
      <c r="H37" s="30"/>
      <c r="I37" s="30"/>
      <c r="J37" s="30"/>
      <c r="K37" s="30"/>
      <c r="L37" s="30"/>
      <c r="M37" s="30"/>
      <c r="O37" s="562"/>
      <c r="P37" s="562"/>
      <c r="Q37" s="4"/>
      <c r="R37" s="4"/>
      <c r="S37" s="4"/>
      <c r="T37" s="4"/>
      <c r="U37" s="4"/>
      <c r="V37" s="4"/>
      <c r="W37" s="5"/>
      <c r="X37" s="4"/>
      <c r="Y37" s="4"/>
      <c r="Z37" s="6"/>
      <c r="AA37" s="6"/>
      <c r="AB37" s="6"/>
      <c r="AC37" s="6"/>
      <c r="AD37" s="6"/>
      <c r="AE37" s="6"/>
      <c r="AF37" s="7"/>
    </row>
    <row r="38" spans="1:32" s="3" customFormat="1" x14ac:dyDescent="0.25">
      <c r="A38" s="137" t="str">
        <f>A16</f>
        <v>Boom Truck</v>
      </c>
      <c r="B38" s="36"/>
      <c r="C38" s="20"/>
      <c r="D38" s="1"/>
      <c r="E38" s="30">
        <f t="shared" ref="E38:M40" si="16">(Q16*$P16)/2000</f>
        <v>2.1649162078466668E-3</v>
      </c>
      <c r="F38" s="30">
        <f t="shared" si="16"/>
        <v>6.7907603173778842E-3</v>
      </c>
      <c r="G38" s="30">
        <f t="shared" si="16"/>
        <v>1.7054149300935899E-2</v>
      </c>
      <c r="H38" s="30">
        <f t="shared" si="16"/>
        <v>3.3730584350641467E-5</v>
      </c>
      <c r="I38" s="30">
        <f t="shared" si="16"/>
        <v>5.6301728485679155E-4</v>
      </c>
      <c r="J38" s="30">
        <f t="shared" si="16"/>
        <v>5.0108538352254463E-4</v>
      </c>
      <c r="K38" s="30">
        <f t="shared" si="16"/>
        <v>2.9978171070203135</v>
      </c>
      <c r="L38" s="30">
        <f t="shared" si="16"/>
        <v>2.0326185753965066E-4</v>
      </c>
      <c r="M38" s="30">
        <f t="shared" si="16"/>
        <v>1.6201441835889104E-3</v>
      </c>
      <c r="O38" s="562"/>
      <c r="P38" s="562"/>
      <c r="Q38" s="4"/>
      <c r="R38" s="4"/>
      <c r="S38" s="4"/>
      <c r="T38" s="4"/>
      <c r="U38" s="4"/>
      <c r="V38" s="4"/>
      <c r="W38" s="5"/>
      <c r="X38" s="4"/>
      <c r="Y38" s="4"/>
      <c r="Z38" s="6"/>
      <c r="AA38" s="6"/>
      <c r="AB38" s="6"/>
      <c r="AC38" s="6"/>
      <c r="AD38" s="6"/>
      <c r="AE38" s="6"/>
      <c r="AF38" s="7"/>
    </row>
    <row r="39" spans="1:32" s="3" customFormat="1" x14ac:dyDescent="0.25">
      <c r="A39" s="137" t="str">
        <f>A17</f>
        <v>Bucket Truck</v>
      </c>
      <c r="B39" s="36"/>
      <c r="C39" s="20"/>
      <c r="D39" s="1"/>
      <c r="E39" s="30">
        <f t="shared" si="16"/>
        <v>2.1401106522911115E-3</v>
      </c>
      <c r="F39" s="30">
        <f t="shared" si="16"/>
        <v>6.3300857142032825E-3</v>
      </c>
      <c r="G39" s="30">
        <f t="shared" si="16"/>
        <v>1.6788375491412089E-2</v>
      </c>
      <c r="H39" s="30">
        <f t="shared" si="16"/>
        <v>3.3730584350641467E-5</v>
      </c>
      <c r="I39" s="30">
        <f t="shared" si="16"/>
        <v>5.6035954676155353E-4</v>
      </c>
      <c r="J39" s="30">
        <f t="shared" si="16"/>
        <v>4.9871999661778266E-4</v>
      </c>
      <c r="K39" s="30">
        <f t="shared" si="16"/>
        <v>2.9978171070203135</v>
      </c>
      <c r="L39" s="30">
        <f t="shared" si="16"/>
        <v>2.0326185753965066E-4</v>
      </c>
      <c r="M39" s="30">
        <f t="shared" si="16"/>
        <v>1.5948956716841484E-3</v>
      </c>
      <c r="O39" s="562"/>
      <c r="P39" s="562"/>
      <c r="Q39" s="4"/>
      <c r="R39" s="4"/>
      <c r="S39" s="4"/>
      <c r="T39" s="4"/>
      <c r="U39" s="4"/>
      <c r="V39" s="4"/>
      <c r="W39" s="5"/>
      <c r="X39" s="4"/>
      <c r="Y39" s="4"/>
      <c r="Z39" s="6"/>
      <c r="AA39" s="6"/>
      <c r="AB39" s="6"/>
      <c r="AC39" s="6"/>
      <c r="AD39" s="6"/>
      <c r="AE39" s="6"/>
      <c r="AF39" s="7"/>
    </row>
    <row r="40" spans="1:32" s="3" customFormat="1" x14ac:dyDescent="0.25">
      <c r="A40" s="137" t="str">
        <f>A18</f>
        <v>Water Truck</v>
      </c>
      <c r="B40" s="36"/>
      <c r="C40" s="20"/>
      <c r="D40" s="1"/>
      <c r="E40" s="30">
        <f t="shared" si="16"/>
        <v>9.5937016645037049E-4</v>
      </c>
      <c r="F40" s="30">
        <f t="shared" si="16"/>
        <v>2.9658405643372614E-3</v>
      </c>
      <c r="G40" s="30">
        <f t="shared" si="16"/>
        <v>7.5494631813683355E-3</v>
      </c>
      <c r="H40" s="30">
        <f t="shared" si="16"/>
        <v>1.4991370822507318E-5</v>
      </c>
      <c r="I40" s="30">
        <f t="shared" si="16"/>
        <v>2.4992831707920898E-4</v>
      </c>
      <c r="J40" s="30">
        <f t="shared" si="16"/>
        <v>2.2243620220049602E-4</v>
      </c>
      <c r="K40" s="30">
        <f t="shared" si="16"/>
        <v>1.3323631586756948</v>
      </c>
      <c r="L40" s="30">
        <f t="shared" si="16"/>
        <v>9.0338603350955868E-5</v>
      </c>
      <c r="M40" s="30">
        <f t="shared" si="16"/>
        <v>7.1719900222999187E-4</v>
      </c>
      <c r="O40" s="562"/>
      <c r="P40" s="562"/>
      <c r="Q40" s="4"/>
      <c r="R40" s="4"/>
      <c r="S40" s="4"/>
      <c r="T40" s="4"/>
      <c r="U40" s="4"/>
      <c r="V40" s="4"/>
      <c r="W40" s="5"/>
      <c r="X40" s="4"/>
      <c r="Y40" s="4"/>
      <c r="Z40" s="6"/>
      <c r="AA40" s="6"/>
      <c r="AB40" s="6"/>
      <c r="AC40" s="6"/>
      <c r="AD40" s="6"/>
      <c r="AE40" s="6"/>
      <c r="AF40" s="7"/>
    </row>
    <row r="41" spans="1:32" s="3" customFormat="1" x14ac:dyDescent="0.25">
      <c r="A41" s="12" t="str">
        <f t="shared" ref="A41" si="17">A19</f>
        <v>Subtotal</v>
      </c>
      <c r="B41" s="36"/>
      <c r="C41" s="20"/>
      <c r="D41" s="1"/>
      <c r="E41" s="24">
        <f t="shared" ref="E41:M41" si="18">SUM(E38:E40)</f>
        <v>5.2643970265881489E-3</v>
      </c>
      <c r="F41" s="24">
        <f t="shared" si="18"/>
        <v>1.6086686595918429E-2</v>
      </c>
      <c r="G41" s="24">
        <f t="shared" si="18"/>
        <v>4.1391987973716328E-2</v>
      </c>
      <c r="H41" s="24">
        <f t="shared" si="18"/>
        <v>8.2452539523790257E-5</v>
      </c>
      <c r="I41" s="24">
        <f t="shared" si="18"/>
        <v>1.3733051486975541E-3</v>
      </c>
      <c r="J41" s="24">
        <f t="shared" si="18"/>
        <v>1.2222415823408233E-3</v>
      </c>
      <c r="K41" s="24">
        <f t="shared" si="18"/>
        <v>7.3279973727163217</v>
      </c>
      <c r="L41" s="24">
        <f t="shared" si="18"/>
        <v>4.9686231843025725E-4</v>
      </c>
      <c r="M41" s="24">
        <f t="shared" si="18"/>
        <v>3.9322388575030506E-3</v>
      </c>
      <c r="O41" s="562"/>
      <c r="P41" s="562"/>
      <c r="Q41" s="4"/>
      <c r="R41" s="4"/>
      <c r="S41" s="4"/>
      <c r="T41" s="4"/>
      <c r="U41" s="4"/>
      <c r="V41" s="4"/>
      <c r="W41" s="5"/>
      <c r="X41" s="4"/>
      <c r="Y41" s="4"/>
      <c r="Z41" s="6"/>
      <c r="AA41" s="6"/>
      <c r="AB41" s="6"/>
      <c r="AC41" s="6"/>
      <c r="AD41" s="6"/>
      <c r="AE41" s="6"/>
      <c r="AF41" s="7"/>
    </row>
    <row r="42" spans="1:32" s="3" customFormat="1" x14ac:dyDescent="0.25">
      <c r="A42" s="137"/>
      <c r="B42" s="36"/>
      <c r="C42" s="20"/>
      <c r="D42" s="1"/>
      <c r="E42" s="30"/>
      <c r="F42" s="30"/>
      <c r="G42" s="30"/>
      <c r="H42" s="30"/>
      <c r="I42" s="30"/>
      <c r="J42" s="30"/>
      <c r="K42" s="30"/>
      <c r="L42" s="30"/>
      <c r="M42" s="30"/>
      <c r="O42" s="562"/>
      <c r="P42" s="562"/>
      <c r="Q42" s="4"/>
      <c r="R42" s="4"/>
      <c r="S42" s="4"/>
      <c r="T42" s="4"/>
      <c r="U42" s="4"/>
      <c r="V42" s="4"/>
      <c r="W42" s="5"/>
      <c r="X42" s="4"/>
      <c r="Y42" s="4"/>
      <c r="Z42" s="6"/>
      <c r="AA42" s="6"/>
      <c r="AB42" s="6"/>
      <c r="AC42" s="6"/>
      <c r="AD42" s="6"/>
      <c r="AE42" s="6"/>
      <c r="AF42" s="7"/>
    </row>
    <row r="43" spans="1:32" s="3" customFormat="1" x14ac:dyDescent="0.25">
      <c r="A43" s="12" t="str">
        <f>A21</f>
        <v>Stringing Conductor</v>
      </c>
      <c r="B43" s="36"/>
      <c r="C43" s="20"/>
      <c r="D43" s="1"/>
      <c r="E43" s="30"/>
      <c r="F43" s="30"/>
      <c r="G43" s="30"/>
      <c r="H43" s="30"/>
      <c r="I43" s="30"/>
      <c r="J43" s="30"/>
      <c r="K43" s="30"/>
      <c r="L43" s="30"/>
      <c r="M43" s="30"/>
      <c r="O43" s="562"/>
      <c r="P43" s="562"/>
      <c r="Q43" s="4"/>
      <c r="R43" s="4"/>
      <c r="S43" s="4"/>
      <c r="T43" s="4"/>
      <c r="U43" s="4"/>
      <c r="V43" s="4"/>
      <c r="W43" s="5"/>
      <c r="X43" s="4"/>
      <c r="Y43" s="4"/>
      <c r="Z43" s="6"/>
      <c r="AA43" s="6"/>
      <c r="AB43" s="6"/>
      <c r="AC43" s="6"/>
      <c r="AD43" s="6"/>
      <c r="AE43" s="6"/>
      <c r="AF43" s="7"/>
    </row>
    <row r="44" spans="1:32" s="3" customFormat="1" x14ac:dyDescent="0.25">
      <c r="A44" s="137" t="str">
        <f>A22</f>
        <v>Puller and Tensioner</v>
      </c>
      <c r="B44" s="36"/>
      <c r="C44" s="20"/>
      <c r="D44" s="1"/>
      <c r="E44" s="30">
        <f t="shared" ref="E44:M46" si="19">(Q22*$P22)/2000</f>
        <v>2.2742748689492998E-3</v>
      </c>
      <c r="F44" s="30">
        <f t="shared" si="19"/>
        <v>9.1365730526514529E-3</v>
      </c>
      <c r="G44" s="30">
        <f t="shared" si="19"/>
        <v>2.0666717185401577E-2</v>
      </c>
      <c r="H44" s="30">
        <f t="shared" si="19"/>
        <v>4.491782326270563E-5</v>
      </c>
      <c r="I44" s="30">
        <f t="shared" si="19"/>
        <v>6.770494465358428E-4</v>
      </c>
      <c r="J44" s="30">
        <f t="shared" si="19"/>
        <v>6.0257400741690003E-4</v>
      </c>
      <c r="K44" s="30">
        <f t="shared" si="19"/>
        <v>4.5762938228493102</v>
      </c>
      <c r="L44" s="30">
        <f t="shared" si="19"/>
        <v>2.1268015242401211E-4</v>
      </c>
      <c r="M44" s="30">
        <f t="shared" si="19"/>
        <v>1.9633381326131499E-3</v>
      </c>
      <c r="O44" s="562"/>
      <c r="P44" s="562"/>
      <c r="Q44" s="4"/>
      <c r="R44" s="4"/>
      <c r="S44" s="4"/>
      <c r="T44" s="4"/>
      <c r="U44" s="4"/>
      <c r="V44" s="4"/>
      <c r="W44" s="5"/>
      <c r="X44" s="4"/>
      <c r="Y44" s="4"/>
      <c r="Z44" s="6"/>
      <c r="AA44" s="6"/>
      <c r="AB44" s="6"/>
      <c r="AC44" s="6"/>
      <c r="AD44" s="6"/>
      <c r="AE44" s="6"/>
      <c r="AF44" s="7"/>
    </row>
    <row r="45" spans="1:32" s="3" customFormat="1" x14ac:dyDescent="0.25">
      <c r="A45" s="137" t="str">
        <f>A23</f>
        <v>Reel Trailer</v>
      </c>
      <c r="B45" s="36"/>
      <c r="C45" s="20"/>
      <c r="D45" s="1"/>
      <c r="E45" s="30">
        <f t="shared" si="19"/>
        <v>2.2742748689492998E-3</v>
      </c>
      <c r="F45" s="30">
        <f t="shared" si="19"/>
        <v>9.1365730526514529E-3</v>
      </c>
      <c r="G45" s="30">
        <f t="shared" si="19"/>
        <v>2.0666717185401577E-2</v>
      </c>
      <c r="H45" s="30">
        <f t="shared" si="19"/>
        <v>4.491782326270563E-5</v>
      </c>
      <c r="I45" s="30">
        <f t="shared" si="19"/>
        <v>6.770494465358428E-4</v>
      </c>
      <c r="J45" s="30">
        <f t="shared" si="19"/>
        <v>6.0257400741690003E-4</v>
      </c>
      <c r="K45" s="30">
        <f t="shared" si="19"/>
        <v>4.5762938228493102</v>
      </c>
      <c r="L45" s="30">
        <f t="shared" si="19"/>
        <v>2.1268015242401211E-4</v>
      </c>
      <c r="M45" s="30">
        <f t="shared" si="19"/>
        <v>1.9633381326131499E-3</v>
      </c>
      <c r="O45" s="562"/>
      <c r="P45" s="562"/>
      <c r="Q45" s="4"/>
      <c r="R45" s="4"/>
      <c r="S45" s="4"/>
      <c r="T45" s="4"/>
      <c r="U45" s="4"/>
      <c r="V45" s="4"/>
      <c r="W45" s="5"/>
      <c r="X45" s="4"/>
      <c r="Y45" s="4"/>
      <c r="Z45" s="6"/>
      <c r="AA45" s="6"/>
      <c r="AB45" s="6"/>
      <c r="AC45" s="6"/>
      <c r="AD45" s="6"/>
      <c r="AE45" s="6"/>
      <c r="AF45" s="7"/>
    </row>
    <row r="46" spans="1:32" s="3" customFormat="1" x14ac:dyDescent="0.25">
      <c r="A46" s="137" t="str">
        <f>A24</f>
        <v>Bucket Truck</v>
      </c>
      <c r="B46" s="36"/>
      <c r="C46" s="20"/>
      <c r="D46" s="1"/>
      <c r="E46" s="30">
        <f t="shared" si="19"/>
        <v>8.560442609164446E-3</v>
      </c>
      <c r="F46" s="30">
        <f t="shared" si="19"/>
        <v>2.532034285681313E-2</v>
      </c>
      <c r="G46" s="30">
        <f t="shared" si="19"/>
        <v>6.7153501965648357E-2</v>
      </c>
      <c r="H46" s="30">
        <f t="shared" si="19"/>
        <v>1.3492233740256587E-4</v>
      </c>
      <c r="I46" s="30">
        <f t="shared" si="19"/>
        <v>2.2414381870462141E-3</v>
      </c>
      <c r="J46" s="30">
        <f t="shared" si="19"/>
        <v>1.9948799864711307E-3</v>
      </c>
      <c r="K46" s="30">
        <f t="shared" si="19"/>
        <v>11.991268428081254</v>
      </c>
      <c r="L46" s="30">
        <f t="shared" si="19"/>
        <v>8.1304743015860265E-4</v>
      </c>
      <c r="M46" s="30">
        <f t="shared" si="19"/>
        <v>6.3795826867365938E-3</v>
      </c>
      <c r="O46" s="562"/>
      <c r="P46" s="562"/>
      <c r="Q46" s="4"/>
      <c r="R46" s="4"/>
      <c r="S46" s="4"/>
      <c r="T46" s="4"/>
      <c r="U46" s="4"/>
      <c r="V46" s="4"/>
      <c r="W46" s="5"/>
      <c r="X46" s="4"/>
      <c r="Y46" s="4"/>
      <c r="Z46" s="6"/>
      <c r="AA46" s="6"/>
      <c r="AB46" s="6"/>
      <c r="AC46" s="6"/>
      <c r="AD46" s="6"/>
      <c r="AE46" s="6"/>
      <c r="AF46" s="7"/>
    </row>
    <row r="47" spans="1:32" s="3" customFormat="1" x14ac:dyDescent="0.25">
      <c r="A47" s="12" t="str">
        <f t="shared" ref="A47" si="20">A25</f>
        <v>Subtotal</v>
      </c>
      <c r="B47" s="36"/>
      <c r="C47" s="20"/>
      <c r="D47" s="1"/>
      <c r="E47" s="24">
        <f t="shared" ref="E47:M47" si="21">SUM(E44:E46)</f>
        <v>1.3108992347063045E-2</v>
      </c>
      <c r="F47" s="24">
        <f t="shared" si="21"/>
        <v>4.3593488962116039E-2</v>
      </c>
      <c r="G47" s="24">
        <f t="shared" si="21"/>
        <v>0.10848693633645151</v>
      </c>
      <c r="H47" s="24">
        <f t="shared" si="21"/>
        <v>2.2475798392797714E-4</v>
      </c>
      <c r="I47" s="24">
        <f t="shared" si="21"/>
        <v>3.5955370801178995E-3</v>
      </c>
      <c r="J47" s="24">
        <f t="shared" si="21"/>
        <v>3.2000280013049307E-3</v>
      </c>
      <c r="K47" s="24">
        <f t="shared" si="21"/>
        <v>21.143856073779872</v>
      </c>
      <c r="L47" s="24">
        <f t="shared" si="21"/>
        <v>1.2384077350066269E-3</v>
      </c>
      <c r="M47" s="24">
        <f t="shared" si="21"/>
        <v>1.0306258951962893E-2</v>
      </c>
      <c r="O47" s="562"/>
      <c r="P47" s="562"/>
      <c r="Q47" s="4"/>
      <c r="R47" s="4"/>
      <c r="S47" s="4"/>
      <c r="T47" s="4"/>
      <c r="U47" s="4"/>
      <c r="V47" s="4"/>
      <c r="W47" s="5"/>
      <c r="X47" s="4"/>
      <c r="Y47" s="4"/>
      <c r="Z47" s="6"/>
      <c r="AA47" s="6"/>
      <c r="AB47" s="6"/>
      <c r="AC47" s="6"/>
      <c r="AD47" s="6"/>
      <c r="AE47" s="6"/>
      <c r="AF47" s="7"/>
    </row>
    <row r="48" spans="1:32" x14ac:dyDescent="0.25">
      <c r="A48" s="19" t="s">
        <v>117</v>
      </c>
      <c r="B48" s="560"/>
      <c r="C48" s="560"/>
      <c r="E48" s="22">
        <f t="shared" ref="E48:M48" si="22">E35+E41+E47</f>
        <v>4.1430337866392053E-2</v>
      </c>
      <c r="F48" s="22">
        <f t="shared" si="22"/>
        <v>0.17824421573205637</v>
      </c>
      <c r="G48" s="22">
        <f t="shared" si="22"/>
        <v>0.29911801333608834</v>
      </c>
      <c r="H48" s="22">
        <f t="shared" si="22"/>
        <v>6.0400200693577722E-4</v>
      </c>
      <c r="I48" s="22">
        <f t="shared" si="22"/>
        <v>1.1705263959521661E-2</v>
      </c>
      <c r="J48" s="22">
        <f t="shared" si="22"/>
        <v>1.0417684923974277E-2</v>
      </c>
      <c r="K48" s="22">
        <f t="shared" si="22"/>
        <v>54.004651720346452</v>
      </c>
      <c r="L48" s="22">
        <f t="shared" si="22"/>
        <v>3.8632704214296466E-3</v>
      </c>
      <c r="M48" s="22">
        <f t="shared" si="22"/>
        <v>2.8416211266928389E-2</v>
      </c>
    </row>
  </sheetData>
  <mergeCells count="3">
    <mergeCell ref="E3:L3"/>
    <mergeCell ref="Q3:X3"/>
    <mergeCell ref="E27:L27"/>
  </mergeCells>
  <pageMargins left="0.75" right="0.75" top="1" bottom="1" header="0.5" footer="0.5"/>
  <pageSetup scale="47" orientation="landscape" r:id="rId1"/>
  <headerFooter alignWithMargins="0">
    <oddHeader xml:space="preserve">&amp;CTable A-2
Construction Heavy Equipment Emissions
South Orange County Reliability Project
Construct Foundations - 12 kV Distribution Circuits
</oddHeader>
    <oddFooter>&amp;CA-2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80"/>
  <sheetViews>
    <sheetView zoomScale="75" zoomScaleNormal="75" workbookViewId="0">
      <selection activeCell="E180" sqref="E180"/>
    </sheetView>
  </sheetViews>
  <sheetFormatPr defaultColWidth="9.109375" defaultRowHeight="13.2" x14ac:dyDescent="0.25"/>
  <cols>
    <col min="1" max="1" width="55.33203125" style="562" customWidth="1"/>
    <col min="2" max="2" width="9.109375" style="1"/>
    <col min="3" max="3" width="7.33203125" style="573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style="562" customWidth="1"/>
    <col min="16" max="16" width="8.44140625" style="562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  <col min="33" max="16384" width="9.109375" style="562"/>
  </cols>
  <sheetData>
    <row r="2" spans="1:25" x14ac:dyDescent="0.25">
      <c r="A2" s="581" t="s">
        <v>624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554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577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13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13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591</v>
      </c>
      <c r="B7" s="34">
        <v>2015</v>
      </c>
      <c r="C7" s="134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579</v>
      </c>
      <c r="B8" s="34">
        <v>2015</v>
      </c>
      <c r="C8" s="134">
        <v>81</v>
      </c>
      <c r="D8" s="134">
        <v>0.73</v>
      </c>
      <c r="E8" s="546">
        <f>VLOOKUP($A8,EFROGS!$A$1:$J$44,(IF($B8=2015,4,IF($B8=2016,5,IF($B8=2017,6,IF($B8=2018,7,IF($B8=2019,8,IF($B8=2020,9,0))))))),FALSE)</f>
        <v>8.6112792503162949E-2</v>
      </c>
      <c r="F8" s="546">
        <f>VLOOKUP($A8,EFCOS!$A$1:$J$44,(IF($B8=2015,4,IF($B8=2016,5,IF($B8=2017,6,IF($B8=2018,7,IF($B8=2019,8,IF($B8=2020,9,0))))))),FALSE)</f>
        <v>0.47768471513224703</v>
      </c>
      <c r="G8" s="546">
        <f>VLOOKUP($A8,EFNOXS!$A$1:$J$44,(IF($B8=2015,4,IF($B8=2016,5,IF($B8=2017,6,IF($B8=2018,7,IF($B8=2019,8,IF($B8=2020,9,0))))))),FALSE)</f>
        <v>0.60837305944613218</v>
      </c>
      <c r="H8" s="546">
        <f>VLOOKUP($A8,EFSOXS!$A$1:$J$44,(IF($B8=2015,4,IF($B8=2016,5,IF($B8=2017,6,IF($B8=2018,7,IF($B8=2019,8,IF($B8=2020,9,0))))))),FALSE)</f>
        <v>8.6981465614259827E-4</v>
      </c>
      <c r="I8" s="546">
        <f>VLOOKUP($A8,EFPMS!$A$1:$J$44,(IF($B8=2015,4,IF($B8=2016,5,IF($B8=2017,6,IF($B8=2018,7,IF($B8=2019,8,IF($B8=2020,9,0))))))),FALSE)</f>
        <v>4.6360889612910072E-2</v>
      </c>
      <c r="J8" s="536">
        <f t="shared" ref="J8:J19" si="0">0.89*I8</f>
        <v>4.1261191755489965E-2</v>
      </c>
      <c r="K8" s="549">
        <f>VLOOKUP($A8,EFCO2S!$A$1:$J$44,(IF($B8=2015,4,IF($B8=2016,5,IF($B8=2017,6,IF($B8=2018,7,IF($B8=2019,8,IF($B8=2020,9,0))))))),FALSE)</f>
        <v>74.149777594362092</v>
      </c>
      <c r="L8" s="546">
        <f>VLOOKUP($A8,EFCH4S!$A$1:$J$44,(IF($B8=2015,4,IF($B8=2016,5,IF($B8=2017,6,IF($B8=2018,7,IF($B8=2019,8,IF($B8=2020,9,0))))))),FALSE)</f>
        <v>8.0478710667049036E-3</v>
      </c>
      <c r="M8" s="540">
        <f t="shared" ref="M8:M19" si="1">0.095*G8</f>
        <v>5.7795440647382561E-2</v>
      </c>
      <c r="N8" s="135">
        <v>1</v>
      </c>
      <c r="O8" s="109">
        <v>8</v>
      </c>
      <c r="P8" s="109">
        <v>612.48</v>
      </c>
      <c r="Q8" s="39">
        <f t="shared" ref="Q8:Y19" si="2">(E8*$N8*$O8)</f>
        <v>0.68890234002530359</v>
      </c>
      <c r="R8" s="29">
        <f t="shared" si="2"/>
        <v>3.8214777210579762</v>
      </c>
      <c r="S8" s="29">
        <f t="shared" si="2"/>
        <v>4.8669844755690574</v>
      </c>
      <c r="T8" s="29">
        <f t="shared" si="2"/>
        <v>6.9585172491407861E-3</v>
      </c>
      <c r="U8" s="29">
        <f t="shared" si="2"/>
        <v>0.37088711690328058</v>
      </c>
      <c r="V8" s="29">
        <f t="shared" si="2"/>
        <v>0.33008953404391972</v>
      </c>
      <c r="W8" s="29">
        <f t="shared" si="2"/>
        <v>593.19822075489674</v>
      </c>
      <c r="X8" s="29">
        <f t="shared" si="2"/>
        <v>6.4382968533639229E-2</v>
      </c>
      <c r="Y8" s="29">
        <f t="shared" si="2"/>
        <v>0.46236352517906049</v>
      </c>
    </row>
    <row r="9" spans="1:25" s="3" customFormat="1" x14ac:dyDescent="0.25">
      <c r="A9" s="37" t="s">
        <v>62</v>
      </c>
      <c r="B9" s="34">
        <v>2015</v>
      </c>
      <c r="C9" s="134">
        <v>85</v>
      </c>
      <c r="D9" s="134">
        <v>0.36</v>
      </c>
      <c r="E9" s="546">
        <f>VLOOKUP($A9,EFROGS!$A$1:$J$44,(IF($B9=2015,4,IF($B9=2016,5,IF($B9=2017,6,IF($B9=2018,7,IF($B9=2019,8,IF($B9=2020,9,0))))))),FALSE)</f>
        <v>7.9801484832556724E-2</v>
      </c>
      <c r="F9" s="546">
        <f>VLOOKUP($A9,EFCOS!$A$1:$J$44,(IF($B9=2015,4,IF($B9=2016,5,IF($B9=2017,6,IF($B9=2018,7,IF($B9=2019,8,IF($B9=2020,9,0))))))),FALSE)</f>
        <v>0.40100742191945721</v>
      </c>
      <c r="G9" s="546">
        <f>VLOOKUP($A9,EFNOXS!$A$1:$J$44,(IF($B9=2015,4,IF($B9=2016,5,IF($B9=2017,6,IF($B9=2018,7,IF($B9=2019,8,IF($B9=2020,9,0))))))),FALSE)</f>
        <v>0.50491905800089187</v>
      </c>
      <c r="H9" s="546">
        <f>VLOOKUP($A9,EFSOXS!$A$1:$J$44,(IF($B9=2015,4,IF($B9=2016,5,IF($B9=2017,6,IF($B9=2018,7,IF($B9=2019,8,IF($B9=2020,9,0))))))),FALSE)</f>
        <v>6.9108572612879135E-4</v>
      </c>
      <c r="I9" s="546">
        <f>VLOOKUP($A9,EFPMS!$A$1:$J$44,(IF($B9=2015,4,IF($B9=2016,5,IF($B9=2017,6,IF($B9=2018,7,IF($B9=2019,8,IF($B9=2020,9,0))))))),FALSE)</f>
        <v>4.0955217982968535E-2</v>
      </c>
      <c r="J9" s="536">
        <f t="shared" si="0"/>
        <v>3.6450144004841999E-2</v>
      </c>
      <c r="K9" s="549">
        <f>VLOOKUP($A9,EFCO2S!$A$1:$J$44,(IF($B9=2015,4,IF($B9=2016,5,IF($B9=2017,6,IF($B9=2018,7,IF($B9=2019,8,IF($B9=2020,9,0))))))),FALSE)</f>
        <v>58.913512015277149</v>
      </c>
      <c r="L9" s="546">
        <f>VLOOKUP($A9,EFCH4S!$A$1:$J$44,(IF($B9=2015,4,IF($B9=2016,5,IF($B9=2017,6,IF($B9=2018,7,IF($B9=2019,8,IF($B9=2020,9,0))))))),FALSE)</f>
        <v>7.5344751889799754E-3</v>
      </c>
      <c r="M9" s="540">
        <f t="shared" si="1"/>
        <v>4.7967310510084731E-2</v>
      </c>
      <c r="N9" s="108">
        <v>2</v>
      </c>
      <c r="O9" s="109">
        <v>8</v>
      </c>
      <c r="P9" s="109">
        <v>1224.96</v>
      </c>
      <c r="Q9" s="39">
        <f t="shared" si="2"/>
        <v>1.2768237573209076</v>
      </c>
      <c r="R9" s="29">
        <f t="shared" si="2"/>
        <v>6.4161187507113153</v>
      </c>
      <c r="S9" s="29">
        <f t="shared" si="2"/>
        <v>8.07870492801427</v>
      </c>
      <c r="T9" s="29">
        <f t="shared" si="2"/>
        <v>1.1057371618060662E-2</v>
      </c>
      <c r="U9" s="29">
        <f t="shared" si="2"/>
        <v>0.65528348772749656</v>
      </c>
      <c r="V9" s="29">
        <f t="shared" si="2"/>
        <v>0.58320230407747198</v>
      </c>
      <c r="W9" s="29">
        <f t="shared" si="2"/>
        <v>942.61619224443439</v>
      </c>
      <c r="X9" s="29">
        <f t="shared" si="2"/>
        <v>0.12055160302367961</v>
      </c>
      <c r="Y9" s="29">
        <f t="shared" si="2"/>
        <v>0.76747696816135569</v>
      </c>
    </row>
    <row r="10" spans="1:25" s="3" customFormat="1" x14ac:dyDescent="0.25">
      <c r="A10" s="27" t="s">
        <v>156</v>
      </c>
      <c r="B10" s="34">
        <v>2015</v>
      </c>
      <c r="C10" s="134">
        <v>37</v>
      </c>
      <c r="D10" s="134">
        <v>0.37</v>
      </c>
      <c r="E10" s="546">
        <f>VLOOKUP($A10,EFROGS!$A$1:$J$44,(IF($B10=2015,4,IF($B10=2016,5,IF($B10=2017,6,IF($B10=2018,7,IF($B10=2019,8,IF($B10=2020,9,0))))))),FALSE)</f>
        <v>3.7835624751667511E-2</v>
      </c>
      <c r="F10" s="546">
        <f>VLOOKUP($A10,EFCOS!$A$1:$J$44,(IF($B10=2015,4,IF($B10=2016,5,IF($B10=2017,6,IF($B10=2018,7,IF($B10=2019,8,IF($B10=2020,9,0))))))),FALSE)</f>
        <v>0.20932457344446903</v>
      </c>
      <c r="G10" s="546">
        <f>VLOOKUP($A10,EFNOXS!$A$1:$J$44,(IF($B10=2015,4,IF($B10=2016,5,IF($B10=2017,6,IF($B10=2018,7,IF($B10=2019,8,IF($B10=2020,9,0))))))),FALSE)</f>
        <v>0.20341030443730182</v>
      </c>
      <c r="H10" s="546">
        <f>VLOOKUP($A10,EFSOXS!$A$1:$J$44,(IF($B10=2015,4,IF($B10=2016,5,IF($B10=2017,6,IF($B10=2018,7,IF($B10=2019,8,IF($B10=2020,9,0))))))),FALSE)</f>
        <v>3.2989898219504352E-4</v>
      </c>
      <c r="I10" s="546">
        <f>VLOOKUP($A10,EFPMS!$A$1:$J$44,(IF($B10=2015,4,IF($B10=2016,5,IF($B10=2017,6,IF($B10=2018,7,IF($B10=2019,8,IF($B10=2020,9,0))))))),FALSE)</f>
        <v>1.1105935287803133E-2</v>
      </c>
      <c r="J10" s="536">
        <f t="shared" si="0"/>
        <v>9.8842824061447891E-3</v>
      </c>
      <c r="K10" s="549">
        <f>VLOOKUP($A10,EFCO2S!$A$1:$J$44,(IF($B10=2015,4,IF($B10=2016,5,IF($B10=2017,6,IF($B10=2018,7,IF($B10=2019,8,IF($B10=2020,9,0))))))),FALSE)</f>
        <v>25.519145338424273</v>
      </c>
      <c r="L10" s="546">
        <f>VLOOKUP($A10,EFCH4S!$A$1:$J$44,(IF($B10=2015,4,IF($B10=2016,5,IF($B10=2017,6,IF($B10=2018,7,IF($B10=2019,8,IF($B10=2020,9,0))))))),FALSE)</f>
        <v>3.413848047070189E-3</v>
      </c>
      <c r="M10" s="540">
        <f t="shared" si="1"/>
        <v>1.9323978921543673E-2</v>
      </c>
      <c r="N10" s="108">
        <v>1</v>
      </c>
      <c r="O10" s="109">
        <v>2</v>
      </c>
      <c r="P10" s="109">
        <v>191.4</v>
      </c>
      <c r="Q10" s="39">
        <f t="shared" si="2"/>
        <v>7.5671249503335022E-2</v>
      </c>
      <c r="R10" s="29">
        <f t="shared" si="2"/>
        <v>0.41864914688893806</v>
      </c>
      <c r="S10" s="29">
        <f t="shared" si="2"/>
        <v>0.40682060887460364</v>
      </c>
      <c r="T10" s="29">
        <f t="shared" si="2"/>
        <v>6.5979796439008705E-4</v>
      </c>
      <c r="U10" s="29">
        <f t="shared" si="2"/>
        <v>2.2211870575606266E-2</v>
      </c>
      <c r="V10" s="29">
        <f t="shared" si="2"/>
        <v>1.9768564812289578E-2</v>
      </c>
      <c r="W10" s="29">
        <f t="shared" si="2"/>
        <v>51.038290676848547</v>
      </c>
      <c r="X10" s="29">
        <f t="shared" si="2"/>
        <v>6.8276960941403781E-3</v>
      </c>
      <c r="Y10" s="29">
        <f t="shared" si="2"/>
        <v>3.8647957843087347E-2</v>
      </c>
    </row>
    <row r="11" spans="1:25" s="3" customFormat="1" x14ac:dyDescent="0.25">
      <c r="A11" s="27" t="s">
        <v>200</v>
      </c>
      <c r="B11" s="34">
        <v>2015</v>
      </c>
      <c r="C11" s="134">
        <v>235</v>
      </c>
      <c r="D11" s="134">
        <v>0.38</v>
      </c>
      <c r="E11" s="546">
        <f>VLOOKUP($A11,EFROGS!$A$1:$J$44,(IF($B11=2015,4,IF($B11=2016,5,IF($B11=2017,6,IF($B11=2018,7,IF($B11=2019,8,IF($B11=2020,9,0))))))),FALSE)</f>
        <v>0.12027312265814816</v>
      </c>
      <c r="F11" s="546">
        <f>VLOOKUP($A11,EFCOS!$A$1:$J$44,(IF($B11=2015,4,IF($B11=2016,5,IF($B11=2017,6,IF($B11=2018,7,IF($B11=2019,8,IF($B11=2020,9,0))))))),FALSE)</f>
        <v>0.37726446207654918</v>
      </c>
      <c r="G11" s="546">
        <f>VLOOKUP($A11,EFNOXS!$A$1:$J$44,(IF($B11=2015,4,IF($B11=2016,5,IF($B11=2017,6,IF($B11=2018,7,IF($B11=2019,8,IF($B11=2020,9,0))))))),FALSE)</f>
        <v>0.94745273894088322</v>
      </c>
      <c r="H11" s="546">
        <f>VLOOKUP($A11,EFSOXS!$A$1:$J$44,(IF($B11=2015,4,IF($B11=2016,5,IF($B11=2017,6,IF($B11=2018,7,IF($B11=2019,8,IF($B11=2020,9,0))))))),FALSE)</f>
        <v>1.8739213528134147E-3</v>
      </c>
      <c r="I11" s="546">
        <f>VLOOKUP($A11,EFPMS!$A$1:$J$44,(IF($B11=2015,4,IF($B11=2016,5,IF($B11=2017,6,IF($B11=2018,7,IF($B11=2019,8,IF($B11=2020,9,0))))))),FALSE)</f>
        <v>3.1278738047599536E-2</v>
      </c>
      <c r="J11" s="536">
        <f t="shared" si="0"/>
        <v>2.7838076862363587E-2</v>
      </c>
      <c r="K11" s="549">
        <f>VLOOKUP($A11,EFCO2S!$A$1:$J$44,(IF($B11=2015,4,IF($B11=2016,5,IF($B11=2017,6,IF($B11=2018,7,IF($B11=2019,8,IF($B11=2020,9,0))))))),FALSE)</f>
        <v>166.54539483446186</v>
      </c>
      <c r="L11" s="546">
        <f>VLOOKUP($A11,EFCH4S!$A$1:$J$44,(IF($B11=2015,4,IF($B11=2016,5,IF($B11=2017,6,IF($B11=2018,7,IF($B11=2019,8,IF($B11=2020,9,0))))))),FALSE)</f>
        <v>1.1292325418869483E-2</v>
      </c>
      <c r="M11" s="540">
        <f t="shared" si="1"/>
        <v>9.0008010199383912E-2</v>
      </c>
      <c r="N11" s="135">
        <v>3</v>
      </c>
      <c r="O11" s="109">
        <v>3</v>
      </c>
      <c r="P11" s="109">
        <v>36</v>
      </c>
      <c r="Q11" s="39">
        <f t="shared" si="2"/>
        <v>1.0824581039233334</v>
      </c>
      <c r="R11" s="29">
        <f t="shared" si="2"/>
        <v>3.3953801586889423</v>
      </c>
      <c r="S11" s="29">
        <f t="shared" si="2"/>
        <v>8.5270746504679487</v>
      </c>
      <c r="T11" s="29">
        <f t="shared" si="2"/>
        <v>1.6865292175320734E-2</v>
      </c>
      <c r="U11" s="29">
        <f t="shared" si="2"/>
        <v>0.28150864242839579</v>
      </c>
      <c r="V11" s="29">
        <f t="shared" si="2"/>
        <v>0.25054269176127231</v>
      </c>
      <c r="W11" s="29">
        <f t="shared" si="2"/>
        <v>1498.9085535101567</v>
      </c>
      <c r="X11" s="29">
        <f t="shared" si="2"/>
        <v>0.10163092876982534</v>
      </c>
      <c r="Y11" s="29">
        <f t="shared" si="2"/>
        <v>0.81007209179445516</v>
      </c>
    </row>
    <row r="12" spans="1:25" s="3" customFormat="1" x14ac:dyDescent="0.25">
      <c r="A12" s="27" t="s">
        <v>199</v>
      </c>
      <c r="B12" s="34">
        <v>2015</v>
      </c>
      <c r="C12" s="134">
        <v>175</v>
      </c>
      <c r="D12" s="134">
        <v>0.38</v>
      </c>
      <c r="E12" s="546">
        <f>VLOOKUP($A12,EFROGS!$A$1:$J$44,(IF($B12=2015,4,IF($B12=2016,5,IF($B12=2017,6,IF($B12=2018,7,IF($B12=2019,8,IF($B12=2020,9,0))))))),FALSE)</f>
        <v>0.11992127080629632</v>
      </c>
      <c r="F12" s="546">
        <f>VLOOKUP($A12,EFCOS!$A$1:$J$44,(IF($B12=2015,4,IF($B12=2016,5,IF($B12=2017,6,IF($B12=2018,7,IF($B12=2019,8,IF($B12=2020,9,0))))))),FALSE)</f>
        <v>0.37073007054215767</v>
      </c>
      <c r="G12" s="546">
        <f>VLOOKUP($A12,EFNOXS!$A$1:$J$44,(IF($B12=2015,4,IF($B12=2016,5,IF($B12=2017,6,IF($B12=2018,7,IF($B12=2019,8,IF($B12=2020,9,0))))))),FALSE)</f>
        <v>0.94368289767104196</v>
      </c>
      <c r="H12" s="546">
        <f>VLOOKUP($A12,EFSOXS!$A$1:$J$44,(IF($B12=2015,4,IF($B12=2016,5,IF($B12=2017,6,IF($B12=2018,7,IF($B12=2019,8,IF($B12=2020,9,0))))))),FALSE)</f>
        <v>1.8739213528134147E-3</v>
      </c>
      <c r="I12" s="546">
        <f>VLOOKUP($A12,EFPMS!$A$1:$J$44,(IF($B12=2015,4,IF($B12=2016,5,IF($B12=2017,6,IF($B12=2018,7,IF($B12=2019,8,IF($B12=2020,9,0))))))),FALSE)</f>
        <v>3.1241039634901123E-2</v>
      </c>
      <c r="J12" s="536">
        <f t="shared" si="0"/>
        <v>2.7804525275062001E-2</v>
      </c>
      <c r="K12" s="549">
        <f>VLOOKUP($A12,EFCO2S!$A$1:$J$44,(IF($B12=2015,4,IF($B12=2016,5,IF($B12=2017,6,IF($B12=2018,7,IF($B12=2019,8,IF($B12=2020,9,0))))))),FALSE)</f>
        <v>166.54539483446186</v>
      </c>
      <c r="L12" s="546">
        <f>VLOOKUP($A12,EFCH4S!$A$1:$J$44,(IF($B12=2015,4,IF($B12=2016,5,IF($B12=2017,6,IF($B12=2018,7,IF($B12=2019,8,IF($B12=2020,9,0))))))),FALSE)</f>
        <v>1.1292325418869483E-2</v>
      </c>
      <c r="M12" s="540">
        <f t="shared" si="1"/>
        <v>8.9649875278748986E-2</v>
      </c>
      <c r="N12" s="135">
        <v>1</v>
      </c>
      <c r="O12" s="109">
        <v>3</v>
      </c>
      <c r="P12" s="109">
        <v>36</v>
      </c>
      <c r="Q12" s="39">
        <f t="shared" si="2"/>
        <v>0.35976381241888894</v>
      </c>
      <c r="R12" s="29">
        <f t="shared" si="2"/>
        <v>1.112190211626473</v>
      </c>
      <c r="S12" s="29">
        <f t="shared" si="2"/>
        <v>2.831048693013126</v>
      </c>
      <c r="T12" s="29">
        <f t="shared" si="2"/>
        <v>5.6217640584402444E-3</v>
      </c>
      <c r="U12" s="29">
        <f t="shared" si="2"/>
        <v>9.3723118904703362E-2</v>
      </c>
      <c r="V12" s="29">
        <f t="shared" si="2"/>
        <v>8.3413575825186007E-2</v>
      </c>
      <c r="W12" s="29">
        <f t="shared" si="2"/>
        <v>499.63618450338561</v>
      </c>
      <c r="X12" s="29">
        <f t="shared" si="2"/>
        <v>3.3876976256608446E-2</v>
      </c>
      <c r="Y12" s="29">
        <f t="shared" si="2"/>
        <v>0.26894962583624693</v>
      </c>
    </row>
    <row r="13" spans="1:25" s="3" customFormat="1" x14ac:dyDescent="0.25">
      <c r="A13" s="27" t="s">
        <v>192</v>
      </c>
      <c r="B13" s="34">
        <v>2015</v>
      </c>
      <c r="C13" s="134">
        <v>45</v>
      </c>
      <c r="D13" s="134">
        <v>0.48</v>
      </c>
      <c r="E13" s="546">
        <f>VLOOKUP($A13,EFROGS!$A$1:$J$44,(IF($B13=2015,4,IF($B13=2016,5,IF($B13=2017,6,IF($B13=2018,7,IF($B13=2019,8,IF($B13=2020,9,0))))))),FALSE)</f>
        <v>7.4731714184131492E-2</v>
      </c>
      <c r="F13" s="546">
        <f>VLOOKUP($A13,EFCOS!$A$1:$J$44,(IF($B13=2015,4,IF($B13=2016,5,IF($B13=2017,6,IF($B13=2018,7,IF($B13=2019,8,IF($B13=2020,9,0))))))),FALSE)</f>
        <v>0.24453724453802805</v>
      </c>
      <c r="G13" s="546">
        <f>VLOOKUP($A13,EFNOXS!$A$1:$J$44,(IF($B13=2015,4,IF($B13=2016,5,IF($B13=2017,6,IF($B13=2018,7,IF($B13=2019,8,IF($B13=2020,9,0))))))),FALSE)</f>
        <v>0.22305455439379515</v>
      </c>
      <c r="H13" s="546">
        <f>VLOOKUP($A13,EFSOXS!$A$1:$J$44,(IF($B13=2015,4,IF($B13=2016,5,IF($B13=2017,6,IF($B13=2018,7,IF($B13=2019,8,IF($B13=2020,9,0))))))),FALSE)</f>
        <v>2.8791180196343529E-4</v>
      </c>
      <c r="I13" s="546">
        <f>VLOOKUP($A13,EFPMS!$A$1:$J$44,(IF($B13=2015,4,IF($B13=2016,5,IF($B13=2017,6,IF($B13=2018,7,IF($B13=2019,8,IF($B13=2020,9,0))))))),FALSE)</f>
        <v>1.8470024929196412E-2</v>
      </c>
      <c r="J13" s="536">
        <f t="shared" si="0"/>
        <v>1.6438322186984808E-2</v>
      </c>
      <c r="K13" s="549">
        <f>VLOOKUP($A13,EFCO2S!$A$1:$J$44,(IF($B13=2015,4,IF($B13=2016,5,IF($B13=2017,6,IF($B13=2018,7,IF($B13=2019,8,IF($B13=2020,9,0))))))),FALSE)</f>
        <v>22.271261510097837</v>
      </c>
      <c r="L13" s="546">
        <f>VLOOKUP($A13,EFCH4S!$A$1:$J$44,(IF($B13=2015,4,IF($B13=2016,5,IF($B13=2017,6,IF($B13=2018,7,IF($B13=2019,8,IF($B13=2020,9,0))))))),FALSE)</f>
        <v>6.7429224274720354E-3</v>
      </c>
      <c r="M13" s="540">
        <f t="shared" si="1"/>
        <v>2.1190182667410538E-2</v>
      </c>
      <c r="N13" s="135">
        <v>1</v>
      </c>
      <c r="O13" s="109">
        <v>8</v>
      </c>
      <c r="P13" s="109">
        <v>76.56</v>
      </c>
      <c r="Q13" s="39">
        <f t="shared" si="2"/>
        <v>0.59785371347305194</v>
      </c>
      <c r="R13" s="29">
        <f t="shared" si="2"/>
        <v>1.9562979563042244</v>
      </c>
      <c r="S13" s="29">
        <f t="shared" si="2"/>
        <v>1.7844364351503612</v>
      </c>
      <c r="T13" s="29">
        <f t="shared" si="2"/>
        <v>2.3032944157074823E-3</v>
      </c>
      <c r="U13" s="29">
        <f t="shared" si="2"/>
        <v>0.1477601994335713</v>
      </c>
      <c r="V13" s="29">
        <f t="shared" si="2"/>
        <v>0.13150657749587846</v>
      </c>
      <c r="W13" s="29">
        <f t="shared" si="2"/>
        <v>178.17009208078269</v>
      </c>
      <c r="X13" s="29">
        <f t="shared" si="2"/>
        <v>5.3943379419776283E-2</v>
      </c>
      <c r="Y13" s="29">
        <f t="shared" si="2"/>
        <v>0.16952146133928431</v>
      </c>
    </row>
    <row r="14" spans="1:25" s="3" customFormat="1" x14ac:dyDescent="0.25">
      <c r="A14" s="27" t="s">
        <v>196</v>
      </c>
      <c r="B14" s="34">
        <v>2015</v>
      </c>
      <c r="C14" s="134">
        <v>250</v>
      </c>
      <c r="D14" s="134">
        <v>0.38</v>
      </c>
      <c r="E14" s="546">
        <f>VLOOKUP($A14,EFROGS!$A$1:$J$44,(IF($B14=2015,4,IF($B14=2016,5,IF($B14=2017,6,IF($B14=2018,7,IF($B14=2019,8,IF($B14=2020,9,0))))))),FALSE)</f>
        <v>0.10659360197116201</v>
      </c>
      <c r="F14" s="546">
        <f>VLOOKUP($A14,EFCOS!$A$1:$J$44,(IF($B14=2015,4,IF($B14=2016,5,IF($B14=2017,6,IF($B14=2018,7,IF($B14=2019,8,IF($B14=2020,9,0))))))),FALSE)</f>
        <v>0.36686319474726009</v>
      </c>
      <c r="G14" s="546">
        <f>VLOOKUP($A14,EFNOXS!$A$1:$J$44,(IF($B14=2015,4,IF($B14=2016,5,IF($B14=2017,6,IF($B14=2018,7,IF($B14=2019,8,IF($B14=2020,9,0))))))),FALSE)</f>
        <v>1.0557516810303123</v>
      </c>
      <c r="H14" s="546">
        <f>VLOOKUP($A14,EFSOXS!$A$1:$J$44,(IF($B14=2015,4,IF($B14=2016,5,IF($B14=2017,6,IF($B14=2018,7,IF($B14=2019,8,IF($B14=2020,9,0))))))),FALSE)</f>
        <v>1.7225234988951081E-3</v>
      </c>
      <c r="I14" s="546">
        <f>VLOOKUP($A14,EFPMS!$A$1:$J$44,(IF($B14=2015,4,IF($B14=2016,5,IF($B14=2017,6,IF($B14=2018,7,IF($B14=2019,8,IF($B14=2020,9,0))))))),FALSE)</f>
        <v>3.5131941225937512E-2</v>
      </c>
      <c r="J14" s="536">
        <f t="shared" si="0"/>
        <v>3.1267427691084385E-2</v>
      </c>
      <c r="K14" s="549">
        <f>VLOOKUP($A14,EFCO2S!$A$1:$J$44,(IF($B14=2015,4,IF($B14=2016,5,IF($B14=2017,6,IF($B14=2018,7,IF($B14=2019,8,IF($B14=2020,9,0))))))),FALSE)</f>
        <v>153.0897857268109</v>
      </c>
      <c r="L14" s="546">
        <f>VLOOKUP($A14,EFCH4S!$A$1:$J$44,(IF($B14=2015,4,IF($B14=2016,5,IF($B14=2017,6,IF($B14=2018,7,IF($B14=2019,8,IF($B14=2020,9,0))))))),FALSE)</f>
        <v>9.9847277011502044E-3</v>
      </c>
      <c r="M14" s="540">
        <f t="shared" si="1"/>
        <v>0.10029640969787966</v>
      </c>
      <c r="N14" s="135">
        <v>1</v>
      </c>
      <c r="O14" s="109">
        <v>8</v>
      </c>
      <c r="P14" s="109">
        <v>382.8</v>
      </c>
      <c r="Q14" s="39">
        <f t="shared" si="2"/>
        <v>0.85274881576929606</v>
      </c>
      <c r="R14" s="29">
        <f t="shared" si="2"/>
        <v>2.9349055579780807</v>
      </c>
      <c r="S14" s="29">
        <f t="shared" si="2"/>
        <v>8.446013448242498</v>
      </c>
      <c r="T14" s="29">
        <f t="shared" si="2"/>
        <v>1.3780187991160864E-2</v>
      </c>
      <c r="U14" s="29">
        <f t="shared" si="2"/>
        <v>0.28105552980750009</v>
      </c>
      <c r="V14" s="29">
        <f t="shared" si="2"/>
        <v>0.25013942152867508</v>
      </c>
      <c r="W14" s="29">
        <f t="shared" si="2"/>
        <v>1224.7182858144872</v>
      </c>
      <c r="X14" s="29">
        <f t="shared" si="2"/>
        <v>7.9877821609201635E-2</v>
      </c>
      <c r="Y14" s="29">
        <f t="shared" si="2"/>
        <v>0.80237127758303728</v>
      </c>
    </row>
    <row r="15" spans="1:25" s="3" customFormat="1" x14ac:dyDescent="0.25">
      <c r="A15" s="27" t="s">
        <v>612</v>
      </c>
      <c r="B15" s="34">
        <v>2015</v>
      </c>
      <c r="C15" s="134">
        <v>8</v>
      </c>
      <c r="D15" s="134">
        <v>1</v>
      </c>
      <c r="E15" s="546">
        <f>VLOOKUP($A15,EFROGS!$A$1:$J$44,(IF($B15=2015,4,IF($B15=2016,5,IF($B15=2017,6,IF($B15=2018,7,IF($B15=2019,8,IF($B15=2020,9,0))))))),FALSE)</f>
        <v>1.1765479299563907E-2</v>
      </c>
      <c r="F15" s="546">
        <f>VLOOKUP($A15,EFCOS!$A$1:$J$44,(IF($B15=2015,4,IF($B15=2016,5,IF($B15=2017,6,IF($B15=2018,7,IF($B15=2019,8,IF($B15=2020,9,0))))))),FALSE)</f>
        <v>5.862897981528551E-2</v>
      </c>
      <c r="G15" s="546">
        <f>VLOOKUP($A15,EFNOXS!$A$1:$J$44,(IF($B15=2015,4,IF($B15=2016,5,IF($B15=2017,6,IF($B15=2018,7,IF($B15=2019,8,IF($B15=2020,9,0))))))),FALSE)</f>
        <v>6.9995902894833636E-2</v>
      </c>
      <c r="H15" s="546">
        <f>VLOOKUP($A15,EFSOXS!$A$1:$J$44,(IF($B15=2015,4,IF($B15=2016,5,IF($B15=2017,6,IF($B15=2018,7,IF($B15=2019,8,IF($B15=2020,9,0))))))),FALSE)</f>
        <v>1.572791439192002E-4</v>
      </c>
      <c r="I15" s="546">
        <f>VLOOKUP($A15,EFPMS!$A$1:$J$44,(IF($B15=2015,4,IF($B15=2016,5,IF($B15=2017,6,IF($B15=2018,7,IF($B15=2019,8,IF($B15=2020,9,0))))))),FALSE)</f>
        <v>2.7335443440029156E-3</v>
      </c>
      <c r="J15" s="536">
        <f t="shared" si="0"/>
        <v>2.432854466162595E-3</v>
      </c>
      <c r="K15" s="549">
        <f>VLOOKUP($A15,EFCO2S!$A$1:$J$44,(IF($B15=2015,4,IF($B15=2016,5,IF($B15=2017,6,IF($B15=2018,7,IF($B15=2019,8,IF($B15=2020,9,0))))))),FALSE)</f>
        <v>10.107340281314988</v>
      </c>
      <c r="L15" s="546">
        <f>VLOOKUP($A15,EFCH4S!$A$1:$J$44,(IF($B15=2015,4,IF($B15=2016,5,IF($B15=2017,6,IF($B15=2018,7,IF($B15=2019,8,IF($B15=2020,9,0))))))),FALSE)</f>
        <v>1.0615801987134306E-3</v>
      </c>
      <c r="M15" s="540">
        <f t="shared" si="1"/>
        <v>6.649610775009196E-3</v>
      </c>
      <c r="N15" s="108">
        <v>1</v>
      </c>
      <c r="O15" s="109">
        <v>2</v>
      </c>
      <c r="P15" s="109">
        <v>95.7</v>
      </c>
      <c r="Q15" s="39">
        <f t="shared" si="2"/>
        <v>2.3530958599127814E-2</v>
      </c>
      <c r="R15" s="29">
        <f t="shared" si="2"/>
        <v>0.11725795963057102</v>
      </c>
      <c r="S15" s="29">
        <f t="shared" si="2"/>
        <v>0.13999180578966727</v>
      </c>
      <c r="T15" s="29">
        <f t="shared" si="2"/>
        <v>3.1455828783840041E-4</v>
      </c>
      <c r="U15" s="29">
        <f t="shared" si="2"/>
        <v>5.4670886880058313E-3</v>
      </c>
      <c r="V15" s="29">
        <f t="shared" si="2"/>
        <v>4.86570893232519E-3</v>
      </c>
      <c r="W15" s="29">
        <f t="shared" si="2"/>
        <v>20.214680562629976</v>
      </c>
      <c r="X15" s="29">
        <f t="shared" si="2"/>
        <v>2.1231603974268612E-3</v>
      </c>
      <c r="Y15" s="29">
        <f t="shared" si="2"/>
        <v>1.3299221550018392E-2</v>
      </c>
    </row>
    <row r="16" spans="1:25" s="3" customFormat="1" x14ac:dyDescent="0.25">
      <c r="A16" s="27" t="s">
        <v>580</v>
      </c>
      <c r="B16" s="34">
        <v>2015</v>
      </c>
      <c r="C16" s="134">
        <v>88</v>
      </c>
      <c r="D16" s="134">
        <v>0.68</v>
      </c>
      <c r="E16" s="546">
        <f>VLOOKUP($A16,EFROGS!$A$1:$J$44,(IF($B16=2015,4,IF($B16=2016,5,IF($B16=2017,6,IF($B16=2018,7,IF($B16=2019,8,IF($B16=2020,9,0))))))),FALSE)</f>
        <v>8.3557909444994069E-2</v>
      </c>
      <c r="F16" s="546">
        <f>VLOOKUP($A16,EFCOS!$A$1:$J$44,(IF($B16=2015,4,IF($B16=2016,5,IF($B16=2017,6,IF($B16=2018,7,IF($B16=2019,8,IF($B16=2020,9,0))))))),FALSE)</f>
        <v>0.48027506625173494</v>
      </c>
      <c r="G16" s="546">
        <f>VLOOKUP($A16,EFNOXS!$A$1:$J$44,(IF($B16=2015,4,IF($B16=2016,5,IF($B16=2017,6,IF($B16=2018,7,IF($B16=2019,8,IF($B16=2020,9,0))))))),FALSE)</f>
        <v>0.55987249313174137</v>
      </c>
      <c r="H16" s="546">
        <f>VLOOKUP($A16,EFSOXS!$A$1:$J$44,(IF($B16=2015,4,IF($B16=2016,5,IF($B16=2017,6,IF($B16=2018,7,IF($B16=2019,8,IF($B16=2020,9,0))))))),FALSE)</f>
        <v>8.8025899780622727E-4</v>
      </c>
      <c r="I16" s="546">
        <f>VLOOKUP($A16,EFPMS!$A$1:$J$44,(IF($B16=2015,4,IF($B16=2016,5,IF($B16=2017,6,IF($B16=2018,7,IF($B16=2019,8,IF($B16=2020,9,0))))))),FALSE)</f>
        <v>4.4270434389604658E-2</v>
      </c>
      <c r="J16" s="536">
        <f t="shared" si="0"/>
        <v>3.9400686606748149E-2</v>
      </c>
      <c r="K16" s="549">
        <f>VLOOKUP($A16,EFCO2S!$A$1:$J$44,(IF($B16=2015,4,IF($B16=2016,5,IF($B16=2017,6,IF($B16=2018,7,IF($B16=2019,8,IF($B16=2020,9,0))))))),FALSE)</f>
        <v>75.040106767621964</v>
      </c>
      <c r="L16" s="546">
        <f>VLOOKUP($A16,EFCH4S!$A$1:$J$44,(IF($B16=2015,4,IF($B16=2016,5,IF($B16=2017,6,IF($B16=2018,7,IF($B16=2019,8,IF($B16=2020,9,0))))))),FALSE)</f>
        <v>7.9361010948412886E-3</v>
      </c>
      <c r="M16" s="540">
        <f t="shared" si="1"/>
        <v>5.318788684751543E-2</v>
      </c>
      <c r="N16" s="108">
        <v>1</v>
      </c>
      <c r="O16" s="109">
        <v>1</v>
      </c>
      <c r="P16" s="109">
        <v>95.7</v>
      </c>
      <c r="Q16" s="39">
        <f t="shared" si="2"/>
        <v>8.3557909444994069E-2</v>
      </c>
      <c r="R16" s="29">
        <f t="shared" si="2"/>
        <v>0.48027506625173494</v>
      </c>
      <c r="S16" s="29">
        <f t="shared" si="2"/>
        <v>0.55987249313174137</v>
      </c>
      <c r="T16" s="29">
        <f t="shared" si="2"/>
        <v>8.8025899780622727E-4</v>
      </c>
      <c r="U16" s="29">
        <f t="shared" si="2"/>
        <v>4.4270434389604658E-2</v>
      </c>
      <c r="V16" s="29">
        <f t="shared" si="2"/>
        <v>3.9400686606748149E-2</v>
      </c>
      <c r="W16" s="29">
        <f t="shared" si="2"/>
        <v>75.040106767621964</v>
      </c>
      <c r="X16" s="29">
        <f t="shared" si="2"/>
        <v>7.9361010948412886E-3</v>
      </c>
      <c r="Y16" s="29">
        <f t="shared" si="2"/>
        <v>5.318788684751543E-2</v>
      </c>
    </row>
    <row r="17" spans="1:25" s="3" customFormat="1" x14ac:dyDescent="0.25">
      <c r="A17" s="37" t="s">
        <v>581</v>
      </c>
      <c r="B17" s="34">
        <v>2015</v>
      </c>
      <c r="C17" s="134">
        <v>85</v>
      </c>
      <c r="D17" s="134">
        <v>0.78</v>
      </c>
      <c r="E17" s="546">
        <f>VLOOKUP($A17,EFROGS!$A$1:$J$44,(IF($B17=2015,4,IF($B17=2016,5,IF($B17=2017,6,IF($B17=2018,7,IF($B17=2019,8,IF($B17=2020,9,0))))))),FALSE)</f>
        <v>0.11084933946613457</v>
      </c>
      <c r="F17" s="546">
        <f>VLOOKUP($A17,EFCOS!$A$1:$J$44,(IF($B17=2015,4,IF($B17=2016,5,IF($B17=2017,6,IF($B17=2018,7,IF($B17=2019,8,IF($B17=2020,9,0))))))),FALSE)</f>
        <v>0.53639639888157509</v>
      </c>
      <c r="G17" s="546">
        <f>VLOOKUP($A17,EFNOXS!$A$1:$J$44,(IF($B17=2015,4,IF($B17=2016,5,IF($B17=2017,6,IF($B17=2018,7,IF($B17=2019,8,IF($B17=2020,9,0))))))),FALSE)</f>
        <v>0.70051551631054132</v>
      </c>
      <c r="H17" s="546">
        <f>VLOOKUP($A17,EFSOXS!$A$1:$J$44,(IF($B17=2015,4,IF($B17=2016,5,IF($B17=2017,6,IF($B17=2018,7,IF($B17=2019,8,IF($B17=2020,9,0))))))),FALSE)</f>
        <v>9.7528684475001604E-4</v>
      </c>
      <c r="I17" s="546">
        <f>VLOOKUP($A17,EFPMS!$A$1:$J$44,(IF($B17=2015,4,IF($B17=2016,5,IF($B17=2017,6,IF($B17=2018,7,IF($B17=2019,8,IF($B17=2020,9,0))))))),FALSE)</f>
        <v>5.9776745478460666E-2</v>
      </c>
      <c r="J17" s="536">
        <f t="shared" si="0"/>
        <v>5.3201303475829992E-2</v>
      </c>
      <c r="K17" s="549">
        <f>VLOOKUP($A17,EFCO2S!$A$1:$J$44,(IF($B17=2015,4,IF($B17=2016,5,IF($B17=2017,6,IF($B17=2018,7,IF($B17=2019,8,IF($B17=2020,9,0))))))),FALSE)</f>
        <v>83.141017958227678</v>
      </c>
      <c r="L17" s="546">
        <f>VLOOKUP($A17,EFCH4S!$A$1:$J$44,(IF($B17=2015,4,IF($B17=2016,5,IF($B17=2017,6,IF($B17=2018,7,IF($B17=2019,8,IF($B17=2020,9,0))))))),FALSE)</f>
        <v>1.0528166694101284E-2</v>
      </c>
      <c r="M17" s="540">
        <f t="shared" si="1"/>
        <v>6.6548974049501428E-2</v>
      </c>
      <c r="N17" s="108">
        <v>1</v>
      </c>
      <c r="O17" s="109">
        <v>3</v>
      </c>
      <c r="P17" s="109">
        <v>287.10000000000002</v>
      </c>
      <c r="Q17" s="39">
        <f t="shared" si="2"/>
        <v>0.3325480183984037</v>
      </c>
      <c r="R17" s="29">
        <f t="shared" si="2"/>
        <v>1.6091891966447252</v>
      </c>
      <c r="S17" s="29">
        <f t="shared" si="2"/>
        <v>2.1015465489316241</v>
      </c>
      <c r="T17" s="29">
        <f t="shared" si="2"/>
        <v>2.925860534250048E-3</v>
      </c>
      <c r="U17" s="29">
        <f t="shared" si="2"/>
        <v>0.17933023643538198</v>
      </c>
      <c r="V17" s="29">
        <f t="shared" si="2"/>
        <v>0.15960391042748998</v>
      </c>
      <c r="W17" s="29">
        <f t="shared" si="2"/>
        <v>249.42305387468303</v>
      </c>
      <c r="X17" s="29">
        <f t="shared" si="2"/>
        <v>3.1584500082303853E-2</v>
      </c>
      <c r="Y17" s="29">
        <f t="shared" si="2"/>
        <v>0.19964692214850427</v>
      </c>
    </row>
    <row r="18" spans="1:25" s="3" customFormat="1" x14ac:dyDescent="0.25">
      <c r="A18" s="37" t="s">
        <v>582</v>
      </c>
      <c r="B18" s="34">
        <v>2015</v>
      </c>
      <c r="C18" s="134">
        <v>82</v>
      </c>
      <c r="D18" s="134">
        <v>0.36</v>
      </c>
      <c r="E18" s="546">
        <f>VLOOKUP($A18,EFROGS!$A$1:$J$44,(IF($B18=2015,4,IF($B18=2016,5,IF($B18=2017,6,IF($B18=2018,7,IF($B18=2019,8,IF($B18=2020,9,0))))))),FALSE)</f>
        <v>9.2034784780492415E-2</v>
      </c>
      <c r="F18" s="546">
        <f>VLOOKUP($A18,EFCOS!$A$1:$J$44,(IF($B18=2015,4,IF($B18=2016,5,IF($B18=2017,6,IF($B18=2018,7,IF($B18=2019,8,IF($B18=2020,9,0))))))),FALSE)</f>
        <v>0.36967137363888714</v>
      </c>
      <c r="G18" s="546">
        <f>VLOOKUP($A18,EFNOXS!$A$1:$J$44,(IF($B18=2015,4,IF($B18=2016,5,IF($B18=2017,6,IF($B18=2018,7,IF($B18=2019,8,IF($B18=2020,9,0))))))),FALSE)</f>
        <v>0.55803466065292617</v>
      </c>
      <c r="H18" s="546">
        <f>VLOOKUP($A18,EFSOXS!$A$1:$J$44,(IF($B18=2015,4,IF($B18=2016,5,IF($B18=2017,6,IF($B18=2018,7,IF($B18=2019,8,IF($B18=2020,9,0))))))),FALSE)</f>
        <v>6.3930572383665419E-4</v>
      </c>
      <c r="I18" s="546">
        <f>VLOOKUP($A18,EFPMS!$A$1:$J$44,(IF($B18=2015,4,IF($B18=2016,5,IF($B18=2017,6,IF($B18=2018,7,IF($B18=2019,8,IF($B18=2020,9,0))))))),FALSE)</f>
        <v>4.7747622432400182E-2</v>
      </c>
      <c r="J18" s="536">
        <f t="shared" si="0"/>
        <v>4.249538396483616E-2</v>
      </c>
      <c r="K18" s="549">
        <f>VLOOKUP($A18,EFCO2S!$A$1:$J$44,(IF($B18=2015,4,IF($B18=2016,5,IF($B18=2017,6,IF($B18=2018,7,IF($B18=2019,8,IF($B18=2020,9,0))))))),FALSE)</f>
        <v>54.49938047051117</v>
      </c>
      <c r="L18" s="546">
        <f>VLOOKUP($A18,EFCH4S!$A$1:$J$44,(IF($B18=2015,4,IF($B18=2016,5,IF($B18=2017,6,IF($B18=2018,7,IF($B18=2019,8,IF($B18=2020,9,0))))))),FALSE)</f>
        <v>8.7412099797587687E-3</v>
      </c>
      <c r="M18" s="540">
        <f t="shared" si="1"/>
        <v>5.3013292762027986E-2</v>
      </c>
      <c r="N18" s="108">
        <v>1</v>
      </c>
      <c r="O18" s="109">
        <v>2</v>
      </c>
      <c r="P18" s="109">
        <v>191.4</v>
      </c>
      <c r="Q18" s="39">
        <f t="shared" si="2"/>
        <v>0.18406956956098483</v>
      </c>
      <c r="R18" s="29">
        <f t="shared" si="2"/>
        <v>0.73934274727777427</v>
      </c>
      <c r="S18" s="29">
        <f t="shared" si="2"/>
        <v>1.1160693213058523</v>
      </c>
      <c r="T18" s="29">
        <f t="shared" si="2"/>
        <v>1.2786114476733084E-3</v>
      </c>
      <c r="U18" s="29">
        <f t="shared" si="2"/>
        <v>9.5495244864800363E-2</v>
      </c>
      <c r="V18" s="29">
        <f t="shared" si="2"/>
        <v>8.499076792967232E-2</v>
      </c>
      <c r="W18" s="29">
        <f t="shared" si="2"/>
        <v>108.99876094102234</v>
      </c>
      <c r="X18" s="29">
        <f t="shared" si="2"/>
        <v>1.7482419959517537E-2</v>
      </c>
      <c r="Y18" s="29">
        <f t="shared" si="2"/>
        <v>0.10602658552405597</v>
      </c>
    </row>
    <row r="19" spans="1:25" s="3" customFormat="1" x14ac:dyDescent="0.25">
      <c r="A19" s="37" t="s">
        <v>583</v>
      </c>
      <c r="B19" s="34">
        <v>2015</v>
      </c>
      <c r="C19" s="134">
        <v>6</v>
      </c>
      <c r="D19" s="134">
        <v>0.82</v>
      </c>
      <c r="E19" s="546">
        <f>VLOOKUP($A19,EFROGS!$A$1:$J$44,(IF($B19=2015,4,IF($B19=2016,5,IF($B19=2017,6,IF($B19=2018,7,IF($B19=2019,8,IF($B19=2020,9,0))))))),FALSE)</f>
        <v>7.1819076358046203E-3</v>
      </c>
      <c r="F19" s="546">
        <f>VLOOKUP($A19,EFCOS!$A$1:$J$44,(IF($B19=2015,4,IF($B19=2016,5,IF($B19=2017,6,IF($B19=2018,7,IF($B19=2019,8,IF($B19=2020,9,0))))))),FALSE)</f>
        <v>3.5788414726185346E-2</v>
      </c>
      <c r="G19" s="546">
        <f>VLOOKUP($A19,EFNOXS!$A$1:$J$44,(IF($B19=2015,4,IF($B19=2016,5,IF($B19=2017,6,IF($B19=2018,7,IF($B19=2019,8,IF($B19=2020,9,0))))))),FALSE)</f>
        <v>4.2727044104310538E-2</v>
      </c>
      <c r="H19" s="546">
        <f>VLOOKUP($A19,EFSOXS!$A$1:$J$44,(IF($B19=2015,4,IF($B19=2016,5,IF($B19=2017,6,IF($B19=2018,7,IF($B19=2019,8,IF($B19=2020,9,0))))))),FALSE)</f>
        <v>9.6006650553722128E-5</v>
      </c>
      <c r="I19" s="546">
        <f>VLOOKUP($A19,EFPMS!$A$1:$J$44,(IF($B19=2015,4,IF($B19=2016,5,IF($B19=2017,6,IF($B19=2018,7,IF($B19=2019,8,IF($B19=2020,9,0))))))),FALSE)</f>
        <v>1.6695764161062747E-3</v>
      </c>
      <c r="J19" s="536">
        <f t="shared" si="0"/>
        <v>1.4859230103345846E-3</v>
      </c>
      <c r="K19" s="549">
        <f>VLOOKUP($A19,EFCO2S!$A$1:$J$44,(IF($B19=2015,4,IF($B19=2016,5,IF($B19=2017,6,IF($B19=2018,7,IF($B19=2019,8,IF($B19=2020,9,0))))))),FALSE)</f>
        <v>6.1697435407429388</v>
      </c>
      <c r="L19" s="546">
        <f>VLOOKUP($A19,EFCH4S!$A$1:$J$44,(IF($B19=2015,4,IF($B19=2016,5,IF($B19=2017,6,IF($B19=2018,7,IF($B19=2019,8,IF($B19=2020,9,0))))))),FALSE)</f>
        <v>6.4801190876982576E-4</v>
      </c>
      <c r="M19" s="540">
        <f t="shared" si="1"/>
        <v>4.0590691899095015E-3</v>
      </c>
      <c r="N19" s="108">
        <v>2</v>
      </c>
      <c r="O19" s="109">
        <v>8</v>
      </c>
      <c r="P19" s="109">
        <v>1531.2</v>
      </c>
      <c r="Q19" s="39">
        <f t="shared" si="2"/>
        <v>0.11491052217287392</v>
      </c>
      <c r="R19" s="29">
        <f t="shared" si="2"/>
        <v>0.57261463561896553</v>
      </c>
      <c r="S19" s="29">
        <f t="shared" si="2"/>
        <v>0.68363270566896861</v>
      </c>
      <c r="T19" s="29">
        <f t="shared" si="2"/>
        <v>1.536106408859554E-3</v>
      </c>
      <c r="U19" s="29">
        <f t="shared" si="2"/>
        <v>2.6713222657700396E-2</v>
      </c>
      <c r="V19" s="29">
        <f t="shared" si="2"/>
        <v>2.3774768165353354E-2</v>
      </c>
      <c r="W19" s="29">
        <f t="shared" si="2"/>
        <v>98.715896651887022</v>
      </c>
      <c r="X19" s="29">
        <f t="shared" si="2"/>
        <v>1.0368190540317212E-2</v>
      </c>
      <c r="Y19" s="29">
        <f t="shared" si="2"/>
        <v>6.4945107038552025E-2</v>
      </c>
    </row>
    <row r="20" spans="1:25" s="3" customFormat="1" x14ac:dyDescent="0.25">
      <c r="A20" s="19" t="s">
        <v>38</v>
      </c>
      <c r="B20" s="34"/>
      <c r="C20" s="134"/>
      <c r="D20" s="134"/>
      <c r="E20" s="26"/>
      <c r="F20" s="26"/>
      <c r="G20" s="26"/>
      <c r="H20" s="26"/>
      <c r="I20" s="26"/>
      <c r="J20" s="27"/>
      <c r="K20" s="28"/>
      <c r="L20" s="26"/>
      <c r="M20" s="38"/>
      <c r="N20" s="109"/>
      <c r="O20" s="109"/>
      <c r="P20" s="109"/>
      <c r="Q20" s="138">
        <f>SUM(Q8:Q19)</f>
        <v>5.6728387706105012</v>
      </c>
      <c r="R20" s="138">
        <f t="shared" ref="R20:Y20" si="3">SUM(R8:R19)</f>
        <v>23.573699108679723</v>
      </c>
      <c r="S20" s="138">
        <f t="shared" si="3"/>
        <v>39.542196114159722</v>
      </c>
      <c r="T20" s="138">
        <f t="shared" si="3"/>
        <v>6.4181621148648393E-2</v>
      </c>
      <c r="U20" s="138">
        <f t="shared" si="3"/>
        <v>2.2037061928160475</v>
      </c>
      <c r="V20" s="138">
        <f t="shared" si="3"/>
        <v>1.961298511606282</v>
      </c>
      <c r="W20" s="138">
        <f t="shared" si="3"/>
        <v>5540.6783183828375</v>
      </c>
      <c r="X20" s="138">
        <f t="shared" si="3"/>
        <v>0.53058574578127771</v>
      </c>
      <c r="Y20" s="138">
        <f t="shared" si="3"/>
        <v>3.7565086308451727</v>
      </c>
    </row>
    <row r="21" spans="1:25" s="3" customFormat="1" x14ac:dyDescent="0.25">
      <c r="A21" s="27"/>
      <c r="B21" s="34"/>
      <c r="C21" s="134"/>
      <c r="D21" s="134"/>
      <c r="E21" s="26"/>
      <c r="F21" s="26"/>
      <c r="G21" s="26"/>
      <c r="H21" s="26"/>
      <c r="I21" s="26"/>
      <c r="J21" s="27"/>
      <c r="K21" s="28"/>
      <c r="L21" s="26"/>
      <c r="M21" s="38"/>
      <c r="N21" s="109"/>
      <c r="O21" s="109"/>
      <c r="P21" s="109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19" t="s">
        <v>592</v>
      </c>
      <c r="B22" s="34"/>
      <c r="C22" s="134"/>
      <c r="D22" s="134"/>
      <c r="E22" s="26"/>
      <c r="F22" s="26"/>
      <c r="G22" s="26"/>
      <c r="H22" s="26"/>
      <c r="I22" s="26"/>
      <c r="J22" s="27"/>
      <c r="K22" s="28"/>
      <c r="L22" s="26"/>
      <c r="M22" s="38"/>
      <c r="N22" s="109"/>
      <c r="O22" s="109"/>
      <c r="P22" s="109"/>
      <c r="Q22" s="39"/>
      <c r="R22" s="29"/>
      <c r="S22" s="29"/>
      <c r="T22" s="29"/>
      <c r="U22" s="29"/>
      <c r="V22" s="29"/>
      <c r="W22" s="29"/>
      <c r="X22" s="29"/>
      <c r="Y22" s="29"/>
    </row>
    <row r="23" spans="1:25" s="3" customFormat="1" x14ac:dyDescent="0.25">
      <c r="A23" s="37" t="s">
        <v>162</v>
      </c>
      <c r="B23" s="34">
        <v>2015</v>
      </c>
      <c r="C23" s="134">
        <v>235</v>
      </c>
      <c r="D23" s="134">
        <v>0.38</v>
      </c>
      <c r="E23" s="546">
        <f>VLOOKUP($A23,EFROGS!$A$1:$J$44,(IF($B23=2015,4,IF($B23=2016,5,IF($B23=2017,6,IF($B23=2018,7,IF($B23=2019,8,IF($B23=2020,9,0))))))),FALSE)</f>
        <v>0.12027312265814816</v>
      </c>
      <c r="F23" s="546">
        <f>VLOOKUP($A23,EFCOS!$A$1:$J$44,(IF($B23=2015,4,IF($B23=2016,5,IF($B23=2017,6,IF($B23=2018,7,IF($B23=2019,8,IF($B23=2020,9,0))))))),FALSE)</f>
        <v>0.37726446207654918</v>
      </c>
      <c r="G23" s="546">
        <f>VLOOKUP($A23,EFNOXS!$A$1:$J$44,(IF($B23=2015,4,IF($B23=2016,5,IF($B23=2017,6,IF($B23=2018,7,IF($B23=2019,8,IF($B23=2020,9,0))))))),FALSE)</f>
        <v>0.94745273894088322</v>
      </c>
      <c r="H23" s="546">
        <f>VLOOKUP($A23,EFSOXS!$A$1:$J$44,(IF($B23=2015,4,IF($B23=2016,5,IF($B23=2017,6,IF($B23=2018,7,IF($B23=2019,8,IF($B23=2020,9,0))))))),FALSE)</f>
        <v>1.8739213528134147E-3</v>
      </c>
      <c r="I23" s="546">
        <f>VLOOKUP($A23,EFPMS!$A$1:$J$44,(IF($B23=2015,4,IF($B23=2016,5,IF($B23=2017,6,IF($B23=2018,7,IF($B23=2019,8,IF($B23=2020,9,0))))))),FALSE)</f>
        <v>3.1278738047599536E-2</v>
      </c>
      <c r="J23" s="536">
        <f t="shared" ref="J23:J25" si="4">0.89*I23</f>
        <v>2.7838076862363587E-2</v>
      </c>
      <c r="K23" s="549">
        <f>VLOOKUP($A23,EFCO2S!$A$1:$J$44,(IF($B23=2015,4,IF($B23=2016,5,IF($B23=2017,6,IF($B23=2018,7,IF($B23=2019,8,IF($B23=2020,9,0))))))),FALSE)</f>
        <v>166.54539483446186</v>
      </c>
      <c r="L23" s="546">
        <f>VLOOKUP($A23,EFCH4S!$A$1:$J$44,(IF($B23=2015,4,IF($B23=2016,5,IF($B23=2017,6,IF($B23=2018,7,IF($B23=2019,8,IF($B23=2020,9,0))))))),FALSE)</f>
        <v>1.1292325418869483E-2</v>
      </c>
      <c r="M23" s="540">
        <f t="shared" ref="M23:M25" si="5">0.095*G23</f>
        <v>9.0008010199383912E-2</v>
      </c>
      <c r="N23" s="109">
        <v>1</v>
      </c>
      <c r="O23" s="109">
        <v>3</v>
      </c>
      <c r="P23" s="109">
        <v>36</v>
      </c>
      <c r="Q23" s="39">
        <f t="shared" ref="Q23:Y25" si="6">(E23*$N23*$O23)</f>
        <v>0.36081936797444447</v>
      </c>
      <c r="R23" s="29">
        <f t="shared" si="6"/>
        <v>1.1317933862296474</v>
      </c>
      <c r="S23" s="29">
        <f t="shared" si="6"/>
        <v>2.8423582168226496</v>
      </c>
      <c r="T23" s="29">
        <f t="shared" si="6"/>
        <v>5.6217640584402444E-3</v>
      </c>
      <c r="U23" s="29">
        <f t="shared" si="6"/>
        <v>9.3836214142798607E-2</v>
      </c>
      <c r="V23" s="29">
        <f t="shared" si="6"/>
        <v>8.351423058709076E-2</v>
      </c>
      <c r="W23" s="29">
        <f t="shared" si="6"/>
        <v>499.63618450338561</v>
      </c>
      <c r="X23" s="29">
        <f t="shared" si="6"/>
        <v>3.3876976256608446E-2</v>
      </c>
      <c r="Y23" s="29">
        <f t="shared" si="6"/>
        <v>0.27002403059815172</v>
      </c>
    </row>
    <row r="24" spans="1:25" s="3" customFormat="1" x14ac:dyDescent="0.25">
      <c r="A24" s="27" t="s">
        <v>207</v>
      </c>
      <c r="B24" s="34">
        <v>2015</v>
      </c>
      <c r="C24" s="134">
        <v>300</v>
      </c>
      <c r="D24" s="134">
        <v>0.38</v>
      </c>
      <c r="E24" s="546">
        <f>VLOOKUP($A24,EFROGS!$A$1:$J$44,(IF($B24=2015,4,IF($B24=2016,5,IF($B24=2017,6,IF($B24=2018,7,IF($B24=2019,8,IF($B24=2020,9,0))))))),FALSE)</f>
        <v>0.12634860383051666</v>
      </c>
      <c r="F24" s="546">
        <f>VLOOKUP($A24,EFCOS!$A$1:$J$44,(IF($B24=2015,4,IF($B24=2016,5,IF($B24=2017,6,IF($B24=2018,7,IF($B24=2019,8,IF($B24=2020,9,0))))))),FALSE)</f>
        <v>0.50758739181396961</v>
      </c>
      <c r="G24" s="546">
        <f>VLOOKUP($A24,EFNOXS!$A$1:$J$44,(IF($B24=2015,4,IF($B24=2016,5,IF($B24=2017,6,IF($B24=2018,7,IF($B24=2019,8,IF($B24=2020,9,0))))))),FALSE)</f>
        <v>1.1481509547445321</v>
      </c>
      <c r="H24" s="546">
        <f>VLOOKUP($A24,EFSOXS!$A$1:$J$44,(IF($B24=2015,4,IF($B24=2016,5,IF($B24=2017,6,IF($B24=2018,7,IF($B24=2019,8,IF($B24=2020,9,0))))))),FALSE)</f>
        <v>2.4954346257058686E-3</v>
      </c>
      <c r="I24" s="546">
        <f>VLOOKUP($A24,EFPMS!$A$1:$J$44,(IF($B24=2015,4,IF($B24=2016,5,IF($B24=2017,6,IF($B24=2018,7,IF($B24=2019,8,IF($B24=2020,9,0))))))),FALSE)</f>
        <v>3.7613858140880155E-2</v>
      </c>
      <c r="J24" s="536">
        <f t="shared" si="4"/>
        <v>3.3476333745383335E-2</v>
      </c>
      <c r="K24" s="549">
        <f>VLOOKUP($A24,EFCO2S!$A$1:$J$44,(IF($B24=2015,4,IF($B24=2016,5,IF($B24=2017,6,IF($B24=2018,7,IF($B24=2019,8,IF($B24=2020,9,0))))))),FALSE)</f>
        <v>254.23854571385056</v>
      </c>
      <c r="L24" s="546">
        <f>VLOOKUP($A24,EFCH4S!$A$1:$J$44,(IF($B24=2015,4,IF($B24=2016,5,IF($B24=2017,6,IF($B24=2018,7,IF($B24=2019,8,IF($B24=2020,9,0))))))),FALSE)</f>
        <v>1.1815564023556229E-2</v>
      </c>
      <c r="M24" s="540">
        <f t="shared" si="5"/>
        <v>0.10907434070073055</v>
      </c>
      <c r="N24" s="109">
        <v>1</v>
      </c>
      <c r="O24" s="109">
        <v>8</v>
      </c>
      <c r="P24" s="109">
        <v>64</v>
      </c>
      <c r="Q24" s="39">
        <f t="shared" si="6"/>
        <v>1.0107888306441333</v>
      </c>
      <c r="R24" s="29">
        <f t="shared" si="6"/>
        <v>4.0606991345117569</v>
      </c>
      <c r="S24" s="29">
        <f t="shared" si="6"/>
        <v>9.1852076379562568</v>
      </c>
      <c r="T24" s="29">
        <f t="shared" si="6"/>
        <v>1.9963477005646948E-2</v>
      </c>
      <c r="U24" s="29">
        <f t="shared" si="6"/>
        <v>0.30091086512704124</v>
      </c>
      <c r="V24" s="29">
        <f t="shared" si="6"/>
        <v>0.26781066996306668</v>
      </c>
      <c r="W24" s="29">
        <f t="shared" si="6"/>
        <v>2033.9083657108044</v>
      </c>
      <c r="X24" s="29">
        <f t="shared" si="6"/>
        <v>9.452451218844983E-2</v>
      </c>
      <c r="Y24" s="29">
        <f t="shared" si="6"/>
        <v>0.87259472560584439</v>
      </c>
    </row>
    <row r="25" spans="1:25" s="3" customFormat="1" x14ac:dyDescent="0.25">
      <c r="A25" s="37" t="s">
        <v>583</v>
      </c>
      <c r="B25" s="34">
        <v>2015</v>
      </c>
      <c r="C25" s="134">
        <v>6</v>
      </c>
      <c r="D25" s="134">
        <v>0.82</v>
      </c>
      <c r="E25" s="546">
        <f>VLOOKUP($A25,EFROGS!$A$1:$J$44,(IF($B25=2015,4,IF($B25=2016,5,IF($B25=2017,6,IF($B25=2018,7,IF($B25=2019,8,IF($B25=2020,9,0))))))),FALSE)</f>
        <v>7.1819076358046203E-3</v>
      </c>
      <c r="F25" s="546">
        <f>VLOOKUP($A25,EFCOS!$A$1:$J$44,(IF($B25=2015,4,IF($B25=2016,5,IF($B25=2017,6,IF($B25=2018,7,IF($B25=2019,8,IF($B25=2020,9,0))))))),FALSE)</f>
        <v>3.5788414726185346E-2</v>
      </c>
      <c r="G25" s="546">
        <f>VLOOKUP($A25,EFNOXS!$A$1:$J$44,(IF($B25=2015,4,IF($B25=2016,5,IF($B25=2017,6,IF($B25=2018,7,IF($B25=2019,8,IF($B25=2020,9,0))))))),FALSE)</f>
        <v>4.2727044104310538E-2</v>
      </c>
      <c r="H25" s="546">
        <f>VLOOKUP($A25,EFSOXS!$A$1:$J$44,(IF($B25=2015,4,IF($B25=2016,5,IF($B25=2017,6,IF($B25=2018,7,IF($B25=2019,8,IF($B25=2020,9,0))))))),FALSE)</f>
        <v>9.6006650553722128E-5</v>
      </c>
      <c r="I25" s="546">
        <f>VLOOKUP($A25,EFPMS!$A$1:$J$44,(IF($B25=2015,4,IF($B25=2016,5,IF($B25=2017,6,IF($B25=2018,7,IF($B25=2019,8,IF($B25=2020,9,0))))))),FALSE)</f>
        <v>1.6695764161062747E-3</v>
      </c>
      <c r="J25" s="536">
        <f t="shared" si="4"/>
        <v>1.4859230103345846E-3</v>
      </c>
      <c r="K25" s="549">
        <f>VLOOKUP($A25,EFCO2S!$A$1:$J$44,(IF($B25=2015,4,IF($B25=2016,5,IF($B25=2017,6,IF($B25=2018,7,IF($B25=2019,8,IF($B25=2020,9,0))))))),FALSE)</f>
        <v>6.1697435407429388</v>
      </c>
      <c r="L25" s="546">
        <f>VLOOKUP($A25,EFCH4S!$A$1:$J$44,(IF($B25=2015,4,IF($B25=2016,5,IF($B25=2017,6,IF($B25=2018,7,IF($B25=2019,8,IF($B25=2020,9,0))))))),FALSE)</f>
        <v>6.4801190876982576E-4</v>
      </c>
      <c r="M25" s="540">
        <f t="shared" si="5"/>
        <v>4.0590691899095015E-3</v>
      </c>
      <c r="N25" s="109">
        <v>1</v>
      </c>
      <c r="O25" s="109">
        <v>8</v>
      </c>
      <c r="P25" s="109">
        <v>64</v>
      </c>
      <c r="Q25" s="39">
        <f t="shared" si="6"/>
        <v>5.7455261086436962E-2</v>
      </c>
      <c r="R25" s="29">
        <f t="shared" si="6"/>
        <v>0.28630731780948276</v>
      </c>
      <c r="S25" s="29">
        <f t="shared" si="6"/>
        <v>0.3418163528344843</v>
      </c>
      <c r="T25" s="29">
        <f t="shared" si="6"/>
        <v>7.6805320442977702E-4</v>
      </c>
      <c r="U25" s="29">
        <f t="shared" si="6"/>
        <v>1.3356611328850198E-2</v>
      </c>
      <c r="V25" s="29">
        <f t="shared" si="6"/>
        <v>1.1887384082676677E-2</v>
      </c>
      <c r="W25" s="29">
        <f t="shared" si="6"/>
        <v>49.357948325943511</v>
      </c>
      <c r="X25" s="29">
        <f t="shared" si="6"/>
        <v>5.1840952701586061E-3</v>
      </c>
      <c r="Y25" s="29">
        <f t="shared" si="6"/>
        <v>3.2472553519276012E-2</v>
      </c>
    </row>
    <row r="26" spans="1:25" s="3" customFormat="1" x14ac:dyDescent="0.25">
      <c r="A26" s="19" t="s">
        <v>38</v>
      </c>
      <c r="B26" s="34"/>
      <c r="C26" s="134"/>
      <c r="D26" s="134"/>
      <c r="E26" s="26"/>
      <c r="F26" s="26"/>
      <c r="G26" s="26"/>
      <c r="H26" s="26"/>
      <c r="I26" s="26"/>
      <c r="J26" s="27"/>
      <c r="K26" s="28"/>
      <c r="L26" s="26"/>
      <c r="M26" s="38"/>
      <c r="N26" s="109"/>
      <c r="O26" s="109"/>
      <c r="P26" s="109"/>
      <c r="Q26" s="138">
        <f t="shared" ref="Q26:Y26" si="7">SUM(Q23:Q25)</f>
        <v>1.4290634597050147</v>
      </c>
      <c r="R26" s="138">
        <f t="shared" si="7"/>
        <v>5.4787998385508869</v>
      </c>
      <c r="S26" s="138">
        <f t="shared" si="7"/>
        <v>12.369382207613391</v>
      </c>
      <c r="T26" s="138">
        <f t="shared" si="7"/>
        <v>2.6353294268516968E-2</v>
      </c>
      <c r="U26" s="138">
        <f t="shared" si="7"/>
        <v>0.40810369059869006</v>
      </c>
      <c r="V26" s="138">
        <f t="shared" si="7"/>
        <v>0.36321228463283411</v>
      </c>
      <c r="W26" s="138">
        <f t="shared" si="7"/>
        <v>2582.9024985401338</v>
      </c>
      <c r="X26" s="138">
        <f t="shared" si="7"/>
        <v>0.13358558371521689</v>
      </c>
      <c r="Y26" s="138">
        <f t="shared" si="7"/>
        <v>1.175091309723272</v>
      </c>
    </row>
    <row r="27" spans="1:25" s="3" customFormat="1" x14ac:dyDescent="0.25">
      <c r="A27" s="27"/>
      <c r="B27" s="34"/>
      <c r="C27" s="134"/>
      <c r="D27" s="134"/>
      <c r="E27" s="26"/>
      <c r="F27" s="26"/>
      <c r="G27" s="26"/>
      <c r="H27" s="26"/>
      <c r="I27" s="26"/>
      <c r="J27" s="27"/>
      <c r="K27" s="28"/>
      <c r="L27" s="26"/>
      <c r="M27" s="38"/>
      <c r="N27" s="109"/>
      <c r="O27" s="109"/>
      <c r="P27" s="109"/>
      <c r="Q27" s="39"/>
      <c r="R27" s="29"/>
      <c r="S27" s="29"/>
      <c r="T27" s="29"/>
      <c r="U27" s="29"/>
      <c r="V27" s="29"/>
      <c r="W27" s="29"/>
      <c r="X27" s="29"/>
      <c r="Y27" s="29"/>
    </row>
    <row r="28" spans="1:25" s="3" customFormat="1" x14ac:dyDescent="0.25">
      <c r="A28" s="19" t="s">
        <v>593</v>
      </c>
      <c r="B28" s="34"/>
      <c r="C28" s="134"/>
      <c r="D28" s="134"/>
      <c r="E28" s="26"/>
      <c r="F28" s="26"/>
      <c r="G28" s="26"/>
      <c r="H28" s="26"/>
      <c r="I28" s="26"/>
      <c r="J28" s="27"/>
      <c r="K28" s="28"/>
      <c r="L28" s="26"/>
      <c r="M28" s="38"/>
      <c r="N28" s="109"/>
      <c r="O28" s="109"/>
      <c r="P28" s="109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37" t="s">
        <v>162</v>
      </c>
      <c r="B29" s="34">
        <v>2015</v>
      </c>
      <c r="C29" s="134">
        <v>235</v>
      </c>
      <c r="D29" s="134">
        <v>0.38</v>
      </c>
      <c r="E29" s="546">
        <f>VLOOKUP($A29,EFROGS!$A$1:$J$44,(IF($B29=2015,4,IF($B29=2016,5,IF($B29=2017,6,IF($B29=2018,7,IF($B29=2019,8,IF($B29=2020,9,0))))))),FALSE)</f>
        <v>0.12027312265814816</v>
      </c>
      <c r="F29" s="546">
        <f>VLOOKUP($A29,EFCOS!$A$1:$J$44,(IF($B29=2015,4,IF($B29=2016,5,IF($B29=2017,6,IF($B29=2018,7,IF($B29=2019,8,IF($B29=2020,9,0))))))),FALSE)</f>
        <v>0.37726446207654918</v>
      </c>
      <c r="G29" s="546">
        <f>VLOOKUP($A29,EFNOXS!$A$1:$J$44,(IF($B29=2015,4,IF($B29=2016,5,IF($B29=2017,6,IF($B29=2018,7,IF($B29=2019,8,IF($B29=2020,9,0))))))),FALSE)</f>
        <v>0.94745273894088322</v>
      </c>
      <c r="H29" s="546">
        <f>VLOOKUP($A29,EFSOXS!$A$1:$J$44,(IF($B29=2015,4,IF($B29=2016,5,IF($B29=2017,6,IF($B29=2018,7,IF($B29=2019,8,IF($B29=2020,9,0))))))),FALSE)</f>
        <v>1.8739213528134147E-3</v>
      </c>
      <c r="I29" s="546">
        <f>VLOOKUP($A29,EFPMS!$A$1:$J$44,(IF($B29=2015,4,IF($B29=2016,5,IF($B29=2017,6,IF($B29=2018,7,IF($B29=2019,8,IF($B29=2020,9,0))))))),FALSE)</f>
        <v>3.1278738047599536E-2</v>
      </c>
      <c r="J29" s="536">
        <f t="shared" ref="J29:J31" si="8">0.89*I29</f>
        <v>2.7838076862363587E-2</v>
      </c>
      <c r="K29" s="549">
        <f>VLOOKUP($A29,EFCO2S!$A$1:$J$44,(IF($B29=2015,4,IF($B29=2016,5,IF($B29=2017,6,IF($B29=2018,7,IF($B29=2019,8,IF($B29=2020,9,0))))))),FALSE)</f>
        <v>166.54539483446186</v>
      </c>
      <c r="L29" s="546">
        <f>VLOOKUP($A29,EFCH4S!$A$1:$J$44,(IF($B29=2015,4,IF($B29=2016,5,IF($B29=2017,6,IF($B29=2018,7,IF($B29=2019,8,IF($B29=2020,9,0))))))),FALSE)</f>
        <v>1.1292325418869483E-2</v>
      </c>
      <c r="M29" s="540">
        <f t="shared" ref="M29:M31" si="9">0.095*G29</f>
        <v>9.0008010199383912E-2</v>
      </c>
      <c r="N29" s="109">
        <v>1</v>
      </c>
      <c r="O29" s="109">
        <v>3</v>
      </c>
      <c r="P29" s="109">
        <v>36</v>
      </c>
      <c r="Q29" s="39">
        <f t="shared" ref="Q29:Y31" si="10">(E29*$N29*$O29)</f>
        <v>0.36081936797444447</v>
      </c>
      <c r="R29" s="29">
        <f t="shared" si="10"/>
        <v>1.1317933862296474</v>
      </c>
      <c r="S29" s="29">
        <f t="shared" si="10"/>
        <v>2.8423582168226496</v>
      </c>
      <c r="T29" s="29">
        <f t="shared" si="10"/>
        <v>5.6217640584402444E-3</v>
      </c>
      <c r="U29" s="29">
        <f t="shared" si="10"/>
        <v>9.3836214142798607E-2</v>
      </c>
      <c r="V29" s="29">
        <f t="shared" si="10"/>
        <v>8.351423058709076E-2</v>
      </c>
      <c r="W29" s="29">
        <f t="shared" si="10"/>
        <v>499.63618450338561</v>
      </c>
      <c r="X29" s="29">
        <f t="shared" si="10"/>
        <v>3.3876976256608446E-2</v>
      </c>
      <c r="Y29" s="29">
        <f t="shared" si="10"/>
        <v>0.27002403059815172</v>
      </c>
    </row>
    <row r="30" spans="1:25" s="3" customFormat="1" x14ac:dyDescent="0.25">
      <c r="A30" s="27" t="s">
        <v>207</v>
      </c>
      <c r="B30" s="34">
        <v>2015</v>
      </c>
      <c r="C30" s="134">
        <v>300</v>
      </c>
      <c r="D30" s="134">
        <v>0.38</v>
      </c>
      <c r="E30" s="546">
        <f>VLOOKUP($A30,EFROGS!$A$1:$J$44,(IF($B30=2015,4,IF($B30=2016,5,IF($B30=2017,6,IF($B30=2018,7,IF($B30=2019,8,IF($B30=2020,9,0))))))),FALSE)</f>
        <v>0.12634860383051666</v>
      </c>
      <c r="F30" s="546">
        <f>VLOOKUP($A30,EFCOS!$A$1:$J$44,(IF($B30=2015,4,IF($B30=2016,5,IF($B30=2017,6,IF($B30=2018,7,IF($B30=2019,8,IF($B30=2020,9,0))))))),FALSE)</f>
        <v>0.50758739181396961</v>
      </c>
      <c r="G30" s="546">
        <f>VLOOKUP($A30,EFNOXS!$A$1:$J$44,(IF($B30=2015,4,IF($B30=2016,5,IF($B30=2017,6,IF($B30=2018,7,IF($B30=2019,8,IF($B30=2020,9,0))))))),FALSE)</f>
        <v>1.1481509547445321</v>
      </c>
      <c r="H30" s="546">
        <f>VLOOKUP($A30,EFSOXS!$A$1:$J$44,(IF($B30=2015,4,IF($B30=2016,5,IF($B30=2017,6,IF($B30=2018,7,IF($B30=2019,8,IF($B30=2020,9,0))))))),FALSE)</f>
        <v>2.4954346257058686E-3</v>
      </c>
      <c r="I30" s="546">
        <f>VLOOKUP($A30,EFPMS!$A$1:$J$44,(IF($B30=2015,4,IF($B30=2016,5,IF($B30=2017,6,IF($B30=2018,7,IF($B30=2019,8,IF($B30=2020,9,0))))))),FALSE)</f>
        <v>3.7613858140880155E-2</v>
      </c>
      <c r="J30" s="536">
        <f t="shared" si="8"/>
        <v>3.3476333745383335E-2</v>
      </c>
      <c r="K30" s="549">
        <f>VLOOKUP($A30,EFCO2S!$A$1:$J$44,(IF($B30=2015,4,IF($B30=2016,5,IF($B30=2017,6,IF($B30=2018,7,IF($B30=2019,8,IF($B30=2020,9,0))))))),FALSE)</f>
        <v>254.23854571385056</v>
      </c>
      <c r="L30" s="546">
        <f>VLOOKUP($A30,EFCH4S!$A$1:$J$44,(IF($B30=2015,4,IF($B30=2016,5,IF($B30=2017,6,IF($B30=2018,7,IF($B30=2019,8,IF($B30=2020,9,0))))))),FALSE)</f>
        <v>1.1815564023556229E-2</v>
      </c>
      <c r="M30" s="540">
        <f t="shared" si="9"/>
        <v>0.10907434070073055</v>
      </c>
      <c r="N30" s="109">
        <v>1</v>
      </c>
      <c r="O30" s="109">
        <v>8</v>
      </c>
      <c r="P30" s="109">
        <v>32</v>
      </c>
      <c r="Q30" s="39">
        <f t="shared" si="10"/>
        <v>1.0107888306441333</v>
      </c>
      <c r="R30" s="29">
        <f t="shared" si="10"/>
        <v>4.0606991345117569</v>
      </c>
      <c r="S30" s="29">
        <f t="shared" si="10"/>
        <v>9.1852076379562568</v>
      </c>
      <c r="T30" s="29">
        <f t="shared" si="10"/>
        <v>1.9963477005646948E-2</v>
      </c>
      <c r="U30" s="29">
        <f t="shared" si="10"/>
        <v>0.30091086512704124</v>
      </c>
      <c r="V30" s="29">
        <f t="shared" si="10"/>
        <v>0.26781066996306668</v>
      </c>
      <c r="W30" s="29">
        <f t="shared" si="10"/>
        <v>2033.9083657108044</v>
      </c>
      <c r="X30" s="29">
        <f t="shared" si="10"/>
        <v>9.452451218844983E-2</v>
      </c>
      <c r="Y30" s="29">
        <f t="shared" si="10"/>
        <v>0.87259472560584439</v>
      </c>
    </row>
    <row r="31" spans="1:25" s="3" customFormat="1" x14ac:dyDescent="0.25">
      <c r="A31" s="37" t="s">
        <v>583</v>
      </c>
      <c r="B31" s="34">
        <v>2015</v>
      </c>
      <c r="C31" s="134">
        <v>6</v>
      </c>
      <c r="D31" s="134">
        <v>0.82</v>
      </c>
      <c r="E31" s="546">
        <f>VLOOKUP($A31,EFROGS!$A$1:$J$44,(IF($B31=2015,4,IF($B31=2016,5,IF($B31=2017,6,IF($B31=2018,7,IF($B31=2019,8,IF($B31=2020,9,0))))))),FALSE)</f>
        <v>7.1819076358046203E-3</v>
      </c>
      <c r="F31" s="546">
        <f>VLOOKUP($A31,EFCOS!$A$1:$J$44,(IF($B31=2015,4,IF($B31=2016,5,IF($B31=2017,6,IF($B31=2018,7,IF($B31=2019,8,IF($B31=2020,9,0))))))),FALSE)</f>
        <v>3.5788414726185346E-2</v>
      </c>
      <c r="G31" s="546">
        <f>VLOOKUP($A31,EFNOXS!$A$1:$J$44,(IF($B31=2015,4,IF($B31=2016,5,IF($B31=2017,6,IF($B31=2018,7,IF($B31=2019,8,IF($B31=2020,9,0))))))),FALSE)</f>
        <v>4.2727044104310538E-2</v>
      </c>
      <c r="H31" s="546">
        <f>VLOOKUP($A31,EFSOXS!$A$1:$J$44,(IF($B31=2015,4,IF($B31=2016,5,IF($B31=2017,6,IF($B31=2018,7,IF($B31=2019,8,IF($B31=2020,9,0))))))),FALSE)</f>
        <v>9.6006650553722128E-5</v>
      </c>
      <c r="I31" s="546">
        <f>VLOOKUP($A31,EFPMS!$A$1:$J$44,(IF($B31=2015,4,IF($B31=2016,5,IF($B31=2017,6,IF($B31=2018,7,IF($B31=2019,8,IF($B31=2020,9,0))))))),FALSE)</f>
        <v>1.6695764161062747E-3</v>
      </c>
      <c r="J31" s="536">
        <f t="shared" si="8"/>
        <v>1.4859230103345846E-3</v>
      </c>
      <c r="K31" s="549">
        <f>VLOOKUP($A31,EFCO2S!$A$1:$J$44,(IF($B31=2015,4,IF($B31=2016,5,IF($B31=2017,6,IF($B31=2018,7,IF($B31=2019,8,IF($B31=2020,9,0))))))),FALSE)</f>
        <v>6.1697435407429388</v>
      </c>
      <c r="L31" s="546">
        <f>VLOOKUP($A31,EFCH4S!$A$1:$J$44,(IF($B31=2015,4,IF($B31=2016,5,IF($B31=2017,6,IF($B31=2018,7,IF($B31=2019,8,IF($B31=2020,9,0))))))),FALSE)</f>
        <v>6.4801190876982576E-4</v>
      </c>
      <c r="M31" s="540">
        <f t="shared" si="9"/>
        <v>4.0590691899095015E-3</v>
      </c>
      <c r="N31" s="109">
        <v>1</v>
      </c>
      <c r="O31" s="109">
        <v>8</v>
      </c>
      <c r="P31" s="109">
        <v>32</v>
      </c>
      <c r="Q31" s="39">
        <f t="shared" si="10"/>
        <v>5.7455261086436962E-2</v>
      </c>
      <c r="R31" s="29">
        <f t="shared" si="10"/>
        <v>0.28630731780948276</v>
      </c>
      <c r="S31" s="29">
        <f t="shared" si="10"/>
        <v>0.3418163528344843</v>
      </c>
      <c r="T31" s="29">
        <f t="shared" si="10"/>
        <v>7.6805320442977702E-4</v>
      </c>
      <c r="U31" s="29">
        <f t="shared" si="10"/>
        <v>1.3356611328850198E-2</v>
      </c>
      <c r="V31" s="29">
        <f t="shared" si="10"/>
        <v>1.1887384082676677E-2</v>
      </c>
      <c r="W31" s="29">
        <f t="shared" si="10"/>
        <v>49.357948325943511</v>
      </c>
      <c r="X31" s="29">
        <f t="shared" si="10"/>
        <v>5.1840952701586061E-3</v>
      </c>
      <c r="Y31" s="29">
        <f t="shared" si="10"/>
        <v>3.2472553519276012E-2</v>
      </c>
    </row>
    <row r="32" spans="1:25" s="3" customFormat="1" x14ac:dyDescent="0.25">
      <c r="A32" s="19" t="s">
        <v>38</v>
      </c>
      <c r="B32" s="34"/>
      <c r="C32" s="134"/>
      <c r="D32" s="134"/>
      <c r="E32" s="26"/>
      <c r="F32" s="26"/>
      <c r="G32" s="26"/>
      <c r="H32" s="26"/>
      <c r="I32" s="26"/>
      <c r="J32" s="27"/>
      <c r="K32" s="28"/>
      <c r="L32" s="26"/>
      <c r="M32" s="38"/>
      <c r="N32" s="109"/>
      <c r="O32" s="109"/>
      <c r="P32" s="109"/>
      <c r="Q32" s="138">
        <f t="shared" ref="Q32:Y32" si="11">SUM(Q29:Q31)</f>
        <v>1.4290634597050147</v>
      </c>
      <c r="R32" s="138">
        <f t="shared" si="11"/>
        <v>5.4787998385508869</v>
      </c>
      <c r="S32" s="138">
        <f t="shared" si="11"/>
        <v>12.369382207613391</v>
      </c>
      <c r="T32" s="138">
        <f t="shared" si="11"/>
        <v>2.6353294268516968E-2</v>
      </c>
      <c r="U32" s="138">
        <f t="shared" si="11"/>
        <v>0.40810369059869006</v>
      </c>
      <c r="V32" s="138">
        <f t="shared" si="11"/>
        <v>0.36321228463283411</v>
      </c>
      <c r="W32" s="138">
        <f t="shared" si="11"/>
        <v>2582.9024985401338</v>
      </c>
      <c r="X32" s="138">
        <f t="shared" si="11"/>
        <v>0.13358558371521689</v>
      </c>
      <c r="Y32" s="138">
        <f t="shared" si="11"/>
        <v>1.175091309723272</v>
      </c>
    </row>
    <row r="33" spans="1:25" s="3" customFormat="1" x14ac:dyDescent="0.25">
      <c r="A33" s="27"/>
      <c r="B33" s="34"/>
      <c r="C33" s="134"/>
      <c r="D33" s="134"/>
      <c r="E33" s="26"/>
      <c r="F33" s="26"/>
      <c r="G33" s="26"/>
      <c r="H33" s="26"/>
      <c r="I33" s="26"/>
      <c r="J33" s="27"/>
      <c r="K33" s="28"/>
      <c r="L33" s="26"/>
      <c r="M33" s="38"/>
      <c r="N33" s="109"/>
      <c r="O33" s="109"/>
      <c r="P33" s="109"/>
      <c r="Q33" s="39"/>
      <c r="R33" s="29"/>
      <c r="S33" s="29"/>
      <c r="T33" s="29"/>
      <c r="U33" s="29"/>
      <c r="V33" s="29"/>
      <c r="W33" s="29"/>
      <c r="X33" s="29"/>
      <c r="Y33" s="29"/>
    </row>
    <row r="34" spans="1:25" s="3" customFormat="1" x14ac:dyDescent="0.25">
      <c r="A34" s="19" t="s">
        <v>594</v>
      </c>
      <c r="B34" s="34"/>
      <c r="C34" s="134"/>
      <c r="D34" s="134"/>
      <c r="E34" s="26"/>
      <c r="F34" s="26"/>
      <c r="G34" s="26"/>
      <c r="H34" s="26"/>
      <c r="I34" s="26"/>
      <c r="J34" s="27"/>
      <c r="K34" s="28"/>
      <c r="L34" s="26"/>
      <c r="M34" s="38"/>
      <c r="N34" s="109"/>
      <c r="O34" s="109"/>
      <c r="P34" s="109"/>
      <c r="Q34" s="39"/>
      <c r="R34" s="29"/>
      <c r="S34" s="29"/>
      <c r="T34" s="29"/>
      <c r="U34" s="29"/>
      <c r="V34" s="29"/>
      <c r="W34" s="29"/>
      <c r="X34" s="29"/>
      <c r="Y34" s="29"/>
    </row>
    <row r="35" spans="1:25" s="3" customFormat="1" x14ac:dyDescent="0.25">
      <c r="A35" s="37" t="s">
        <v>162</v>
      </c>
      <c r="B35" s="34">
        <v>2015</v>
      </c>
      <c r="C35" s="134">
        <v>235</v>
      </c>
      <c r="D35" s="134">
        <v>0.38</v>
      </c>
      <c r="E35" s="546">
        <f>VLOOKUP($A35,EFROGS!$A$1:$J$44,(IF($B35=2015,4,IF($B35=2016,5,IF($B35=2017,6,IF($B35=2018,7,IF($B35=2019,8,IF($B35=2020,9,0))))))),FALSE)</f>
        <v>0.12027312265814816</v>
      </c>
      <c r="F35" s="546">
        <f>VLOOKUP($A35,EFCOS!$A$1:$J$44,(IF($B35=2015,4,IF($B35=2016,5,IF($B35=2017,6,IF($B35=2018,7,IF($B35=2019,8,IF($B35=2020,9,0))))))),FALSE)</f>
        <v>0.37726446207654918</v>
      </c>
      <c r="G35" s="546">
        <f>VLOOKUP($A35,EFNOXS!$A$1:$J$44,(IF($B35=2015,4,IF($B35=2016,5,IF($B35=2017,6,IF($B35=2018,7,IF($B35=2019,8,IF($B35=2020,9,0))))))),FALSE)</f>
        <v>0.94745273894088322</v>
      </c>
      <c r="H35" s="546">
        <f>VLOOKUP($A35,EFSOXS!$A$1:$J$44,(IF($B35=2015,4,IF($B35=2016,5,IF($B35=2017,6,IF($B35=2018,7,IF($B35=2019,8,IF($B35=2020,9,0))))))),FALSE)</f>
        <v>1.8739213528134147E-3</v>
      </c>
      <c r="I35" s="546">
        <f>VLOOKUP($A35,EFPMS!$A$1:$J$44,(IF($B35=2015,4,IF($B35=2016,5,IF($B35=2017,6,IF($B35=2018,7,IF($B35=2019,8,IF($B35=2020,9,0))))))),FALSE)</f>
        <v>3.1278738047599536E-2</v>
      </c>
      <c r="J35" s="536">
        <f t="shared" ref="J35:J37" si="12">0.89*I35</f>
        <v>2.7838076862363587E-2</v>
      </c>
      <c r="K35" s="549">
        <f>VLOOKUP($A35,EFCO2S!$A$1:$J$44,(IF($B35=2015,4,IF($B35=2016,5,IF($B35=2017,6,IF($B35=2018,7,IF($B35=2019,8,IF($B35=2020,9,0))))))),FALSE)</f>
        <v>166.54539483446186</v>
      </c>
      <c r="L35" s="546">
        <f>VLOOKUP($A35,EFCH4S!$A$1:$J$44,(IF($B35=2015,4,IF($B35=2016,5,IF($B35=2017,6,IF($B35=2018,7,IF($B35=2019,8,IF($B35=2020,9,0))))))),FALSE)</f>
        <v>1.1292325418869483E-2</v>
      </c>
      <c r="M35" s="540">
        <f t="shared" ref="M35:M37" si="13">0.095*G35</f>
        <v>9.0008010199383912E-2</v>
      </c>
      <c r="N35" s="109">
        <v>1</v>
      </c>
      <c r="O35" s="109">
        <v>3</v>
      </c>
      <c r="P35" s="109">
        <v>36</v>
      </c>
      <c r="Q35" s="39">
        <f t="shared" ref="Q35:Y37" si="14">(E35*$N35*$O35)</f>
        <v>0.36081936797444447</v>
      </c>
      <c r="R35" s="29">
        <f t="shared" si="14"/>
        <v>1.1317933862296474</v>
      </c>
      <c r="S35" s="29">
        <f t="shared" si="14"/>
        <v>2.8423582168226496</v>
      </c>
      <c r="T35" s="29">
        <f t="shared" si="14"/>
        <v>5.6217640584402444E-3</v>
      </c>
      <c r="U35" s="29">
        <f t="shared" si="14"/>
        <v>9.3836214142798607E-2</v>
      </c>
      <c r="V35" s="29">
        <f t="shared" si="14"/>
        <v>8.351423058709076E-2</v>
      </c>
      <c r="W35" s="29">
        <f t="shared" si="14"/>
        <v>499.63618450338561</v>
      </c>
      <c r="X35" s="29">
        <f t="shared" si="14"/>
        <v>3.3876976256608446E-2</v>
      </c>
      <c r="Y35" s="29">
        <f t="shared" si="14"/>
        <v>0.27002403059815172</v>
      </c>
    </row>
    <row r="36" spans="1:25" s="3" customFormat="1" x14ac:dyDescent="0.25">
      <c r="A36" s="27" t="s">
        <v>207</v>
      </c>
      <c r="B36" s="34">
        <v>2015</v>
      </c>
      <c r="C36" s="134">
        <v>300</v>
      </c>
      <c r="D36" s="134">
        <v>0.38</v>
      </c>
      <c r="E36" s="546">
        <f>VLOOKUP($A36,EFROGS!$A$1:$J$44,(IF($B36=2015,4,IF($B36=2016,5,IF($B36=2017,6,IF($B36=2018,7,IF($B36=2019,8,IF($B36=2020,9,0))))))),FALSE)</f>
        <v>0.12634860383051666</v>
      </c>
      <c r="F36" s="546">
        <f>VLOOKUP($A36,EFCOS!$A$1:$J$44,(IF($B36=2015,4,IF($B36=2016,5,IF($B36=2017,6,IF($B36=2018,7,IF($B36=2019,8,IF($B36=2020,9,0))))))),FALSE)</f>
        <v>0.50758739181396961</v>
      </c>
      <c r="G36" s="546">
        <f>VLOOKUP($A36,EFNOXS!$A$1:$J$44,(IF($B36=2015,4,IF($B36=2016,5,IF($B36=2017,6,IF($B36=2018,7,IF($B36=2019,8,IF($B36=2020,9,0))))))),FALSE)</f>
        <v>1.1481509547445321</v>
      </c>
      <c r="H36" s="546">
        <f>VLOOKUP($A36,EFSOXS!$A$1:$J$44,(IF($B36=2015,4,IF($B36=2016,5,IF($B36=2017,6,IF($B36=2018,7,IF($B36=2019,8,IF($B36=2020,9,0))))))),FALSE)</f>
        <v>2.4954346257058686E-3</v>
      </c>
      <c r="I36" s="546">
        <f>VLOOKUP($A36,EFPMS!$A$1:$J$44,(IF($B36=2015,4,IF($B36=2016,5,IF($B36=2017,6,IF($B36=2018,7,IF($B36=2019,8,IF($B36=2020,9,0))))))),FALSE)</f>
        <v>3.7613858140880155E-2</v>
      </c>
      <c r="J36" s="536">
        <f t="shared" si="12"/>
        <v>3.3476333745383335E-2</v>
      </c>
      <c r="K36" s="549">
        <f>VLOOKUP($A36,EFCO2S!$A$1:$J$44,(IF($B36=2015,4,IF($B36=2016,5,IF($B36=2017,6,IF($B36=2018,7,IF($B36=2019,8,IF($B36=2020,9,0))))))),FALSE)</f>
        <v>254.23854571385056</v>
      </c>
      <c r="L36" s="546">
        <f>VLOOKUP($A36,EFCH4S!$A$1:$J$44,(IF($B36=2015,4,IF($B36=2016,5,IF($B36=2017,6,IF($B36=2018,7,IF($B36=2019,8,IF($B36=2020,9,0))))))),FALSE)</f>
        <v>1.1815564023556229E-2</v>
      </c>
      <c r="M36" s="540">
        <f t="shared" si="13"/>
        <v>0.10907434070073055</v>
      </c>
      <c r="N36" s="109">
        <v>1</v>
      </c>
      <c r="O36" s="109">
        <v>8</v>
      </c>
      <c r="P36" s="109">
        <v>8</v>
      </c>
      <c r="Q36" s="39">
        <f t="shared" si="14"/>
        <v>1.0107888306441333</v>
      </c>
      <c r="R36" s="29">
        <f t="shared" si="14"/>
        <v>4.0606991345117569</v>
      </c>
      <c r="S36" s="29">
        <f t="shared" si="14"/>
        <v>9.1852076379562568</v>
      </c>
      <c r="T36" s="29">
        <f t="shared" si="14"/>
        <v>1.9963477005646948E-2</v>
      </c>
      <c r="U36" s="29">
        <f t="shared" si="14"/>
        <v>0.30091086512704124</v>
      </c>
      <c r="V36" s="29">
        <f t="shared" si="14"/>
        <v>0.26781066996306668</v>
      </c>
      <c r="W36" s="29">
        <f t="shared" si="14"/>
        <v>2033.9083657108044</v>
      </c>
      <c r="X36" s="29">
        <f t="shared" si="14"/>
        <v>9.452451218844983E-2</v>
      </c>
      <c r="Y36" s="29">
        <f t="shared" si="14"/>
        <v>0.87259472560584439</v>
      </c>
    </row>
    <row r="37" spans="1:25" s="3" customFormat="1" x14ac:dyDescent="0.25">
      <c r="A37" s="37" t="s">
        <v>583</v>
      </c>
      <c r="B37" s="34">
        <v>2015</v>
      </c>
      <c r="C37" s="134">
        <v>6</v>
      </c>
      <c r="D37" s="134">
        <v>0.82</v>
      </c>
      <c r="E37" s="546">
        <f>VLOOKUP($A37,EFROGS!$A$1:$J$44,(IF($B37=2015,4,IF($B37=2016,5,IF($B37=2017,6,IF($B37=2018,7,IF($B37=2019,8,IF($B37=2020,9,0))))))),FALSE)</f>
        <v>7.1819076358046203E-3</v>
      </c>
      <c r="F37" s="546">
        <f>VLOOKUP($A37,EFCOS!$A$1:$J$44,(IF($B37=2015,4,IF($B37=2016,5,IF($B37=2017,6,IF($B37=2018,7,IF($B37=2019,8,IF($B37=2020,9,0))))))),FALSE)</f>
        <v>3.5788414726185346E-2</v>
      </c>
      <c r="G37" s="546">
        <f>VLOOKUP($A37,EFNOXS!$A$1:$J$44,(IF($B37=2015,4,IF($B37=2016,5,IF($B37=2017,6,IF($B37=2018,7,IF($B37=2019,8,IF($B37=2020,9,0))))))),FALSE)</f>
        <v>4.2727044104310538E-2</v>
      </c>
      <c r="H37" s="546">
        <f>VLOOKUP($A37,EFSOXS!$A$1:$J$44,(IF($B37=2015,4,IF($B37=2016,5,IF($B37=2017,6,IF($B37=2018,7,IF($B37=2019,8,IF($B37=2020,9,0))))))),FALSE)</f>
        <v>9.6006650553722128E-5</v>
      </c>
      <c r="I37" s="546">
        <f>VLOOKUP($A37,EFPMS!$A$1:$J$44,(IF($B37=2015,4,IF($B37=2016,5,IF($B37=2017,6,IF($B37=2018,7,IF($B37=2019,8,IF($B37=2020,9,0))))))),FALSE)</f>
        <v>1.6695764161062747E-3</v>
      </c>
      <c r="J37" s="536">
        <f t="shared" si="12"/>
        <v>1.4859230103345846E-3</v>
      </c>
      <c r="K37" s="549">
        <f>VLOOKUP($A37,EFCO2S!$A$1:$J$44,(IF($B37=2015,4,IF($B37=2016,5,IF($B37=2017,6,IF($B37=2018,7,IF($B37=2019,8,IF($B37=2020,9,0))))))),FALSE)</f>
        <v>6.1697435407429388</v>
      </c>
      <c r="L37" s="546">
        <f>VLOOKUP($A37,EFCH4S!$A$1:$J$44,(IF($B37=2015,4,IF($B37=2016,5,IF($B37=2017,6,IF($B37=2018,7,IF($B37=2019,8,IF($B37=2020,9,0))))))),FALSE)</f>
        <v>6.4801190876982576E-4</v>
      </c>
      <c r="M37" s="540">
        <f t="shared" si="13"/>
        <v>4.0590691899095015E-3</v>
      </c>
      <c r="N37" s="109">
        <v>1</v>
      </c>
      <c r="O37" s="109">
        <v>8</v>
      </c>
      <c r="P37" s="109">
        <v>8</v>
      </c>
      <c r="Q37" s="39">
        <f t="shared" si="14"/>
        <v>5.7455261086436962E-2</v>
      </c>
      <c r="R37" s="29">
        <f t="shared" si="14"/>
        <v>0.28630731780948276</v>
      </c>
      <c r="S37" s="29">
        <f t="shared" si="14"/>
        <v>0.3418163528344843</v>
      </c>
      <c r="T37" s="29">
        <f t="shared" si="14"/>
        <v>7.6805320442977702E-4</v>
      </c>
      <c r="U37" s="29">
        <f t="shared" si="14"/>
        <v>1.3356611328850198E-2</v>
      </c>
      <c r="V37" s="29">
        <f t="shared" si="14"/>
        <v>1.1887384082676677E-2</v>
      </c>
      <c r="W37" s="29">
        <f t="shared" si="14"/>
        <v>49.357948325943511</v>
      </c>
      <c r="X37" s="29">
        <f t="shared" si="14"/>
        <v>5.1840952701586061E-3</v>
      </c>
      <c r="Y37" s="29">
        <f t="shared" si="14"/>
        <v>3.2472553519276012E-2</v>
      </c>
    </row>
    <row r="38" spans="1:25" s="3" customFormat="1" x14ac:dyDescent="0.25">
      <c r="A38" s="19" t="s">
        <v>38</v>
      </c>
      <c r="B38" s="34"/>
      <c r="C38" s="134"/>
      <c r="D38" s="134"/>
      <c r="E38" s="26"/>
      <c r="F38" s="26"/>
      <c r="G38" s="26"/>
      <c r="H38" s="26"/>
      <c r="I38" s="26"/>
      <c r="J38" s="27"/>
      <c r="K38" s="28"/>
      <c r="L38" s="26"/>
      <c r="M38" s="38"/>
      <c r="N38" s="109"/>
      <c r="O38" s="109"/>
      <c r="P38" s="109"/>
      <c r="Q38" s="138">
        <f t="shared" ref="Q38:Y38" si="15">SUM(Q35:Q37)</f>
        <v>1.4290634597050147</v>
      </c>
      <c r="R38" s="138">
        <f t="shared" si="15"/>
        <v>5.4787998385508869</v>
      </c>
      <c r="S38" s="138">
        <f t="shared" si="15"/>
        <v>12.369382207613391</v>
      </c>
      <c r="T38" s="138">
        <f t="shared" si="15"/>
        <v>2.6353294268516968E-2</v>
      </c>
      <c r="U38" s="138">
        <f t="shared" si="15"/>
        <v>0.40810369059869006</v>
      </c>
      <c r="V38" s="138">
        <f t="shared" si="15"/>
        <v>0.36321228463283411</v>
      </c>
      <c r="W38" s="138">
        <f t="shared" si="15"/>
        <v>2582.9024985401338</v>
      </c>
      <c r="X38" s="138">
        <f t="shared" si="15"/>
        <v>0.13358558371521689</v>
      </c>
      <c r="Y38" s="138">
        <f t="shared" si="15"/>
        <v>1.175091309723272</v>
      </c>
    </row>
    <row r="39" spans="1:25" s="3" customFormat="1" x14ac:dyDescent="0.25">
      <c r="A39" s="27"/>
      <c r="B39" s="34"/>
      <c r="C39" s="134"/>
      <c r="D39" s="134"/>
      <c r="E39" s="26"/>
      <c r="F39" s="26"/>
      <c r="G39" s="26"/>
      <c r="H39" s="26"/>
      <c r="I39" s="26"/>
      <c r="J39" s="27"/>
      <c r="K39" s="28"/>
      <c r="L39" s="26"/>
      <c r="M39" s="38"/>
      <c r="N39" s="109"/>
      <c r="O39" s="109"/>
      <c r="P39" s="109"/>
      <c r="Q39" s="39"/>
      <c r="R39" s="29"/>
      <c r="S39" s="29"/>
      <c r="T39" s="29"/>
      <c r="U39" s="29"/>
      <c r="V39" s="29"/>
      <c r="W39" s="29"/>
      <c r="X39" s="29"/>
      <c r="Y39" s="29"/>
    </row>
    <row r="40" spans="1:25" s="3" customFormat="1" x14ac:dyDescent="0.25">
      <c r="A40" s="12" t="s">
        <v>595</v>
      </c>
      <c r="B40" s="34"/>
      <c r="C40" s="134"/>
      <c r="D40" s="134"/>
      <c r="E40" s="26"/>
      <c r="F40" s="26"/>
      <c r="G40" s="26"/>
      <c r="H40" s="26"/>
      <c r="I40" s="26"/>
      <c r="J40" s="27"/>
      <c r="K40" s="28"/>
      <c r="L40" s="26"/>
      <c r="M40" s="38"/>
      <c r="N40" s="109"/>
      <c r="O40" s="109"/>
      <c r="P40" s="109"/>
      <c r="Q40" s="39"/>
      <c r="R40" s="29"/>
      <c r="S40" s="29"/>
      <c r="T40" s="29"/>
      <c r="U40" s="29"/>
      <c r="V40" s="29"/>
      <c r="W40" s="29"/>
      <c r="X40" s="29"/>
      <c r="Y40" s="29"/>
    </row>
    <row r="41" spans="1:25" s="3" customFormat="1" x14ac:dyDescent="0.25">
      <c r="A41" s="12" t="s">
        <v>596</v>
      </c>
      <c r="B41" s="34"/>
      <c r="C41" s="134"/>
      <c r="D41" s="134"/>
      <c r="E41" s="26"/>
      <c r="F41" s="26"/>
      <c r="G41" s="26"/>
      <c r="H41" s="26"/>
      <c r="I41" s="26"/>
      <c r="J41" s="27"/>
      <c r="K41" s="28"/>
      <c r="L41" s="26"/>
      <c r="M41" s="38"/>
      <c r="N41" s="109"/>
      <c r="O41" s="109"/>
      <c r="P41" s="109"/>
      <c r="Q41" s="39"/>
      <c r="R41" s="29"/>
      <c r="S41" s="29"/>
      <c r="T41" s="29"/>
      <c r="U41" s="29"/>
      <c r="V41" s="29"/>
      <c r="W41" s="29"/>
      <c r="X41" s="29"/>
      <c r="Y41" s="29"/>
    </row>
    <row r="42" spans="1:25" s="3" customFormat="1" x14ac:dyDescent="0.25">
      <c r="A42" s="27" t="s">
        <v>155</v>
      </c>
      <c r="B42" s="34">
        <v>2015</v>
      </c>
      <c r="C42" s="134">
        <v>82</v>
      </c>
      <c r="D42" s="134">
        <v>0.5</v>
      </c>
      <c r="E42" s="546">
        <f>VLOOKUP($A42,EFROGS!$A$1:$J$44,(IF($B42=2015,4,IF($B42=2016,5,IF($B42=2017,6,IF($B42=2018,7,IF($B42=2019,8,IF($B42=2020,9,0))))))),FALSE)</f>
        <v>3.6309327217992599E-2</v>
      </c>
      <c r="F42" s="546">
        <f>VLOOKUP($A42,EFCOS!$A$1:$J$44,(IF($B42=2015,4,IF($B42=2016,5,IF($B42=2017,6,IF($B42=2018,7,IF($B42=2019,8,IF($B42=2020,9,0))))))),FALSE)</f>
        <v>0.46093801457747435</v>
      </c>
      <c r="G42" s="546">
        <f>VLOOKUP($A42,EFNOXS!$A$1:$J$44,(IF($B42=2015,4,IF($B42=2016,5,IF($B42=2017,6,IF($B42=2018,7,IF($B42=2019,8,IF($B42=2020,9,0))))))),FALSE)</f>
        <v>0.36619894798559588</v>
      </c>
      <c r="H42" s="546">
        <f>VLOOKUP($A42,EFSOXS!$A$1:$J$44,(IF($B42=2015,4,IF($B42=2016,5,IF($B42=2017,6,IF($B42=2018,7,IF($B42=2019,8,IF($B42=2020,9,0))))))),FALSE)</f>
        <v>9.0467796015684726E-4</v>
      </c>
      <c r="I42" s="546">
        <f>VLOOKUP($A42,EFPMS!$A$1:$J$44,(IF($B42=2015,4,IF($B42=2016,5,IF($B42=2017,6,IF($B42=2018,7,IF($B42=2019,8,IF($B42=2020,9,0))))))),FALSE)</f>
        <v>1.5314374699910852E-2</v>
      </c>
      <c r="J42" s="536">
        <f t="shared" ref="J42:J47" si="16">0.89*I42</f>
        <v>1.3629793482920658E-2</v>
      </c>
      <c r="K42" s="549">
        <f>VLOOKUP($A42,EFCO2S!$A$1:$J$44,(IF($B42=2015,4,IF($B42=2016,5,IF($B42=2017,6,IF($B42=2018,7,IF($B42=2019,8,IF($B42=2020,9,0))))))),FALSE)</f>
        <v>77.121767330485099</v>
      </c>
      <c r="L42" s="546">
        <f>VLOOKUP($A42,EFCH4S!$A$1:$J$44,(IF($B42=2015,4,IF($B42=2016,5,IF($B42=2017,6,IF($B42=2018,7,IF($B42=2019,8,IF($B42=2020,9,0))))))),FALSE)</f>
        <v>3.3884664579035585E-3</v>
      </c>
      <c r="M42" s="540">
        <f t="shared" ref="M42:M47" si="17">0.095*G42</f>
        <v>3.4788900058631611E-2</v>
      </c>
      <c r="N42" s="109">
        <v>1</v>
      </c>
      <c r="O42" s="109">
        <v>6.4</v>
      </c>
      <c r="P42" s="109">
        <v>204.8</v>
      </c>
      <c r="Q42" s="39">
        <f t="shared" ref="Q42:Y47" si="18">(E42*$N42*$O42)</f>
        <v>0.23237969419515264</v>
      </c>
      <c r="R42" s="29">
        <f t="shared" si="18"/>
        <v>2.9500032932958362</v>
      </c>
      <c r="S42" s="29">
        <f t="shared" si="18"/>
        <v>2.3436732671078135</v>
      </c>
      <c r="T42" s="29">
        <f t="shared" si="18"/>
        <v>5.7899389450038231E-3</v>
      </c>
      <c r="U42" s="29">
        <f t="shared" si="18"/>
        <v>9.8011998079429452E-2</v>
      </c>
      <c r="V42" s="29">
        <f t="shared" si="18"/>
        <v>8.7230678290692212E-2</v>
      </c>
      <c r="W42" s="29">
        <f t="shared" si="18"/>
        <v>493.57931091510466</v>
      </c>
      <c r="X42" s="29">
        <f t="shared" si="18"/>
        <v>2.1686185330582777E-2</v>
      </c>
      <c r="Y42" s="29">
        <f t="shared" si="18"/>
        <v>0.22264896037524232</v>
      </c>
    </row>
    <row r="43" spans="1:25" s="3" customFormat="1" x14ac:dyDescent="0.25">
      <c r="A43" s="27" t="s">
        <v>197</v>
      </c>
      <c r="B43" s="34">
        <v>2015</v>
      </c>
      <c r="C43" s="134">
        <v>200</v>
      </c>
      <c r="D43" s="134">
        <v>0.36</v>
      </c>
      <c r="E43" s="546">
        <f>VLOOKUP($A43,EFROGS!$A$1:$J$44,(IF($B43=2015,4,IF($B43=2016,5,IF($B43=2017,6,IF($B43=2018,7,IF($B43=2019,8,IF($B43=2020,9,0))))))),FALSE)</f>
        <v>0.10736823912786365</v>
      </c>
      <c r="F43" s="546">
        <f>VLOOKUP($A43,EFCOS!$A$1:$J$44,(IF($B43=2015,4,IF($B43=2016,5,IF($B43=2017,6,IF($B43=2018,7,IF($B43=2019,8,IF($B43=2020,9,0))))))),FALSE)</f>
        <v>0.34779590495709528</v>
      </c>
      <c r="G43" s="546">
        <f>VLOOKUP($A43,EFNOXS!$A$1:$J$44,(IF($B43=2015,4,IF($B43=2016,5,IF($B43=2017,6,IF($B43=2018,7,IF($B43=2019,8,IF($B43=2020,9,0))))))),FALSE)</f>
        <v>0.95148079591778234</v>
      </c>
      <c r="H43" s="546">
        <f>VLOOKUP($A43,EFSOXS!$A$1:$J$44,(IF($B43=2015,4,IF($B43=2016,5,IF($B43=2017,6,IF($B43=2018,7,IF($B43=2019,8,IF($B43=2020,9,0))))))),FALSE)</f>
        <v>1.676243123421701E-3</v>
      </c>
      <c r="I43" s="546">
        <f>VLOOKUP($A43,EFPMS!$A$1:$J$44,(IF($B43=2015,4,IF($B43=2016,5,IF($B43=2017,6,IF($B43=2018,7,IF($B43=2019,8,IF($B43=2020,9,0))))))),FALSE)</f>
        <v>3.2120532550839874E-2</v>
      </c>
      <c r="J43" s="536">
        <f t="shared" si="16"/>
        <v>2.858727397024749E-2</v>
      </c>
      <c r="K43" s="549">
        <f>VLOOKUP($A43,EFCO2S!$A$1:$J$44,(IF($B43=2015,4,IF($B43=2016,5,IF($B43=2017,6,IF($B43=2018,7,IF($B43=2019,8,IF($B43=2020,9,0))))))),FALSE)</f>
        <v>148.97664453593197</v>
      </c>
      <c r="L43" s="546">
        <f>VLOOKUP($A43,EFCH4S!$A$1:$J$44,(IF($B43=2015,4,IF($B43=2016,5,IF($B43=2017,6,IF($B43=2018,7,IF($B43=2019,8,IF($B43=2020,9,0))))))),FALSE)</f>
        <v>1.0092011106863865E-2</v>
      </c>
      <c r="M43" s="540">
        <f t="shared" si="17"/>
        <v>9.0390675612189317E-2</v>
      </c>
      <c r="N43" s="109">
        <v>1</v>
      </c>
      <c r="O43" s="109">
        <v>3.2</v>
      </c>
      <c r="P43" s="109">
        <v>102.4</v>
      </c>
      <c r="Q43" s="39">
        <f t="shared" si="18"/>
        <v>0.34357836520916374</v>
      </c>
      <c r="R43" s="29">
        <f t="shared" si="18"/>
        <v>1.1129468958627049</v>
      </c>
      <c r="S43" s="29">
        <f t="shared" si="18"/>
        <v>3.0447385469369035</v>
      </c>
      <c r="T43" s="29">
        <f t="shared" si="18"/>
        <v>5.3639779949494438E-3</v>
      </c>
      <c r="U43" s="29">
        <f t="shared" si="18"/>
        <v>0.10278570416268761</v>
      </c>
      <c r="V43" s="29">
        <f t="shared" si="18"/>
        <v>9.1479276704791973E-2</v>
      </c>
      <c r="W43" s="29">
        <f t="shared" si="18"/>
        <v>476.72526251498232</v>
      </c>
      <c r="X43" s="29">
        <f t="shared" si="18"/>
        <v>3.2294435541964366E-2</v>
      </c>
      <c r="Y43" s="29">
        <f t="shared" si="18"/>
        <v>0.28925016195900582</v>
      </c>
    </row>
    <row r="44" spans="1:25" s="3" customFormat="1" x14ac:dyDescent="0.25">
      <c r="A44" s="27" t="s">
        <v>199</v>
      </c>
      <c r="B44" s="34">
        <v>2015</v>
      </c>
      <c r="C44" s="134">
        <v>175</v>
      </c>
      <c r="D44" s="134">
        <v>0.38</v>
      </c>
      <c r="E44" s="546">
        <f>VLOOKUP($A44,EFROGS!$A$1:$J$44,(IF($B44=2015,4,IF($B44=2016,5,IF($B44=2017,6,IF($B44=2018,7,IF($B44=2019,8,IF($B44=2020,9,0))))))),FALSE)</f>
        <v>0.11992127080629632</v>
      </c>
      <c r="F44" s="546">
        <f>VLOOKUP($A44,EFCOS!$A$1:$J$44,(IF($B44=2015,4,IF($B44=2016,5,IF($B44=2017,6,IF($B44=2018,7,IF($B44=2019,8,IF($B44=2020,9,0))))))),FALSE)</f>
        <v>0.37073007054215767</v>
      </c>
      <c r="G44" s="546">
        <f>VLOOKUP($A44,EFNOXS!$A$1:$J$44,(IF($B44=2015,4,IF($B44=2016,5,IF($B44=2017,6,IF($B44=2018,7,IF($B44=2019,8,IF($B44=2020,9,0))))))),FALSE)</f>
        <v>0.94368289767104196</v>
      </c>
      <c r="H44" s="546">
        <f>VLOOKUP($A44,EFSOXS!$A$1:$J$44,(IF($B44=2015,4,IF($B44=2016,5,IF($B44=2017,6,IF($B44=2018,7,IF($B44=2019,8,IF($B44=2020,9,0))))))),FALSE)</f>
        <v>1.8739213528134147E-3</v>
      </c>
      <c r="I44" s="546">
        <f>VLOOKUP($A44,EFPMS!$A$1:$J$44,(IF($B44=2015,4,IF($B44=2016,5,IF($B44=2017,6,IF($B44=2018,7,IF($B44=2019,8,IF($B44=2020,9,0))))))),FALSE)</f>
        <v>3.1241039634901123E-2</v>
      </c>
      <c r="J44" s="536">
        <f t="shared" si="16"/>
        <v>2.7804525275062001E-2</v>
      </c>
      <c r="K44" s="549">
        <f>VLOOKUP($A44,EFCO2S!$A$1:$J$44,(IF($B44=2015,4,IF($B44=2016,5,IF($B44=2017,6,IF($B44=2018,7,IF($B44=2019,8,IF($B44=2020,9,0))))))),FALSE)</f>
        <v>166.54539483446186</v>
      </c>
      <c r="L44" s="546">
        <f>VLOOKUP($A44,EFCH4S!$A$1:$J$44,(IF($B44=2015,4,IF($B44=2016,5,IF($B44=2017,6,IF($B44=2018,7,IF($B44=2019,8,IF($B44=2020,9,0))))))),FALSE)</f>
        <v>1.1292325418869483E-2</v>
      </c>
      <c r="M44" s="540">
        <f t="shared" si="17"/>
        <v>8.9649875278748986E-2</v>
      </c>
      <c r="N44" s="109">
        <v>1</v>
      </c>
      <c r="O44" s="109">
        <v>3</v>
      </c>
      <c r="P44" s="109">
        <v>36</v>
      </c>
      <c r="Q44" s="39">
        <f t="shared" si="18"/>
        <v>0.35976381241888894</v>
      </c>
      <c r="R44" s="29">
        <f t="shared" si="18"/>
        <v>1.112190211626473</v>
      </c>
      <c r="S44" s="29">
        <f t="shared" si="18"/>
        <v>2.831048693013126</v>
      </c>
      <c r="T44" s="29">
        <f t="shared" si="18"/>
        <v>5.6217640584402444E-3</v>
      </c>
      <c r="U44" s="29">
        <f t="shared" si="18"/>
        <v>9.3723118904703362E-2</v>
      </c>
      <c r="V44" s="29">
        <f t="shared" si="18"/>
        <v>8.3413575825186007E-2</v>
      </c>
      <c r="W44" s="29">
        <f t="shared" si="18"/>
        <v>499.63618450338561</v>
      </c>
      <c r="X44" s="29">
        <f t="shared" si="18"/>
        <v>3.3876976256608446E-2</v>
      </c>
      <c r="Y44" s="29">
        <f t="shared" si="18"/>
        <v>0.26894962583624693</v>
      </c>
    </row>
    <row r="45" spans="1:25" s="3" customFormat="1" x14ac:dyDescent="0.25">
      <c r="A45" s="27" t="s">
        <v>192</v>
      </c>
      <c r="B45" s="34">
        <v>2015</v>
      </c>
      <c r="C45" s="134">
        <v>45</v>
      </c>
      <c r="D45" s="134">
        <v>0.48</v>
      </c>
      <c r="E45" s="546">
        <f>VLOOKUP($A45,EFROGS!$A$1:$J$44,(IF($B45=2015,4,IF($B45=2016,5,IF($B45=2017,6,IF($B45=2018,7,IF($B45=2019,8,IF($B45=2020,9,0))))))),FALSE)</f>
        <v>7.4731714184131492E-2</v>
      </c>
      <c r="F45" s="546">
        <f>VLOOKUP($A45,EFCOS!$A$1:$J$44,(IF($B45=2015,4,IF($B45=2016,5,IF($B45=2017,6,IF($B45=2018,7,IF($B45=2019,8,IF($B45=2020,9,0))))))),FALSE)</f>
        <v>0.24453724453802805</v>
      </c>
      <c r="G45" s="546">
        <f>VLOOKUP($A45,EFNOXS!$A$1:$J$44,(IF($B45=2015,4,IF($B45=2016,5,IF($B45=2017,6,IF($B45=2018,7,IF($B45=2019,8,IF($B45=2020,9,0))))))),FALSE)</f>
        <v>0.22305455439379515</v>
      </c>
      <c r="H45" s="546">
        <f>VLOOKUP($A45,EFSOXS!$A$1:$J$44,(IF($B45=2015,4,IF($B45=2016,5,IF($B45=2017,6,IF($B45=2018,7,IF($B45=2019,8,IF($B45=2020,9,0))))))),FALSE)</f>
        <v>2.8791180196343529E-4</v>
      </c>
      <c r="I45" s="546">
        <f>VLOOKUP($A45,EFPMS!$A$1:$J$44,(IF($B45=2015,4,IF($B45=2016,5,IF($B45=2017,6,IF($B45=2018,7,IF($B45=2019,8,IF($B45=2020,9,0))))))),FALSE)</f>
        <v>1.8470024929196412E-2</v>
      </c>
      <c r="J45" s="536">
        <f t="shared" si="16"/>
        <v>1.6438322186984808E-2</v>
      </c>
      <c r="K45" s="549">
        <f>VLOOKUP($A45,EFCO2S!$A$1:$J$44,(IF($B45=2015,4,IF($B45=2016,5,IF($B45=2017,6,IF($B45=2018,7,IF($B45=2019,8,IF($B45=2020,9,0))))))),FALSE)</f>
        <v>22.271261510097837</v>
      </c>
      <c r="L45" s="546">
        <f>VLOOKUP($A45,EFCH4S!$A$1:$J$44,(IF($B45=2015,4,IF($B45=2016,5,IF($B45=2017,6,IF($B45=2018,7,IF($B45=2019,8,IF($B45=2020,9,0))))))),FALSE)</f>
        <v>6.7429224274720354E-3</v>
      </c>
      <c r="M45" s="540">
        <f t="shared" si="17"/>
        <v>2.1190182667410538E-2</v>
      </c>
      <c r="N45" s="109">
        <v>1</v>
      </c>
      <c r="O45" s="109">
        <v>6.4</v>
      </c>
      <c r="P45" s="109">
        <v>64</v>
      </c>
      <c r="Q45" s="39">
        <f t="shared" si="18"/>
        <v>0.47828297077844156</v>
      </c>
      <c r="R45" s="29">
        <f t="shared" si="18"/>
        <v>1.5650383650433797</v>
      </c>
      <c r="S45" s="29">
        <f t="shared" si="18"/>
        <v>1.4275491481202891</v>
      </c>
      <c r="T45" s="29">
        <f t="shared" si="18"/>
        <v>1.8426355325659859E-3</v>
      </c>
      <c r="U45" s="29">
        <f t="shared" si="18"/>
        <v>0.11820815954685704</v>
      </c>
      <c r="V45" s="29">
        <f t="shared" si="18"/>
        <v>0.10520526199670277</v>
      </c>
      <c r="W45" s="29">
        <f t="shared" si="18"/>
        <v>142.53607366462617</v>
      </c>
      <c r="X45" s="29">
        <f t="shared" si="18"/>
        <v>4.3154703535821029E-2</v>
      </c>
      <c r="Y45" s="29">
        <f t="shared" si="18"/>
        <v>0.13561716907142746</v>
      </c>
    </row>
    <row r="46" spans="1:25" s="3" customFormat="1" x14ac:dyDescent="0.25">
      <c r="A46" s="37" t="s">
        <v>589</v>
      </c>
      <c r="B46" s="34">
        <v>2015</v>
      </c>
      <c r="C46" s="134">
        <v>235</v>
      </c>
      <c r="D46" s="134">
        <v>0.38</v>
      </c>
      <c r="E46" s="546">
        <f>VLOOKUP($A46,EFROGS!$A$1:$J$44,(IF($B46=2015,4,IF($B46=2016,5,IF($B46=2017,6,IF($B46=2018,7,IF($B46=2019,8,IF($B46=2020,9,0))))))),FALSE)</f>
        <v>0.11889503623839508</v>
      </c>
      <c r="F46" s="546">
        <f>VLOOKUP($A46,EFCOS!$A$1:$J$44,(IF($B46=2015,4,IF($B46=2016,5,IF($B46=2017,6,IF($B46=2018,7,IF($B46=2019,8,IF($B46=2020,9,0))))))),FALSE)</f>
        <v>0.35167142856684902</v>
      </c>
      <c r="G46" s="546">
        <f>VLOOKUP($A46,EFNOXS!$A$1:$J$44,(IF($B46=2015,4,IF($B46=2016,5,IF($B46=2017,6,IF($B46=2018,7,IF($B46=2019,8,IF($B46=2020,9,0))))))),FALSE)</f>
        <v>0.93268752730067161</v>
      </c>
      <c r="H46" s="546">
        <f>VLOOKUP($A46,EFSOXS!$A$1:$J$44,(IF($B46=2015,4,IF($B46=2016,5,IF($B46=2017,6,IF($B46=2018,7,IF($B46=2019,8,IF($B46=2020,9,0))))))),FALSE)</f>
        <v>1.8739213528134147E-3</v>
      </c>
      <c r="I46" s="546">
        <f>VLOOKUP($A46,EFPMS!$A$1:$J$44,(IF($B46=2015,4,IF($B46=2016,5,IF($B46=2017,6,IF($B46=2018,7,IF($B46=2019,8,IF($B46=2020,9,0))))))),FALSE)</f>
        <v>3.1131085931197421E-2</v>
      </c>
      <c r="J46" s="536">
        <f t="shared" si="16"/>
        <v>2.7706666478765705E-2</v>
      </c>
      <c r="K46" s="549">
        <f>VLOOKUP($A46,EFCO2S!$A$1:$J$44,(IF($B46=2015,4,IF($B46=2016,5,IF($B46=2017,6,IF($B46=2018,7,IF($B46=2019,8,IF($B46=2020,9,0))))))),FALSE)</f>
        <v>166.54539483446186</v>
      </c>
      <c r="L46" s="546">
        <f>VLOOKUP($A46,EFCH4S!$A$1:$J$44,(IF($B46=2015,4,IF($B46=2016,5,IF($B46=2017,6,IF($B46=2018,7,IF($B46=2019,8,IF($B46=2020,9,0))))))),FALSE)</f>
        <v>1.1292325418869483E-2</v>
      </c>
      <c r="M46" s="540">
        <f t="shared" si="17"/>
        <v>8.86053150935638E-2</v>
      </c>
      <c r="N46" s="109">
        <v>1</v>
      </c>
      <c r="O46" s="109">
        <v>3</v>
      </c>
      <c r="P46" s="109">
        <v>36</v>
      </c>
      <c r="Q46" s="39">
        <f t="shared" si="18"/>
        <v>0.35668510871518522</v>
      </c>
      <c r="R46" s="29">
        <f t="shared" si="18"/>
        <v>1.0550142857005471</v>
      </c>
      <c r="S46" s="29">
        <f t="shared" si="18"/>
        <v>2.7980625819020148</v>
      </c>
      <c r="T46" s="29">
        <f t="shared" si="18"/>
        <v>5.6217640584402444E-3</v>
      </c>
      <c r="U46" s="29">
        <f t="shared" si="18"/>
        <v>9.3393257793592255E-2</v>
      </c>
      <c r="V46" s="29">
        <f t="shared" si="18"/>
        <v>8.311999943629711E-2</v>
      </c>
      <c r="W46" s="29">
        <f t="shared" si="18"/>
        <v>499.63618450338561</v>
      </c>
      <c r="X46" s="29">
        <f t="shared" si="18"/>
        <v>3.3876976256608446E-2</v>
      </c>
      <c r="Y46" s="29">
        <f t="shared" si="18"/>
        <v>0.26581594528069141</v>
      </c>
    </row>
    <row r="47" spans="1:25" s="3" customFormat="1" x14ac:dyDescent="0.25">
      <c r="A47" s="37" t="s">
        <v>162</v>
      </c>
      <c r="B47" s="34">
        <v>2015</v>
      </c>
      <c r="C47" s="134">
        <v>235</v>
      </c>
      <c r="D47" s="134">
        <v>0.38</v>
      </c>
      <c r="E47" s="546">
        <f>VLOOKUP($A47,EFROGS!$A$1:$J$44,(IF($B47=2015,4,IF($B47=2016,5,IF($B47=2017,6,IF($B47=2018,7,IF($B47=2019,8,IF($B47=2020,9,0))))))),FALSE)</f>
        <v>0.12027312265814816</v>
      </c>
      <c r="F47" s="546">
        <f>VLOOKUP($A47,EFCOS!$A$1:$J$44,(IF($B47=2015,4,IF($B47=2016,5,IF($B47=2017,6,IF($B47=2018,7,IF($B47=2019,8,IF($B47=2020,9,0))))))),FALSE)</f>
        <v>0.37726446207654918</v>
      </c>
      <c r="G47" s="546">
        <f>VLOOKUP($A47,EFNOXS!$A$1:$J$44,(IF($B47=2015,4,IF($B47=2016,5,IF($B47=2017,6,IF($B47=2018,7,IF($B47=2019,8,IF($B47=2020,9,0))))))),FALSE)</f>
        <v>0.94745273894088322</v>
      </c>
      <c r="H47" s="546">
        <f>VLOOKUP($A47,EFSOXS!$A$1:$J$44,(IF($B47=2015,4,IF($B47=2016,5,IF($B47=2017,6,IF($B47=2018,7,IF($B47=2019,8,IF($B47=2020,9,0))))))),FALSE)</f>
        <v>1.8739213528134147E-3</v>
      </c>
      <c r="I47" s="546">
        <f>VLOOKUP($A47,EFPMS!$A$1:$J$44,(IF($B47=2015,4,IF($B47=2016,5,IF($B47=2017,6,IF($B47=2018,7,IF($B47=2019,8,IF($B47=2020,9,0))))))),FALSE)</f>
        <v>3.1278738047599536E-2</v>
      </c>
      <c r="J47" s="536">
        <f t="shared" si="16"/>
        <v>2.7838076862363587E-2</v>
      </c>
      <c r="K47" s="549">
        <f>VLOOKUP($A47,EFCO2S!$A$1:$J$44,(IF($B47=2015,4,IF($B47=2016,5,IF($B47=2017,6,IF($B47=2018,7,IF($B47=2019,8,IF($B47=2020,9,0))))))),FALSE)</f>
        <v>166.54539483446186</v>
      </c>
      <c r="L47" s="546">
        <f>VLOOKUP($A47,EFCH4S!$A$1:$J$44,(IF($B47=2015,4,IF($B47=2016,5,IF($B47=2017,6,IF($B47=2018,7,IF($B47=2019,8,IF($B47=2020,9,0))))))),FALSE)</f>
        <v>1.1292325418869483E-2</v>
      </c>
      <c r="M47" s="540">
        <f t="shared" si="17"/>
        <v>9.0008010199383912E-2</v>
      </c>
      <c r="N47" s="109">
        <v>1</v>
      </c>
      <c r="O47" s="109">
        <v>3</v>
      </c>
      <c r="P47" s="109">
        <v>36</v>
      </c>
      <c r="Q47" s="39">
        <f t="shared" si="18"/>
        <v>0.36081936797444447</v>
      </c>
      <c r="R47" s="29">
        <f t="shared" si="18"/>
        <v>1.1317933862296474</v>
      </c>
      <c r="S47" s="29">
        <f t="shared" si="18"/>
        <v>2.8423582168226496</v>
      </c>
      <c r="T47" s="29">
        <f t="shared" si="18"/>
        <v>5.6217640584402444E-3</v>
      </c>
      <c r="U47" s="29">
        <f t="shared" si="18"/>
        <v>9.3836214142798607E-2</v>
      </c>
      <c r="V47" s="29">
        <f t="shared" si="18"/>
        <v>8.351423058709076E-2</v>
      </c>
      <c r="W47" s="29">
        <f t="shared" si="18"/>
        <v>499.63618450338561</v>
      </c>
      <c r="X47" s="29">
        <f t="shared" si="18"/>
        <v>3.3876976256608446E-2</v>
      </c>
      <c r="Y47" s="29">
        <f t="shared" si="18"/>
        <v>0.27002403059815172</v>
      </c>
    </row>
    <row r="48" spans="1:25" s="3" customFormat="1" x14ac:dyDescent="0.25">
      <c r="A48" s="19" t="s">
        <v>38</v>
      </c>
      <c r="B48" s="34"/>
      <c r="C48" s="134"/>
      <c r="D48" s="134"/>
      <c r="E48" s="26"/>
      <c r="F48" s="26"/>
      <c r="G48" s="26"/>
      <c r="H48" s="26"/>
      <c r="I48" s="26"/>
      <c r="J48" s="27"/>
      <c r="K48" s="28"/>
      <c r="L48" s="26"/>
      <c r="M48" s="38"/>
      <c r="N48" s="109"/>
      <c r="O48" s="109"/>
      <c r="P48" s="109"/>
      <c r="Q48" s="138">
        <f>SUM(Q42:Q47)</f>
        <v>2.1315093192912764</v>
      </c>
      <c r="R48" s="138">
        <f t="shared" ref="R48:Y48" si="19">SUM(R42:R47)</f>
        <v>8.9269864377585879</v>
      </c>
      <c r="S48" s="138">
        <f t="shared" si="19"/>
        <v>15.287430453902795</v>
      </c>
      <c r="T48" s="138">
        <f t="shared" si="19"/>
        <v>2.9861844647839985E-2</v>
      </c>
      <c r="U48" s="138">
        <f t="shared" si="19"/>
        <v>0.59995845263006831</v>
      </c>
      <c r="V48" s="138">
        <f t="shared" si="19"/>
        <v>0.5339630228407608</v>
      </c>
      <c r="W48" s="138">
        <f t="shared" si="19"/>
        <v>2611.7492006048701</v>
      </c>
      <c r="X48" s="138">
        <f t="shared" si="19"/>
        <v>0.19876625317819352</v>
      </c>
      <c r="Y48" s="138">
        <f t="shared" si="19"/>
        <v>1.4523058931207657</v>
      </c>
    </row>
    <row r="49" spans="1:25" s="3" customFormat="1" x14ac:dyDescent="0.25">
      <c r="A49" s="19"/>
      <c r="B49" s="34"/>
      <c r="C49" s="134"/>
      <c r="D49" s="134"/>
      <c r="E49" s="26"/>
      <c r="F49" s="26"/>
      <c r="G49" s="26"/>
      <c r="H49" s="26"/>
      <c r="I49" s="26"/>
      <c r="J49" s="27"/>
      <c r="K49" s="28"/>
      <c r="L49" s="26"/>
      <c r="M49" s="38"/>
      <c r="N49" s="109"/>
      <c r="O49" s="109"/>
      <c r="P49" s="109"/>
      <c r="Q49" s="138"/>
      <c r="R49" s="138"/>
      <c r="S49" s="138"/>
      <c r="T49" s="138"/>
      <c r="U49" s="138"/>
      <c r="V49" s="138"/>
      <c r="W49" s="138"/>
      <c r="X49" s="138"/>
      <c r="Y49" s="138"/>
    </row>
    <row r="50" spans="1:25" s="3" customFormat="1" x14ac:dyDescent="0.25">
      <c r="A50" s="19" t="s">
        <v>597</v>
      </c>
      <c r="B50" s="34"/>
      <c r="C50" s="134"/>
      <c r="D50" s="134"/>
      <c r="E50" s="26"/>
      <c r="F50" s="26"/>
      <c r="G50" s="26"/>
      <c r="H50" s="26"/>
      <c r="I50" s="26"/>
      <c r="J50" s="27"/>
      <c r="K50" s="28"/>
      <c r="L50" s="26"/>
      <c r="M50" s="38"/>
      <c r="N50" s="109"/>
      <c r="O50" s="109"/>
      <c r="P50" s="109"/>
      <c r="Q50" s="138"/>
      <c r="R50" s="138"/>
      <c r="S50" s="138"/>
      <c r="T50" s="138"/>
      <c r="U50" s="138"/>
      <c r="V50" s="138"/>
      <c r="W50" s="138"/>
      <c r="X50" s="138"/>
      <c r="Y50" s="138"/>
    </row>
    <row r="51" spans="1:25" s="3" customFormat="1" x14ac:dyDescent="0.25">
      <c r="A51" s="27" t="s">
        <v>206</v>
      </c>
      <c r="B51" s="34">
        <v>2015</v>
      </c>
      <c r="C51" s="134">
        <v>300</v>
      </c>
      <c r="D51" s="134">
        <v>0.42</v>
      </c>
      <c r="E51" s="546">
        <f>VLOOKUP($A51,EFROGS!$A$1:$J$44,(IF($B51=2015,4,IF($B51=2016,5,IF($B51=2017,6,IF($B51=2018,7,IF($B51=2019,8,IF($B51=2020,9,0))))))),FALSE)</f>
        <v>0.12634860383051666</v>
      </c>
      <c r="F51" s="546">
        <f>VLOOKUP($A51,EFCOS!$A$1:$J$44,(IF($B51=2015,4,IF($B51=2016,5,IF($B51=2017,6,IF($B51=2018,7,IF($B51=2019,8,IF($B51=2020,9,0))))))),FALSE)</f>
        <v>0.50758739181396961</v>
      </c>
      <c r="G51" s="546">
        <f>VLOOKUP($A51,EFNOXS!$A$1:$J$44,(IF($B51=2015,4,IF($B51=2016,5,IF($B51=2017,6,IF($B51=2018,7,IF($B51=2019,8,IF($B51=2020,9,0))))))),FALSE)</f>
        <v>1.1481509547445321</v>
      </c>
      <c r="H51" s="546">
        <f>VLOOKUP($A51,EFSOXS!$A$1:$J$44,(IF($B51=2015,4,IF($B51=2016,5,IF($B51=2017,6,IF($B51=2018,7,IF($B51=2019,8,IF($B51=2020,9,0))))))),FALSE)</f>
        <v>2.4954346257058686E-3</v>
      </c>
      <c r="I51" s="546">
        <f>VLOOKUP($A51,EFPMS!$A$1:$J$44,(IF($B51=2015,4,IF($B51=2016,5,IF($B51=2017,6,IF($B51=2018,7,IF($B51=2019,8,IF($B51=2020,9,0))))))),FALSE)</f>
        <v>3.7613858140880155E-2</v>
      </c>
      <c r="J51" s="536">
        <f t="shared" ref="J51:J54" si="20">0.89*I51</f>
        <v>3.3476333745383335E-2</v>
      </c>
      <c r="K51" s="549">
        <f>VLOOKUP($A51,EFCO2S!$A$1:$J$44,(IF($B51=2015,4,IF($B51=2016,5,IF($B51=2017,6,IF($B51=2018,7,IF($B51=2019,8,IF($B51=2020,9,0))))))),FALSE)</f>
        <v>254.23854571385056</v>
      </c>
      <c r="L51" s="546">
        <f>VLOOKUP($A51,EFCH4S!$A$1:$J$44,(IF($B51=2015,4,IF($B51=2016,5,IF($B51=2017,6,IF($B51=2018,7,IF($B51=2019,8,IF($B51=2020,9,0))))))),FALSE)</f>
        <v>1.1815564023556229E-2</v>
      </c>
      <c r="M51" s="540">
        <f t="shared" ref="M51:M54" si="21">0.095*G51</f>
        <v>0.10907434070073055</v>
      </c>
      <c r="N51" s="109">
        <v>1</v>
      </c>
      <c r="O51" s="109">
        <v>4</v>
      </c>
      <c r="P51" s="109">
        <v>36</v>
      </c>
      <c r="Q51" s="39">
        <f t="shared" ref="Q51:Y54" si="22">(E51*$N51*$O51)</f>
        <v>0.50539441532206664</v>
      </c>
      <c r="R51" s="29">
        <f t="shared" si="22"/>
        <v>2.0303495672558785</v>
      </c>
      <c r="S51" s="29">
        <f t="shared" si="22"/>
        <v>4.5926038189781284</v>
      </c>
      <c r="T51" s="29">
        <f t="shared" si="22"/>
        <v>9.9817385028234742E-3</v>
      </c>
      <c r="U51" s="29">
        <f t="shared" si="22"/>
        <v>0.15045543256352062</v>
      </c>
      <c r="V51" s="29">
        <f t="shared" si="22"/>
        <v>0.13390533498153334</v>
      </c>
      <c r="W51" s="29">
        <f t="shared" si="22"/>
        <v>1016.9541828554022</v>
      </c>
      <c r="X51" s="29">
        <f t="shared" si="22"/>
        <v>4.7262256094224915E-2</v>
      </c>
      <c r="Y51" s="29">
        <f t="shared" si="22"/>
        <v>0.4362973628029222</v>
      </c>
    </row>
    <row r="52" spans="1:25" s="3" customFormat="1" x14ac:dyDescent="0.25">
      <c r="A52" s="27" t="s">
        <v>207</v>
      </c>
      <c r="B52" s="34">
        <v>2015</v>
      </c>
      <c r="C52" s="134">
        <v>300</v>
      </c>
      <c r="D52" s="134">
        <v>0.38</v>
      </c>
      <c r="E52" s="546">
        <f>VLOOKUP($A52,EFROGS!$A$1:$J$44,(IF($B52=2015,4,IF($B52=2016,5,IF($B52=2017,6,IF($B52=2018,7,IF($B52=2019,8,IF($B52=2020,9,0))))))),FALSE)</f>
        <v>0.12634860383051666</v>
      </c>
      <c r="F52" s="546">
        <f>VLOOKUP($A52,EFCOS!$A$1:$J$44,(IF($B52=2015,4,IF($B52=2016,5,IF($B52=2017,6,IF($B52=2018,7,IF($B52=2019,8,IF($B52=2020,9,0))))))),FALSE)</f>
        <v>0.50758739181396961</v>
      </c>
      <c r="G52" s="546">
        <f>VLOOKUP($A52,EFNOXS!$A$1:$J$44,(IF($B52=2015,4,IF($B52=2016,5,IF($B52=2017,6,IF($B52=2018,7,IF($B52=2019,8,IF($B52=2020,9,0))))))),FALSE)</f>
        <v>1.1481509547445321</v>
      </c>
      <c r="H52" s="546">
        <f>VLOOKUP($A52,EFSOXS!$A$1:$J$44,(IF($B52=2015,4,IF($B52=2016,5,IF($B52=2017,6,IF($B52=2018,7,IF($B52=2019,8,IF($B52=2020,9,0))))))),FALSE)</f>
        <v>2.4954346257058686E-3</v>
      </c>
      <c r="I52" s="546">
        <f>VLOOKUP($A52,EFPMS!$A$1:$J$44,(IF($B52=2015,4,IF($B52=2016,5,IF($B52=2017,6,IF($B52=2018,7,IF($B52=2019,8,IF($B52=2020,9,0))))))),FALSE)</f>
        <v>3.7613858140880155E-2</v>
      </c>
      <c r="J52" s="536">
        <f t="shared" si="20"/>
        <v>3.3476333745383335E-2</v>
      </c>
      <c r="K52" s="549">
        <f>VLOOKUP($A52,EFCO2S!$A$1:$J$44,(IF($B52=2015,4,IF($B52=2016,5,IF($B52=2017,6,IF($B52=2018,7,IF($B52=2019,8,IF($B52=2020,9,0))))))),FALSE)</f>
        <v>254.23854571385056</v>
      </c>
      <c r="L52" s="546">
        <f>VLOOKUP($A52,EFCH4S!$A$1:$J$44,(IF($B52=2015,4,IF($B52=2016,5,IF($B52=2017,6,IF($B52=2018,7,IF($B52=2019,8,IF($B52=2020,9,0))))))),FALSE)</f>
        <v>1.1815564023556229E-2</v>
      </c>
      <c r="M52" s="540">
        <f t="shared" si="21"/>
        <v>0.10907434070073055</v>
      </c>
      <c r="N52" s="109">
        <v>1</v>
      </c>
      <c r="O52" s="109">
        <v>4</v>
      </c>
      <c r="P52" s="109">
        <v>36</v>
      </c>
      <c r="Q52" s="39">
        <f t="shared" si="22"/>
        <v>0.50539441532206664</v>
      </c>
      <c r="R52" s="29">
        <f t="shared" si="22"/>
        <v>2.0303495672558785</v>
      </c>
      <c r="S52" s="29">
        <f t="shared" si="22"/>
        <v>4.5926038189781284</v>
      </c>
      <c r="T52" s="29">
        <f t="shared" si="22"/>
        <v>9.9817385028234742E-3</v>
      </c>
      <c r="U52" s="29">
        <f t="shared" si="22"/>
        <v>0.15045543256352062</v>
      </c>
      <c r="V52" s="29">
        <f t="shared" si="22"/>
        <v>0.13390533498153334</v>
      </c>
      <c r="W52" s="29">
        <f t="shared" si="22"/>
        <v>1016.9541828554022</v>
      </c>
      <c r="X52" s="29">
        <f t="shared" si="22"/>
        <v>4.7262256094224915E-2</v>
      </c>
      <c r="Y52" s="29">
        <f t="shared" si="22"/>
        <v>0.4362973628029222</v>
      </c>
    </row>
    <row r="53" spans="1:25" s="3" customFormat="1" x14ac:dyDescent="0.25">
      <c r="A53" s="37" t="s">
        <v>589</v>
      </c>
      <c r="B53" s="34">
        <v>2015</v>
      </c>
      <c r="C53" s="134">
        <v>235</v>
      </c>
      <c r="D53" s="134">
        <v>0.38</v>
      </c>
      <c r="E53" s="546">
        <f>VLOOKUP($A53,EFROGS!$A$1:$J$44,(IF($B53=2015,4,IF($B53=2016,5,IF($B53=2017,6,IF($B53=2018,7,IF($B53=2019,8,IF($B53=2020,9,0))))))),FALSE)</f>
        <v>0.11889503623839508</v>
      </c>
      <c r="F53" s="546">
        <f>VLOOKUP($A53,EFCOS!$A$1:$J$44,(IF($B53=2015,4,IF($B53=2016,5,IF($B53=2017,6,IF($B53=2018,7,IF($B53=2019,8,IF($B53=2020,9,0))))))),FALSE)</f>
        <v>0.35167142856684902</v>
      </c>
      <c r="G53" s="546">
        <f>VLOOKUP($A53,EFNOXS!$A$1:$J$44,(IF($B53=2015,4,IF($B53=2016,5,IF($B53=2017,6,IF($B53=2018,7,IF($B53=2019,8,IF($B53=2020,9,0))))))),FALSE)</f>
        <v>0.93268752730067161</v>
      </c>
      <c r="H53" s="546">
        <f>VLOOKUP($A53,EFSOXS!$A$1:$J$44,(IF($B53=2015,4,IF($B53=2016,5,IF($B53=2017,6,IF($B53=2018,7,IF($B53=2019,8,IF($B53=2020,9,0))))))),FALSE)</f>
        <v>1.8739213528134147E-3</v>
      </c>
      <c r="I53" s="546">
        <f>VLOOKUP($A53,EFPMS!$A$1:$J$44,(IF($B53=2015,4,IF($B53=2016,5,IF($B53=2017,6,IF($B53=2018,7,IF($B53=2019,8,IF($B53=2020,9,0))))))),FALSE)</f>
        <v>3.1131085931197421E-2</v>
      </c>
      <c r="J53" s="536">
        <f t="shared" si="20"/>
        <v>2.7706666478765705E-2</v>
      </c>
      <c r="K53" s="549">
        <f>VLOOKUP($A53,EFCO2S!$A$1:$J$44,(IF($B53=2015,4,IF($B53=2016,5,IF($B53=2017,6,IF($B53=2018,7,IF($B53=2019,8,IF($B53=2020,9,0))))))),FALSE)</f>
        <v>166.54539483446186</v>
      </c>
      <c r="L53" s="546">
        <f>VLOOKUP($A53,EFCH4S!$A$1:$J$44,(IF($B53=2015,4,IF($B53=2016,5,IF($B53=2017,6,IF($B53=2018,7,IF($B53=2019,8,IF($B53=2020,9,0))))))),FALSE)</f>
        <v>1.1292325418869483E-2</v>
      </c>
      <c r="M53" s="540">
        <f t="shared" si="21"/>
        <v>8.86053150935638E-2</v>
      </c>
      <c r="N53" s="109">
        <v>1</v>
      </c>
      <c r="O53" s="109">
        <v>3</v>
      </c>
      <c r="P53" s="109">
        <v>36</v>
      </c>
      <c r="Q53" s="39">
        <f t="shared" si="22"/>
        <v>0.35668510871518522</v>
      </c>
      <c r="R53" s="29">
        <f t="shared" si="22"/>
        <v>1.0550142857005471</v>
      </c>
      <c r="S53" s="29">
        <f t="shared" si="22"/>
        <v>2.7980625819020148</v>
      </c>
      <c r="T53" s="29">
        <f t="shared" si="22"/>
        <v>5.6217640584402444E-3</v>
      </c>
      <c r="U53" s="29">
        <f t="shared" si="22"/>
        <v>9.3393257793592255E-2</v>
      </c>
      <c r="V53" s="29">
        <f t="shared" si="22"/>
        <v>8.311999943629711E-2</v>
      </c>
      <c r="W53" s="29">
        <f t="shared" si="22"/>
        <v>499.63618450338561</v>
      </c>
      <c r="X53" s="29">
        <f t="shared" si="22"/>
        <v>3.3876976256608446E-2</v>
      </c>
      <c r="Y53" s="29">
        <f t="shared" si="22"/>
        <v>0.26581594528069141</v>
      </c>
    </row>
    <row r="54" spans="1:25" s="3" customFormat="1" x14ac:dyDescent="0.25">
      <c r="A54" s="27" t="s">
        <v>199</v>
      </c>
      <c r="B54" s="34">
        <v>2015</v>
      </c>
      <c r="C54" s="134">
        <v>235</v>
      </c>
      <c r="D54" s="134">
        <v>0.38</v>
      </c>
      <c r="E54" s="546">
        <f>VLOOKUP($A54,EFROGS!$A$1:$J$44,(IF($B54=2015,4,IF($B54=2016,5,IF($B54=2017,6,IF($B54=2018,7,IF($B54=2019,8,IF($B54=2020,9,0))))))),FALSE)</f>
        <v>0.11992127080629632</v>
      </c>
      <c r="F54" s="546">
        <f>VLOOKUP($A54,EFCOS!$A$1:$J$44,(IF($B54=2015,4,IF($B54=2016,5,IF($B54=2017,6,IF($B54=2018,7,IF($B54=2019,8,IF($B54=2020,9,0))))))),FALSE)</f>
        <v>0.37073007054215767</v>
      </c>
      <c r="G54" s="546">
        <f>VLOOKUP($A54,EFNOXS!$A$1:$J$44,(IF($B54=2015,4,IF($B54=2016,5,IF($B54=2017,6,IF($B54=2018,7,IF($B54=2019,8,IF($B54=2020,9,0))))))),FALSE)</f>
        <v>0.94368289767104196</v>
      </c>
      <c r="H54" s="546">
        <f>VLOOKUP($A54,EFSOXS!$A$1:$J$44,(IF($B54=2015,4,IF($B54=2016,5,IF($B54=2017,6,IF($B54=2018,7,IF($B54=2019,8,IF($B54=2020,9,0))))))),FALSE)</f>
        <v>1.8739213528134147E-3</v>
      </c>
      <c r="I54" s="546">
        <f>VLOOKUP($A54,EFPMS!$A$1:$J$44,(IF($B54=2015,4,IF($B54=2016,5,IF($B54=2017,6,IF($B54=2018,7,IF($B54=2019,8,IF($B54=2020,9,0))))))),FALSE)</f>
        <v>3.1241039634901123E-2</v>
      </c>
      <c r="J54" s="536">
        <f t="shared" si="20"/>
        <v>2.7804525275062001E-2</v>
      </c>
      <c r="K54" s="549">
        <f>VLOOKUP($A54,EFCO2S!$A$1:$J$44,(IF($B54=2015,4,IF($B54=2016,5,IF($B54=2017,6,IF($B54=2018,7,IF($B54=2019,8,IF($B54=2020,9,0))))))),FALSE)</f>
        <v>166.54539483446186</v>
      </c>
      <c r="L54" s="546">
        <f>VLOOKUP($A54,EFCH4S!$A$1:$J$44,(IF($B54=2015,4,IF($B54=2016,5,IF($B54=2017,6,IF($B54=2018,7,IF($B54=2019,8,IF($B54=2020,9,0))))))),FALSE)</f>
        <v>1.1292325418869483E-2</v>
      </c>
      <c r="M54" s="540">
        <f t="shared" si="21"/>
        <v>8.9649875278748986E-2</v>
      </c>
      <c r="N54" s="109">
        <v>1</v>
      </c>
      <c r="O54" s="109">
        <v>3</v>
      </c>
      <c r="P54" s="109">
        <v>12</v>
      </c>
      <c r="Q54" s="39">
        <f t="shared" si="22"/>
        <v>0.35976381241888894</v>
      </c>
      <c r="R54" s="29">
        <f t="shared" si="22"/>
        <v>1.112190211626473</v>
      </c>
      <c r="S54" s="29">
        <f t="shared" si="22"/>
        <v>2.831048693013126</v>
      </c>
      <c r="T54" s="29">
        <f t="shared" si="22"/>
        <v>5.6217640584402444E-3</v>
      </c>
      <c r="U54" s="29">
        <f t="shared" si="22"/>
        <v>9.3723118904703362E-2</v>
      </c>
      <c r="V54" s="29">
        <f t="shared" si="22"/>
        <v>8.3413575825186007E-2</v>
      </c>
      <c r="W54" s="29">
        <f t="shared" si="22"/>
        <v>499.63618450338561</v>
      </c>
      <c r="X54" s="29">
        <f t="shared" si="22"/>
        <v>3.3876976256608446E-2</v>
      </c>
      <c r="Y54" s="29">
        <f t="shared" si="22"/>
        <v>0.26894962583624693</v>
      </c>
    </row>
    <row r="55" spans="1:25" s="3" customFormat="1" x14ac:dyDescent="0.25">
      <c r="A55" s="19" t="s">
        <v>38</v>
      </c>
      <c r="B55" s="34"/>
      <c r="C55" s="134"/>
      <c r="D55" s="134"/>
      <c r="E55" s="26"/>
      <c r="F55" s="26"/>
      <c r="G55" s="26"/>
      <c r="H55" s="26"/>
      <c r="I55" s="26"/>
      <c r="J55" s="27"/>
      <c r="K55" s="28"/>
      <c r="L55" s="26"/>
      <c r="M55" s="38"/>
      <c r="N55" s="109"/>
      <c r="O55" s="109"/>
      <c r="P55" s="109"/>
      <c r="Q55" s="138">
        <f t="shared" ref="Q55:Y55" si="23">SUM(Q51:Q54)</f>
        <v>1.7272377517782074</v>
      </c>
      <c r="R55" s="138">
        <f t="shared" si="23"/>
        <v>6.2279036318387764</v>
      </c>
      <c r="S55" s="138">
        <f t="shared" si="23"/>
        <v>14.814318912871396</v>
      </c>
      <c r="T55" s="138">
        <f t="shared" si="23"/>
        <v>3.1207005122527436E-2</v>
      </c>
      <c r="U55" s="138">
        <f t="shared" si="23"/>
        <v>0.48802724182533685</v>
      </c>
      <c r="V55" s="138">
        <f t="shared" si="23"/>
        <v>0.43434424522454979</v>
      </c>
      <c r="W55" s="138">
        <f t="shared" si="23"/>
        <v>3033.1807347175759</v>
      </c>
      <c r="X55" s="138">
        <f t="shared" si="23"/>
        <v>0.16227846470166674</v>
      </c>
      <c r="Y55" s="138">
        <f t="shared" si="23"/>
        <v>1.4073602967227827</v>
      </c>
    </row>
    <row r="56" spans="1:25" s="3" customFormat="1" x14ac:dyDescent="0.25">
      <c r="A56" s="19"/>
      <c r="B56" s="34"/>
      <c r="C56" s="134"/>
      <c r="D56" s="134"/>
      <c r="E56" s="26"/>
      <c r="F56" s="26"/>
      <c r="G56" s="26"/>
      <c r="H56" s="26"/>
      <c r="I56" s="26"/>
      <c r="J56" s="27"/>
      <c r="K56" s="28"/>
      <c r="L56" s="26"/>
      <c r="M56" s="38"/>
      <c r="N56" s="109"/>
      <c r="O56" s="109"/>
      <c r="P56" s="109"/>
      <c r="Q56" s="138"/>
      <c r="R56" s="138"/>
      <c r="S56" s="138"/>
      <c r="T56" s="138"/>
      <c r="U56" s="138"/>
      <c r="V56" s="138"/>
      <c r="W56" s="138"/>
      <c r="X56" s="138"/>
      <c r="Y56" s="138"/>
    </row>
    <row r="57" spans="1:25" s="3" customFormat="1" x14ac:dyDescent="0.25">
      <c r="A57" s="19" t="s">
        <v>598</v>
      </c>
      <c r="B57" s="34"/>
      <c r="C57" s="134"/>
      <c r="D57" s="134"/>
      <c r="E57" s="26"/>
      <c r="F57" s="26"/>
      <c r="G57" s="26"/>
      <c r="H57" s="26"/>
      <c r="I57" s="26"/>
      <c r="J57" s="27"/>
      <c r="K57" s="28"/>
      <c r="L57" s="26"/>
      <c r="M57" s="38"/>
      <c r="N57" s="109"/>
      <c r="O57" s="109"/>
      <c r="P57" s="109"/>
      <c r="Q57" s="138"/>
      <c r="R57" s="138"/>
      <c r="S57" s="138"/>
      <c r="T57" s="138"/>
      <c r="U57" s="138"/>
      <c r="V57" s="138"/>
      <c r="W57" s="138"/>
      <c r="X57" s="138"/>
      <c r="Y57" s="138"/>
    </row>
    <row r="58" spans="1:25" s="3" customFormat="1" x14ac:dyDescent="0.25">
      <c r="A58" s="37" t="s">
        <v>162</v>
      </c>
      <c r="B58" s="34">
        <v>2015</v>
      </c>
      <c r="C58" s="134">
        <v>235</v>
      </c>
      <c r="D58" s="134">
        <v>0.38</v>
      </c>
      <c r="E58" s="546">
        <f>VLOOKUP($A58,EFROGS!$A$1:$J$44,(IF($B58=2015,4,IF($B58=2016,5,IF($B58=2017,6,IF($B58=2018,7,IF($B58=2019,8,IF($B58=2020,9,0))))))),FALSE)</f>
        <v>0.12027312265814816</v>
      </c>
      <c r="F58" s="546">
        <f>VLOOKUP($A58,EFCOS!$A$1:$J$44,(IF($B58=2015,4,IF($B58=2016,5,IF($B58=2017,6,IF($B58=2018,7,IF($B58=2019,8,IF($B58=2020,9,0))))))),FALSE)</f>
        <v>0.37726446207654918</v>
      </c>
      <c r="G58" s="546">
        <f>VLOOKUP($A58,EFNOXS!$A$1:$J$44,(IF($B58=2015,4,IF($B58=2016,5,IF($B58=2017,6,IF($B58=2018,7,IF($B58=2019,8,IF($B58=2020,9,0))))))),FALSE)</f>
        <v>0.94745273894088322</v>
      </c>
      <c r="H58" s="546">
        <f>VLOOKUP($A58,EFSOXS!$A$1:$J$44,(IF($B58=2015,4,IF($B58=2016,5,IF($B58=2017,6,IF($B58=2018,7,IF($B58=2019,8,IF($B58=2020,9,0))))))),FALSE)</f>
        <v>1.8739213528134147E-3</v>
      </c>
      <c r="I58" s="546">
        <f>VLOOKUP($A58,EFPMS!$A$1:$J$44,(IF($B58=2015,4,IF($B58=2016,5,IF($B58=2017,6,IF($B58=2018,7,IF($B58=2019,8,IF($B58=2020,9,0))))))),FALSE)</f>
        <v>3.1278738047599536E-2</v>
      </c>
      <c r="J58" s="536">
        <f t="shared" ref="J58:J60" si="24">0.89*I58</f>
        <v>2.7838076862363587E-2</v>
      </c>
      <c r="K58" s="549">
        <f>VLOOKUP($A58,EFCO2S!$A$1:$J$44,(IF($B58=2015,4,IF($B58=2016,5,IF($B58=2017,6,IF($B58=2018,7,IF($B58=2019,8,IF($B58=2020,9,0))))))),FALSE)</f>
        <v>166.54539483446186</v>
      </c>
      <c r="L58" s="546">
        <f>VLOOKUP($A58,EFCH4S!$A$1:$J$44,(IF($B58=2015,4,IF($B58=2016,5,IF($B58=2017,6,IF($B58=2018,7,IF($B58=2019,8,IF($B58=2020,9,0))))))),FALSE)</f>
        <v>1.1292325418869483E-2</v>
      </c>
      <c r="M58" s="540">
        <f t="shared" ref="M58:M60" si="25">0.095*G58</f>
        <v>9.0008010199383912E-2</v>
      </c>
      <c r="N58" s="109">
        <v>1</v>
      </c>
      <c r="O58" s="109">
        <v>3</v>
      </c>
      <c r="P58" s="109">
        <v>36</v>
      </c>
      <c r="Q58" s="39">
        <f t="shared" ref="Q58:Y60" si="26">(E58*$N58*$O58)</f>
        <v>0.36081936797444447</v>
      </c>
      <c r="R58" s="29">
        <f t="shared" si="26"/>
        <v>1.1317933862296474</v>
      </c>
      <c r="S58" s="29">
        <f t="shared" si="26"/>
        <v>2.8423582168226496</v>
      </c>
      <c r="T58" s="29">
        <f t="shared" si="26"/>
        <v>5.6217640584402444E-3</v>
      </c>
      <c r="U58" s="29">
        <f t="shared" si="26"/>
        <v>9.3836214142798607E-2</v>
      </c>
      <c r="V58" s="29">
        <f t="shared" si="26"/>
        <v>8.351423058709076E-2</v>
      </c>
      <c r="W58" s="29">
        <f t="shared" si="26"/>
        <v>499.63618450338561</v>
      </c>
      <c r="X58" s="29">
        <f t="shared" si="26"/>
        <v>3.3876976256608446E-2</v>
      </c>
      <c r="Y58" s="29">
        <f t="shared" si="26"/>
        <v>0.27002403059815172</v>
      </c>
    </row>
    <row r="59" spans="1:25" s="3" customFormat="1" x14ac:dyDescent="0.25">
      <c r="A59" s="27" t="s">
        <v>207</v>
      </c>
      <c r="B59" s="34">
        <v>2015</v>
      </c>
      <c r="C59" s="134">
        <v>300</v>
      </c>
      <c r="D59" s="134">
        <v>0.38</v>
      </c>
      <c r="E59" s="546">
        <f>VLOOKUP($A59,EFROGS!$A$1:$J$44,(IF($B59=2015,4,IF($B59=2016,5,IF($B59=2017,6,IF($B59=2018,7,IF($B59=2019,8,IF($B59=2020,9,0))))))),FALSE)</f>
        <v>0.12634860383051666</v>
      </c>
      <c r="F59" s="546">
        <f>VLOOKUP($A59,EFCOS!$A$1:$J$44,(IF($B59=2015,4,IF($B59=2016,5,IF($B59=2017,6,IF($B59=2018,7,IF($B59=2019,8,IF($B59=2020,9,0))))))),FALSE)</f>
        <v>0.50758739181396961</v>
      </c>
      <c r="G59" s="546">
        <f>VLOOKUP($A59,EFNOXS!$A$1:$J$44,(IF($B59=2015,4,IF($B59=2016,5,IF($B59=2017,6,IF($B59=2018,7,IF($B59=2019,8,IF($B59=2020,9,0))))))),FALSE)</f>
        <v>1.1481509547445321</v>
      </c>
      <c r="H59" s="546">
        <f>VLOOKUP($A59,EFSOXS!$A$1:$J$44,(IF($B59=2015,4,IF($B59=2016,5,IF($B59=2017,6,IF($B59=2018,7,IF($B59=2019,8,IF($B59=2020,9,0))))))),FALSE)</f>
        <v>2.4954346257058686E-3</v>
      </c>
      <c r="I59" s="546">
        <f>VLOOKUP($A59,EFPMS!$A$1:$J$44,(IF($B59=2015,4,IF($B59=2016,5,IF($B59=2017,6,IF($B59=2018,7,IF($B59=2019,8,IF($B59=2020,9,0))))))),FALSE)</f>
        <v>3.7613858140880155E-2</v>
      </c>
      <c r="J59" s="536">
        <f t="shared" si="24"/>
        <v>3.3476333745383335E-2</v>
      </c>
      <c r="K59" s="549">
        <f>VLOOKUP($A59,EFCO2S!$A$1:$J$44,(IF($B59=2015,4,IF($B59=2016,5,IF($B59=2017,6,IF($B59=2018,7,IF($B59=2019,8,IF($B59=2020,9,0))))))),FALSE)</f>
        <v>254.23854571385056</v>
      </c>
      <c r="L59" s="546">
        <f>VLOOKUP($A59,EFCH4S!$A$1:$J$44,(IF($B59=2015,4,IF($B59=2016,5,IF($B59=2017,6,IF($B59=2018,7,IF($B59=2019,8,IF($B59=2020,9,0))))))),FALSE)</f>
        <v>1.1815564023556229E-2</v>
      </c>
      <c r="M59" s="540">
        <f t="shared" si="25"/>
        <v>0.10907434070073055</v>
      </c>
      <c r="N59" s="109">
        <v>1</v>
      </c>
      <c r="O59" s="109">
        <v>8</v>
      </c>
      <c r="P59" s="109">
        <v>16</v>
      </c>
      <c r="Q59" s="39">
        <f t="shared" si="26"/>
        <v>1.0107888306441333</v>
      </c>
      <c r="R59" s="29">
        <f t="shared" si="26"/>
        <v>4.0606991345117569</v>
      </c>
      <c r="S59" s="29">
        <f t="shared" si="26"/>
        <v>9.1852076379562568</v>
      </c>
      <c r="T59" s="29">
        <f t="shared" si="26"/>
        <v>1.9963477005646948E-2</v>
      </c>
      <c r="U59" s="29">
        <f t="shared" si="26"/>
        <v>0.30091086512704124</v>
      </c>
      <c r="V59" s="29">
        <f t="shared" si="26"/>
        <v>0.26781066996306668</v>
      </c>
      <c r="W59" s="29">
        <f t="shared" si="26"/>
        <v>2033.9083657108044</v>
      </c>
      <c r="X59" s="29">
        <f t="shared" si="26"/>
        <v>9.452451218844983E-2</v>
      </c>
      <c r="Y59" s="29">
        <f t="shared" si="26"/>
        <v>0.87259472560584439</v>
      </c>
    </row>
    <row r="60" spans="1:25" s="3" customFormat="1" x14ac:dyDescent="0.25">
      <c r="A60" s="37" t="s">
        <v>583</v>
      </c>
      <c r="B60" s="34">
        <v>2015</v>
      </c>
      <c r="C60" s="134">
        <v>6</v>
      </c>
      <c r="D60" s="134">
        <v>0.82</v>
      </c>
      <c r="E60" s="546">
        <f>VLOOKUP($A60,EFROGS!$A$1:$J$44,(IF($B60=2015,4,IF($B60=2016,5,IF($B60=2017,6,IF($B60=2018,7,IF($B60=2019,8,IF($B60=2020,9,0))))))),FALSE)</f>
        <v>7.1819076358046203E-3</v>
      </c>
      <c r="F60" s="546">
        <f>VLOOKUP($A60,EFCOS!$A$1:$J$44,(IF($B60=2015,4,IF($B60=2016,5,IF($B60=2017,6,IF($B60=2018,7,IF($B60=2019,8,IF($B60=2020,9,0))))))),FALSE)</f>
        <v>3.5788414726185346E-2</v>
      </c>
      <c r="G60" s="546">
        <f>VLOOKUP($A60,EFNOXS!$A$1:$J$44,(IF($B60=2015,4,IF($B60=2016,5,IF($B60=2017,6,IF($B60=2018,7,IF($B60=2019,8,IF($B60=2020,9,0))))))),FALSE)</f>
        <v>4.2727044104310538E-2</v>
      </c>
      <c r="H60" s="546">
        <f>VLOOKUP($A60,EFSOXS!$A$1:$J$44,(IF($B60=2015,4,IF($B60=2016,5,IF($B60=2017,6,IF($B60=2018,7,IF($B60=2019,8,IF($B60=2020,9,0))))))),FALSE)</f>
        <v>9.6006650553722128E-5</v>
      </c>
      <c r="I60" s="546">
        <f>VLOOKUP($A60,EFPMS!$A$1:$J$44,(IF($B60=2015,4,IF($B60=2016,5,IF($B60=2017,6,IF($B60=2018,7,IF($B60=2019,8,IF($B60=2020,9,0))))))),FALSE)</f>
        <v>1.6695764161062747E-3</v>
      </c>
      <c r="J60" s="536">
        <f t="shared" si="24"/>
        <v>1.4859230103345846E-3</v>
      </c>
      <c r="K60" s="549">
        <f>VLOOKUP($A60,EFCO2S!$A$1:$J$44,(IF($B60=2015,4,IF($B60=2016,5,IF($B60=2017,6,IF($B60=2018,7,IF($B60=2019,8,IF($B60=2020,9,0))))))),FALSE)</f>
        <v>6.1697435407429388</v>
      </c>
      <c r="L60" s="546">
        <f>VLOOKUP($A60,EFCH4S!$A$1:$J$44,(IF($B60=2015,4,IF($B60=2016,5,IF($B60=2017,6,IF($B60=2018,7,IF($B60=2019,8,IF($B60=2020,9,0))))))),FALSE)</f>
        <v>6.4801190876982576E-4</v>
      </c>
      <c r="M60" s="540">
        <f t="shared" si="25"/>
        <v>4.0590691899095015E-3</v>
      </c>
      <c r="N60" s="109">
        <v>1</v>
      </c>
      <c r="O60" s="109">
        <v>8</v>
      </c>
      <c r="P60" s="109">
        <v>16</v>
      </c>
      <c r="Q60" s="39">
        <f t="shared" si="26"/>
        <v>5.7455261086436962E-2</v>
      </c>
      <c r="R60" s="29">
        <f t="shared" si="26"/>
        <v>0.28630731780948276</v>
      </c>
      <c r="S60" s="29">
        <f t="shared" si="26"/>
        <v>0.3418163528344843</v>
      </c>
      <c r="T60" s="29">
        <f t="shared" si="26"/>
        <v>7.6805320442977702E-4</v>
      </c>
      <c r="U60" s="29">
        <f t="shared" si="26"/>
        <v>1.3356611328850198E-2</v>
      </c>
      <c r="V60" s="29">
        <f t="shared" si="26"/>
        <v>1.1887384082676677E-2</v>
      </c>
      <c r="W60" s="29">
        <f t="shared" si="26"/>
        <v>49.357948325943511</v>
      </c>
      <c r="X60" s="29">
        <f t="shared" si="26"/>
        <v>5.1840952701586061E-3</v>
      </c>
      <c r="Y60" s="29">
        <f t="shared" si="26"/>
        <v>3.2472553519276012E-2</v>
      </c>
    </row>
    <row r="61" spans="1:25" s="3" customFormat="1" x14ac:dyDescent="0.25">
      <c r="A61" s="19" t="s">
        <v>38</v>
      </c>
      <c r="B61" s="34"/>
      <c r="C61" s="134"/>
      <c r="D61" s="134"/>
      <c r="E61" s="26"/>
      <c r="F61" s="26"/>
      <c r="G61" s="26"/>
      <c r="H61" s="26"/>
      <c r="I61" s="26"/>
      <c r="J61" s="27"/>
      <c r="K61" s="28"/>
      <c r="L61" s="26"/>
      <c r="M61" s="38"/>
      <c r="N61" s="109"/>
      <c r="O61" s="109"/>
      <c r="P61" s="109"/>
      <c r="Q61" s="138">
        <f t="shared" ref="Q61:Y61" si="27">SUM(Q58:Q60)</f>
        <v>1.4290634597050147</v>
      </c>
      <c r="R61" s="138">
        <f t="shared" si="27"/>
        <v>5.4787998385508869</v>
      </c>
      <c r="S61" s="138">
        <f t="shared" si="27"/>
        <v>12.369382207613391</v>
      </c>
      <c r="T61" s="138">
        <f t="shared" si="27"/>
        <v>2.6353294268516968E-2</v>
      </c>
      <c r="U61" s="138">
        <f t="shared" si="27"/>
        <v>0.40810369059869006</v>
      </c>
      <c r="V61" s="138">
        <f t="shared" si="27"/>
        <v>0.36321228463283411</v>
      </c>
      <c r="W61" s="138">
        <f t="shared" si="27"/>
        <v>2582.9024985401338</v>
      </c>
      <c r="X61" s="138">
        <f t="shared" si="27"/>
        <v>0.13358558371521689</v>
      </c>
      <c r="Y61" s="138">
        <f t="shared" si="27"/>
        <v>1.175091309723272</v>
      </c>
    </row>
    <row r="62" spans="1:25" s="3" customFormat="1" x14ac:dyDescent="0.25">
      <c r="A62" s="27"/>
      <c r="B62" s="34"/>
      <c r="C62" s="134"/>
      <c r="D62" s="134"/>
      <c r="E62" s="26"/>
      <c r="F62" s="26"/>
      <c r="G62" s="26"/>
      <c r="H62" s="26"/>
      <c r="I62" s="26"/>
      <c r="J62" s="27"/>
      <c r="K62" s="28"/>
      <c r="L62" s="26"/>
      <c r="M62" s="38"/>
      <c r="N62" s="109"/>
      <c r="O62" s="109"/>
      <c r="P62" s="109"/>
      <c r="Q62" s="39"/>
      <c r="R62" s="29"/>
      <c r="S62" s="29"/>
      <c r="T62" s="29"/>
      <c r="U62" s="29"/>
      <c r="V62" s="29"/>
      <c r="W62" s="29"/>
      <c r="X62" s="29"/>
      <c r="Y62" s="29"/>
    </row>
    <row r="63" spans="1:25" s="3" customFormat="1" x14ac:dyDescent="0.25">
      <c r="A63" s="19" t="s">
        <v>599</v>
      </c>
      <c r="B63" s="34"/>
      <c r="C63" s="134"/>
      <c r="D63" s="134"/>
      <c r="E63" s="26"/>
      <c r="F63" s="26"/>
      <c r="G63" s="26"/>
      <c r="H63" s="26"/>
      <c r="I63" s="26"/>
      <c r="J63" s="27"/>
      <c r="K63" s="28"/>
      <c r="L63" s="26"/>
      <c r="M63" s="38"/>
      <c r="N63" s="109"/>
      <c r="O63" s="109"/>
      <c r="P63" s="109"/>
      <c r="Q63" s="39"/>
      <c r="R63" s="29"/>
      <c r="S63" s="29"/>
      <c r="T63" s="29"/>
      <c r="U63" s="29"/>
      <c r="V63" s="29"/>
      <c r="W63" s="29"/>
      <c r="X63" s="29"/>
      <c r="Y63" s="29"/>
    </row>
    <row r="64" spans="1:25" s="3" customFormat="1" x14ac:dyDescent="0.25">
      <c r="A64" s="27" t="s">
        <v>206</v>
      </c>
      <c r="B64" s="34">
        <v>2015</v>
      </c>
      <c r="C64" s="134">
        <v>300</v>
      </c>
      <c r="D64" s="134">
        <v>0.42</v>
      </c>
      <c r="E64" s="546">
        <f>VLOOKUP($A64,EFROGS!$A$1:$J$44,(IF($B64=2015,4,IF($B64=2016,5,IF($B64=2017,6,IF($B64=2018,7,IF($B64=2019,8,IF($B64=2020,9,0))))))),FALSE)</f>
        <v>0.12634860383051666</v>
      </c>
      <c r="F64" s="546">
        <f>VLOOKUP($A64,EFCOS!$A$1:$J$44,(IF($B64=2015,4,IF($B64=2016,5,IF($B64=2017,6,IF($B64=2018,7,IF($B64=2019,8,IF($B64=2020,9,0))))))),FALSE)</f>
        <v>0.50758739181396961</v>
      </c>
      <c r="G64" s="546">
        <f>VLOOKUP($A64,EFNOXS!$A$1:$J$44,(IF($B64=2015,4,IF($B64=2016,5,IF($B64=2017,6,IF($B64=2018,7,IF($B64=2019,8,IF($B64=2020,9,0))))))),FALSE)</f>
        <v>1.1481509547445321</v>
      </c>
      <c r="H64" s="546">
        <f>VLOOKUP($A64,EFSOXS!$A$1:$J$44,(IF($B64=2015,4,IF($B64=2016,5,IF($B64=2017,6,IF($B64=2018,7,IF($B64=2019,8,IF($B64=2020,9,0))))))),FALSE)</f>
        <v>2.4954346257058686E-3</v>
      </c>
      <c r="I64" s="546">
        <f>VLOOKUP($A64,EFPMS!$A$1:$J$44,(IF($B64=2015,4,IF($B64=2016,5,IF($B64=2017,6,IF($B64=2018,7,IF($B64=2019,8,IF($B64=2020,9,0))))))),FALSE)</f>
        <v>3.7613858140880155E-2</v>
      </c>
      <c r="J64" s="536">
        <f t="shared" ref="J64:J68" si="28">0.89*I64</f>
        <v>3.3476333745383335E-2</v>
      </c>
      <c r="K64" s="549">
        <f>VLOOKUP($A64,EFCO2S!$A$1:$J$44,(IF($B64=2015,4,IF($B64=2016,5,IF($B64=2017,6,IF($B64=2018,7,IF($B64=2019,8,IF($B64=2020,9,0))))))),FALSE)</f>
        <v>254.23854571385056</v>
      </c>
      <c r="L64" s="546">
        <f>VLOOKUP($A64,EFCH4S!$A$1:$J$44,(IF($B64=2015,4,IF($B64=2016,5,IF($B64=2017,6,IF($B64=2018,7,IF($B64=2019,8,IF($B64=2020,9,0))))))),FALSE)</f>
        <v>1.1815564023556229E-2</v>
      </c>
      <c r="M64" s="540">
        <f t="shared" ref="M64:M68" si="29">0.095*G64</f>
        <v>0.10907434070073055</v>
      </c>
      <c r="N64" s="145">
        <v>1</v>
      </c>
      <c r="O64" s="145">
        <v>3</v>
      </c>
      <c r="P64" s="109">
        <v>36</v>
      </c>
      <c r="Q64" s="39">
        <f t="shared" ref="Q64:Y68" si="30">(E64*$N64*$O64)</f>
        <v>0.37904581149154998</v>
      </c>
      <c r="R64" s="29">
        <f t="shared" si="30"/>
        <v>1.5227621754419087</v>
      </c>
      <c r="S64" s="29">
        <f t="shared" si="30"/>
        <v>3.4444528642335963</v>
      </c>
      <c r="T64" s="29">
        <f t="shared" si="30"/>
        <v>7.4863038771176057E-3</v>
      </c>
      <c r="U64" s="29">
        <f t="shared" si="30"/>
        <v>0.11284157442264046</v>
      </c>
      <c r="V64" s="29">
        <f t="shared" si="30"/>
        <v>0.10042900123615001</v>
      </c>
      <c r="W64" s="29">
        <f t="shared" si="30"/>
        <v>762.71563714155172</v>
      </c>
      <c r="X64" s="29">
        <f t="shared" si="30"/>
        <v>3.5446692070668688E-2</v>
      </c>
      <c r="Y64" s="29">
        <f t="shared" si="30"/>
        <v>0.32722302210219167</v>
      </c>
    </row>
    <row r="65" spans="1:25" s="3" customFormat="1" x14ac:dyDescent="0.25">
      <c r="A65" s="27" t="s">
        <v>207</v>
      </c>
      <c r="B65" s="34">
        <v>2015</v>
      </c>
      <c r="C65" s="134">
        <v>300</v>
      </c>
      <c r="D65" s="134">
        <v>0.38</v>
      </c>
      <c r="E65" s="546">
        <f>VLOOKUP($A65,EFROGS!$A$1:$J$44,(IF($B65=2015,4,IF($B65=2016,5,IF($B65=2017,6,IF($B65=2018,7,IF($B65=2019,8,IF($B65=2020,9,0))))))),FALSE)</f>
        <v>0.12634860383051666</v>
      </c>
      <c r="F65" s="546">
        <f>VLOOKUP($A65,EFCOS!$A$1:$J$44,(IF($B65=2015,4,IF($B65=2016,5,IF($B65=2017,6,IF($B65=2018,7,IF($B65=2019,8,IF($B65=2020,9,0))))))),FALSE)</f>
        <v>0.50758739181396961</v>
      </c>
      <c r="G65" s="546">
        <f>VLOOKUP($A65,EFNOXS!$A$1:$J$44,(IF($B65=2015,4,IF($B65=2016,5,IF($B65=2017,6,IF($B65=2018,7,IF($B65=2019,8,IF($B65=2020,9,0))))))),FALSE)</f>
        <v>1.1481509547445321</v>
      </c>
      <c r="H65" s="546">
        <f>VLOOKUP($A65,EFSOXS!$A$1:$J$44,(IF($B65=2015,4,IF($B65=2016,5,IF($B65=2017,6,IF($B65=2018,7,IF($B65=2019,8,IF($B65=2020,9,0))))))),FALSE)</f>
        <v>2.4954346257058686E-3</v>
      </c>
      <c r="I65" s="546">
        <f>VLOOKUP($A65,EFPMS!$A$1:$J$44,(IF($B65=2015,4,IF($B65=2016,5,IF($B65=2017,6,IF($B65=2018,7,IF($B65=2019,8,IF($B65=2020,9,0))))))),FALSE)</f>
        <v>3.7613858140880155E-2</v>
      </c>
      <c r="J65" s="536">
        <f t="shared" si="28"/>
        <v>3.3476333745383335E-2</v>
      </c>
      <c r="K65" s="549">
        <f>VLOOKUP($A65,EFCO2S!$A$1:$J$44,(IF($B65=2015,4,IF($B65=2016,5,IF($B65=2017,6,IF($B65=2018,7,IF($B65=2019,8,IF($B65=2020,9,0))))))),FALSE)</f>
        <v>254.23854571385056</v>
      </c>
      <c r="L65" s="546">
        <f>VLOOKUP($A65,EFCH4S!$A$1:$J$44,(IF($B65=2015,4,IF($B65=2016,5,IF($B65=2017,6,IF($B65=2018,7,IF($B65=2019,8,IF($B65=2020,9,0))))))),FALSE)</f>
        <v>1.1815564023556229E-2</v>
      </c>
      <c r="M65" s="540">
        <f t="shared" si="29"/>
        <v>0.10907434070073055</v>
      </c>
      <c r="N65" s="145">
        <v>1</v>
      </c>
      <c r="O65" s="145">
        <v>3</v>
      </c>
      <c r="P65" s="109">
        <v>36</v>
      </c>
      <c r="Q65" s="39">
        <f t="shared" si="30"/>
        <v>0.37904581149154998</v>
      </c>
      <c r="R65" s="29">
        <f t="shared" si="30"/>
        <v>1.5227621754419087</v>
      </c>
      <c r="S65" s="29">
        <f t="shared" si="30"/>
        <v>3.4444528642335963</v>
      </c>
      <c r="T65" s="29">
        <f t="shared" si="30"/>
        <v>7.4863038771176057E-3</v>
      </c>
      <c r="U65" s="29">
        <f t="shared" si="30"/>
        <v>0.11284157442264046</v>
      </c>
      <c r="V65" s="29">
        <f t="shared" si="30"/>
        <v>0.10042900123615001</v>
      </c>
      <c r="W65" s="29">
        <f t="shared" si="30"/>
        <v>762.71563714155172</v>
      </c>
      <c r="X65" s="29">
        <f t="shared" si="30"/>
        <v>3.5446692070668688E-2</v>
      </c>
      <c r="Y65" s="29">
        <f t="shared" si="30"/>
        <v>0.32722302210219167</v>
      </c>
    </row>
    <row r="66" spans="1:25" s="3" customFormat="1" x14ac:dyDescent="0.25">
      <c r="A66" s="37" t="s">
        <v>589</v>
      </c>
      <c r="B66" s="34">
        <v>2015</v>
      </c>
      <c r="C66" s="134">
        <v>235</v>
      </c>
      <c r="D66" s="134">
        <v>0.38</v>
      </c>
      <c r="E66" s="546">
        <f>VLOOKUP($A66,EFROGS!$A$1:$J$44,(IF($B66=2015,4,IF($B66=2016,5,IF($B66=2017,6,IF($B66=2018,7,IF($B66=2019,8,IF($B66=2020,9,0))))))),FALSE)</f>
        <v>0.11889503623839508</v>
      </c>
      <c r="F66" s="546">
        <f>VLOOKUP($A66,EFCOS!$A$1:$J$44,(IF($B66=2015,4,IF($B66=2016,5,IF($B66=2017,6,IF($B66=2018,7,IF($B66=2019,8,IF($B66=2020,9,0))))))),FALSE)</f>
        <v>0.35167142856684902</v>
      </c>
      <c r="G66" s="546">
        <f>VLOOKUP($A66,EFNOXS!$A$1:$J$44,(IF($B66=2015,4,IF($B66=2016,5,IF($B66=2017,6,IF($B66=2018,7,IF($B66=2019,8,IF($B66=2020,9,0))))))),FALSE)</f>
        <v>0.93268752730067161</v>
      </c>
      <c r="H66" s="546">
        <f>VLOOKUP($A66,EFSOXS!$A$1:$J$44,(IF($B66=2015,4,IF($B66=2016,5,IF($B66=2017,6,IF($B66=2018,7,IF($B66=2019,8,IF($B66=2020,9,0))))))),FALSE)</f>
        <v>1.8739213528134147E-3</v>
      </c>
      <c r="I66" s="546">
        <f>VLOOKUP($A66,EFPMS!$A$1:$J$44,(IF($B66=2015,4,IF($B66=2016,5,IF($B66=2017,6,IF($B66=2018,7,IF($B66=2019,8,IF($B66=2020,9,0))))))),FALSE)</f>
        <v>3.1131085931197421E-2</v>
      </c>
      <c r="J66" s="536">
        <f t="shared" si="28"/>
        <v>2.7706666478765705E-2</v>
      </c>
      <c r="K66" s="549">
        <f>VLOOKUP($A66,EFCO2S!$A$1:$J$44,(IF($B66=2015,4,IF($B66=2016,5,IF($B66=2017,6,IF($B66=2018,7,IF($B66=2019,8,IF($B66=2020,9,0))))))),FALSE)</f>
        <v>166.54539483446186</v>
      </c>
      <c r="L66" s="546">
        <f>VLOOKUP($A66,EFCH4S!$A$1:$J$44,(IF($B66=2015,4,IF($B66=2016,5,IF($B66=2017,6,IF($B66=2018,7,IF($B66=2019,8,IF($B66=2020,9,0))))))),FALSE)</f>
        <v>1.1292325418869483E-2</v>
      </c>
      <c r="M66" s="540">
        <f t="shared" si="29"/>
        <v>8.86053150935638E-2</v>
      </c>
      <c r="N66" s="145">
        <v>2</v>
      </c>
      <c r="O66" s="145">
        <v>3</v>
      </c>
      <c r="P66" s="109">
        <v>36</v>
      </c>
      <c r="Q66" s="39">
        <f t="shared" si="30"/>
        <v>0.71337021743037043</v>
      </c>
      <c r="R66" s="29">
        <f t="shared" si="30"/>
        <v>2.1100285714010942</v>
      </c>
      <c r="S66" s="29">
        <f t="shared" si="30"/>
        <v>5.5961251638040297</v>
      </c>
      <c r="T66" s="29">
        <f t="shared" si="30"/>
        <v>1.1243528116880489E-2</v>
      </c>
      <c r="U66" s="29">
        <f t="shared" si="30"/>
        <v>0.18678651558718451</v>
      </c>
      <c r="V66" s="29">
        <f t="shared" si="30"/>
        <v>0.16623999887259422</v>
      </c>
      <c r="W66" s="29">
        <f t="shared" si="30"/>
        <v>999.27236900677121</v>
      </c>
      <c r="X66" s="29">
        <f t="shared" si="30"/>
        <v>6.7753952513216892E-2</v>
      </c>
      <c r="Y66" s="29">
        <f t="shared" si="30"/>
        <v>0.53163189056138282</v>
      </c>
    </row>
    <row r="67" spans="1:25" s="3" customFormat="1" x14ac:dyDescent="0.25">
      <c r="A67" s="27" t="s">
        <v>199</v>
      </c>
      <c r="B67" s="34">
        <v>2015</v>
      </c>
      <c r="C67" s="134">
        <v>235</v>
      </c>
      <c r="D67" s="134">
        <v>0.38</v>
      </c>
      <c r="E67" s="546">
        <f>VLOOKUP($A67,EFROGS!$A$1:$J$44,(IF($B67=2015,4,IF($B67=2016,5,IF($B67=2017,6,IF($B67=2018,7,IF($B67=2019,8,IF($B67=2020,9,0))))))),FALSE)</f>
        <v>0.11992127080629632</v>
      </c>
      <c r="F67" s="546">
        <f>VLOOKUP($A67,EFCOS!$A$1:$J$44,(IF($B67=2015,4,IF($B67=2016,5,IF($B67=2017,6,IF($B67=2018,7,IF($B67=2019,8,IF($B67=2020,9,0))))))),FALSE)</f>
        <v>0.37073007054215767</v>
      </c>
      <c r="G67" s="546">
        <f>VLOOKUP($A67,EFNOXS!$A$1:$J$44,(IF($B67=2015,4,IF($B67=2016,5,IF($B67=2017,6,IF($B67=2018,7,IF($B67=2019,8,IF($B67=2020,9,0))))))),FALSE)</f>
        <v>0.94368289767104196</v>
      </c>
      <c r="H67" s="546">
        <f>VLOOKUP($A67,EFSOXS!$A$1:$J$44,(IF($B67=2015,4,IF($B67=2016,5,IF($B67=2017,6,IF($B67=2018,7,IF($B67=2019,8,IF($B67=2020,9,0))))))),FALSE)</f>
        <v>1.8739213528134147E-3</v>
      </c>
      <c r="I67" s="546">
        <f>VLOOKUP($A67,EFPMS!$A$1:$J$44,(IF($B67=2015,4,IF($B67=2016,5,IF($B67=2017,6,IF($B67=2018,7,IF($B67=2019,8,IF($B67=2020,9,0))))))),FALSE)</f>
        <v>3.1241039634901123E-2</v>
      </c>
      <c r="J67" s="536">
        <f t="shared" si="28"/>
        <v>2.7804525275062001E-2</v>
      </c>
      <c r="K67" s="549">
        <f>VLOOKUP($A67,EFCO2S!$A$1:$J$44,(IF($B67=2015,4,IF($B67=2016,5,IF($B67=2017,6,IF($B67=2018,7,IF($B67=2019,8,IF($B67=2020,9,0))))))),FALSE)</f>
        <v>166.54539483446186</v>
      </c>
      <c r="L67" s="546">
        <f>VLOOKUP($A67,EFCH4S!$A$1:$J$44,(IF($B67=2015,4,IF($B67=2016,5,IF($B67=2017,6,IF($B67=2018,7,IF($B67=2019,8,IF($B67=2020,9,0))))))),FALSE)</f>
        <v>1.1292325418869483E-2</v>
      </c>
      <c r="M67" s="540">
        <f t="shared" si="29"/>
        <v>8.9649875278748986E-2</v>
      </c>
      <c r="N67" s="145">
        <v>2</v>
      </c>
      <c r="O67" s="145">
        <v>3</v>
      </c>
      <c r="P67" s="109">
        <v>12</v>
      </c>
      <c r="Q67" s="39">
        <f t="shared" si="30"/>
        <v>0.71952762483777788</v>
      </c>
      <c r="R67" s="29">
        <f t="shared" si="30"/>
        <v>2.224380423252946</v>
      </c>
      <c r="S67" s="29">
        <f t="shared" si="30"/>
        <v>5.662097386026252</v>
      </c>
      <c r="T67" s="29">
        <f t="shared" si="30"/>
        <v>1.1243528116880489E-2</v>
      </c>
      <c r="U67" s="29">
        <f t="shared" si="30"/>
        <v>0.18744623780940672</v>
      </c>
      <c r="V67" s="29">
        <f t="shared" si="30"/>
        <v>0.16682715165037201</v>
      </c>
      <c r="W67" s="29">
        <f t="shared" si="30"/>
        <v>999.27236900677121</v>
      </c>
      <c r="X67" s="29">
        <f t="shared" si="30"/>
        <v>6.7753952513216892E-2</v>
      </c>
      <c r="Y67" s="29">
        <f t="shared" si="30"/>
        <v>0.53789925167249386</v>
      </c>
    </row>
    <row r="68" spans="1:25" s="3" customFormat="1" x14ac:dyDescent="0.25">
      <c r="A68" s="27" t="s">
        <v>162</v>
      </c>
      <c r="B68" s="34">
        <v>2015</v>
      </c>
      <c r="C68" s="134">
        <v>235</v>
      </c>
      <c r="D68" s="134">
        <v>0.38</v>
      </c>
      <c r="E68" s="546">
        <f>VLOOKUP($A68,EFROGS!$A$1:$J$44,(IF($B68=2015,4,IF($B68=2016,5,IF($B68=2017,6,IF($B68=2018,7,IF($B68=2019,8,IF($B68=2020,9,0))))))),FALSE)</f>
        <v>0.12027312265814816</v>
      </c>
      <c r="F68" s="546">
        <f>VLOOKUP($A68,EFCOS!$A$1:$J$44,(IF($B68=2015,4,IF($B68=2016,5,IF($B68=2017,6,IF($B68=2018,7,IF($B68=2019,8,IF($B68=2020,9,0))))))),FALSE)</f>
        <v>0.37726446207654918</v>
      </c>
      <c r="G68" s="546">
        <f>VLOOKUP($A68,EFNOXS!$A$1:$J$44,(IF($B68=2015,4,IF($B68=2016,5,IF($B68=2017,6,IF($B68=2018,7,IF($B68=2019,8,IF($B68=2020,9,0))))))),FALSE)</f>
        <v>0.94745273894088322</v>
      </c>
      <c r="H68" s="546">
        <f>VLOOKUP($A68,EFSOXS!$A$1:$J$44,(IF($B68=2015,4,IF($B68=2016,5,IF($B68=2017,6,IF($B68=2018,7,IF($B68=2019,8,IF($B68=2020,9,0))))))),FALSE)</f>
        <v>1.8739213528134147E-3</v>
      </c>
      <c r="I68" s="546">
        <f>VLOOKUP($A68,EFPMS!$A$1:$J$44,(IF($B68=2015,4,IF($B68=2016,5,IF($B68=2017,6,IF($B68=2018,7,IF($B68=2019,8,IF($B68=2020,9,0))))))),FALSE)</f>
        <v>3.1278738047599536E-2</v>
      </c>
      <c r="J68" s="536">
        <f t="shared" si="28"/>
        <v>2.7838076862363587E-2</v>
      </c>
      <c r="K68" s="549">
        <f>VLOOKUP($A68,EFCO2S!$A$1:$J$44,(IF($B68=2015,4,IF($B68=2016,5,IF($B68=2017,6,IF($B68=2018,7,IF($B68=2019,8,IF($B68=2020,9,0))))))),FALSE)</f>
        <v>166.54539483446186</v>
      </c>
      <c r="L68" s="546">
        <f>VLOOKUP($A68,EFCH4S!$A$1:$J$44,(IF($B68=2015,4,IF($B68=2016,5,IF($B68=2017,6,IF($B68=2018,7,IF($B68=2019,8,IF($B68=2020,9,0))))))),FALSE)</f>
        <v>1.1292325418869483E-2</v>
      </c>
      <c r="M68" s="540">
        <f t="shared" si="29"/>
        <v>9.0008010199383912E-2</v>
      </c>
      <c r="N68" s="145">
        <v>2</v>
      </c>
      <c r="O68" s="145">
        <v>3</v>
      </c>
      <c r="P68" s="109">
        <v>36</v>
      </c>
      <c r="Q68" s="39">
        <f t="shared" si="30"/>
        <v>0.72163873594888894</v>
      </c>
      <c r="R68" s="29">
        <f t="shared" si="30"/>
        <v>2.2635867724592948</v>
      </c>
      <c r="S68" s="29">
        <f t="shared" si="30"/>
        <v>5.6847164336452991</v>
      </c>
      <c r="T68" s="29">
        <f t="shared" si="30"/>
        <v>1.1243528116880489E-2</v>
      </c>
      <c r="U68" s="29">
        <f t="shared" si="30"/>
        <v>0.18767242828559721</v>
      </c>
      <c r="V68" s="29">
        <f t="shared" si="30"/>
        <v>0.16702846117418152</v>
      </c>
      <c r="W68" s="29">
        <f t="shared" si="30"/>
        <v>999.27236900677121</v>
      </c>
      <c r="X68" s="29">
        <f t="shared" si="30"/>
        <v>6.7753952513216892E-2</v>
      </c>
      <c r="Y68" s="29">
        <f t="shared" si="30"/>
        <v>0.54004806119630344</v>
      </c>
    </row>
    <row r="69" spans="1:25" s="3" customFormat="1" x14ac:dyDescent="0.25">
      <c r="A69" s="19" t="s">
        <v>38</v>
      </c>
      <c r="B69" s="34"/>
      <c r="C69" s="134"/>
      <c r="D69" s="134"/>
      <c r="E69" s="26"/>
      <c r="F69" s="26"/>
      <c r="G69" s="26"/>
      <c r="H69" s="26"/>
      <c r="I69" s="26"/>
      <c r="J69" s="27"/>
      <c r="K69" s="28"/>
      <c r="L69" s="26"/>
      <c r="M69" s="38"/>
      <c r="N69" s="109"/>
      <c r="O69" s="109"/>
      <c r="P69" s="109"/>
      <c r="Q69" s="138">
        <f>SUM(Q64:Q68)</f>
        <v>2.9126282012001372</v>
      </c>
      <c r="R69" s="138">
        <f t="shared" ref="R69:Y69" si="31">SUM(R64:R68)</f>
        <v>9.6435201179971521</v>
      </c>
      <c r="S69" s="138">
        <f t="shared" si="31"/>
        <v>23.831844711942772</v>
      </c>
      <c r="T69" s="138">
        <f t="shared" si="31"/>
        <v>4.8703192104876676E-2</v>
      </c>
      <c r="U69" s="138">
        <f t="shared" si="31"/>
        <v>0.78758833052746935</v>
      </c>
      <c r="V69" s="138">
        <f t="shared" si="31"/>
        <v>0.70095361416944768</v>
      </c>
      <c r="W69" s="138">
        <f t="shared" si="31"/>
        <v>4523.2483813034178</v>
      </c>
      <c r="X69" s="138">
        <f t="shared" si="31"/>
        <v>0.27415524168098804</v>
      </c>
      <c r="Y69" s="138">
        <f t="shared" si="31"/>
        <v>2.2640252476345637</v>
      </c>
    </row>
    <row r="70" spans="1:25" s="3" customFormat="1" x14ac:dyDescent="0.25">
      <c r="A70" s="27"/>
      <c r="B70" s="34"/>
      <c r="C70" s="134"/>
      <c r="D70" s="134"/>
      <c r="E70" s="26"/>
      <c r="F70" s="26"/>
      <c r="G70" s="26"/>
      <c r="H70" s="26"/>
      <c r="I70" s="26"/>
      <c r="J70" s="27"/>
      <c r="K70" s="28"/>
      <c r="L70" s="26"/>
      <c r="M70" s="38"/>
      <c r="N70" s="109"/>
      <c r="O70" s="109"/>
      <c r="P70" s="109"/>
      <c r="Q70" s="39"/>
      <c r="R70" s="29"/>
      <c r="S70" s="29"/>
      <c r="T70" s="29"/>
      <c r="U70" s="29"/>
      <c r="V70" s="29"/>
      <c r="W70" s="29"/>
      <c r="X70" s="29"/>
      <c r="Y70" s="29"/>
    </row>
    <row r="71" spans="1:25" s="3" customFormat="1" x14ac:dyDescent="0.25">
      <c r="A71" s="19" t="s">
        <v>600</v>
      </c>
      <c r="B71" s="34">
        <v>2015</v>
      </c>
      <c r="C71" s="134"/>
      <c r="D71" s="134"/>
      <c r="E71" s="26"/>
      <c r="F71" s="26"/>
      <c r="G71" s="26"/>
      <c r="H71" s="26"/>
      <c r="I71" s="26"/>
      <c r="J71" s="27"/>
      <c r="K71" s="28"/>
      <c r="L71" s="26"/>
      <c r="M71" s="38"/>
      <c r="N71" s="109"/>
      <c r="O71" s="109"/>
      <c r="P71" s="109"/>
      <c r="Q71" s="39"/>
      <c r="R71" s="29"/>
      <c r="S71" s="29"/>
      <c r="T71" s="29"/>
      <c r="U71" s="29"/>
      <c r="V71" s="29"/>
      <c r="W71" s="29"/>
      <c r="X71" s="29"/>
      <c r="Y71" s="29"/>
    </row>
    <row r="72" spans="1:25" s="3" customFormat="1" x14ac:dyDescent="0.25">
      <c r="A72" s="27" t="s">
        <v>579</v>
      </c>
      <c r="B72" s="34">
        <v>2015</v>
      </c>
      <c r="C72" s="134">
        <v>81</v>
      </c>
      <c r="D72" s="134">
        <v>0.73</v>
      </c>
      <c r="E72" s="546">
        <f>VLOOKUP($A72,EFROGS!$A$1:$J$44,(IF($B72=2015,4,IF($B72=2016,5,IF($B72=2017,6,IF($B72=2018,7,IF($B72=2019,8,IF($B72=2020,9,0))))))),FALSE)</f>
        <v>8.6112792503162949E-2</v>
      </c>
      <c r="F72" s="546">
        <f>VLOOKUP($A72,EFCOS!$A$1:$J$44,(IF($B72=2015,4,IF($B72=2016,5,IF($B72=2017,6,IF($B72=2018,7,IF($B72=2019,8,IF($B72=2020,9,0))))))),FALSE)</f>
        <v>0.47768471513224703</v>
      </c>
      <c r="G72" s="546">
        <f>VLOOKUP($A72,EFNOXS!$A$1:$J$44,(IF($B72=2015,4,IF($B72=2016,5,IF($B72=2017,6,IF($B72=2018,7,IF($B72=2019,8,IF($B72=2020,9,0))))))),FALSE)</f>
        <v>0.60837305944613218</v>
      </c>
      <c r="H72" s="546">
        <f>VLOOKUP($A72,EFSOXS!$A$1:$J$44,(IF($B72=2015,4,IF($B72=2016,5,IF($B72=2017,6,IF($B72=2018,7,IF($B72=2019,8,IF($B72=2020,9,0))))))),FALSE)</f>
        <v>8.6981465614259827E-4</v>
      </c>
      <c r="I72" s="546">
        <f>VLOOKUP($A72,EFPMS!$A$1:$J$44,(IF($B72=2015,4,IF($B72=2016,5,IF($B72=2017,6,IF($B72=2018,7,IF($B72=2019,8,IF($B72=2020,9,0))))))),FALSE)</f>
        <v>4.6360889612910072E-2</v>
      </c>
      <c r="J72" s="536">
        <f t="shared" ref="J72:J83" si="32">0.89*I72</f>
        <v>4.1261191755489965E-2</v>
      </c>
      <c r="K72" s="549">
        <f>VLOOKUP($A72,EFCO2S!$A$1:$J$44,(IF($B72=2015,4,IF($B72=2016,5,IF($B72=2017,6,IF($B72=2018,7,IF($B72=2019,8,IF($B72=2020,9,0))))))),FALSE)</f>
        <v>74.149777594362092</v>
      </c>
      <c r="L72" s="546">
        <f>VLOOKUP($A72,EFCH4S!$A$1:$J$44,(IF($B72=2015,4,IF($B72=2016,5,IF($B72=2017,6,IF($B72=2018,7,IF($B72=2019,8,IF($B72=2020,9,0))))))),FALSE)</f>
        <v>8.0478710667049036E-3</v>
      </c>
      <c r="M72" s="540">
        <f t="shared" ref="M72:M83" si="33">0.095*G72</f>
        <v>5.7795440647382561E-2</v>
      </c>
      <c r="N72" s="135">
        <v>1</v>
      </c>
      <c r="O72" s="109">
        <v>8</v>
      </c>
      <c r="P72" s="109">
        <v>12.8</v>
      </c>
      <c r="Q72" s="39">
        <f t="shared" ref="Q72:Y83" si="34">(E72*$N72*$O72)</f>
        <v>0.68890234002530359</v>
      </c>
      <c r="R72" s="29">
        <f t="shared" si="34"/>
        <v>3.8214777210579762</v>
      </c>
      <c r="S72" s="29">
        <f t="shared" si="34"/>
        <v>4.8669844755690574</v>
      </c>
      <c r="T72" s="29">
        <f t="shared" si="34"/>
        <v>6.9585172491407861E-3</v>
      </c>
      <c r="U72" s="29">
        <f t="shared" si="34"/>
        <v>0.37088711690328058</v>
      </c>
      <c r="V72" s="29">
        <f t="shared" si="34"/>
        <v>0.33008953404391972</v>
      </c>
      <c r="W72" s="29">
        <f t="shared" si="34"/>
        <v>593.19822075489674</v>
      </c>
      <c r="X72" s="29">
        <f t="shared" si="34"/>
        <v>6.4382968533639229E-2</v>
      </c>
      <c r="Y72" s="29">
        <f t="shared" si="34"/>
        <v>0.46236352517906049</v>
      </c>
    </row>
    <row r="73" spans="1:25" s="3" customFormat="1" x14ac:dyDescent="0.25">
      <c r="A73" s="37" t="s">
        <v>62</v>
      </c>
      <c r="B73" s="34">
        <v>2015</v>
      </c>
      <c r="C73" s="134">
        <v>85</v>
      </c>
      <c r="D73" s="134">
        <v>0.36</v>
      </c>
      <c r="E73" s="546">
        <f>VLOOKUP($A73,EFROGS!$A$1:$J$44,(IF($B73=2015,4,IF($B73=2016,5,IF($B73=2017,6,IF($B73=2018,7,IF($B73=2019,8,IF($B73=2020,9,0))))))),FALSE)</f>
        <v>7.9801484832556724E-2</v>
      </c>
      <c r="F73" s="546">
        <f>VLOOKUP($A73,EFCOS!$A$1:$J$44,(IF($B73=2015,4,IF($B73=2016,5,IF($B73=2017,6,IF($B73=2018,7,IF($B73=2019,8,IF($B73=2020,9,0))))))),FALSE)</f>
        <v>0.40100742191945721</v>
      </c>
      <c r="G73" s="546">
        <f>VLOOKUP($A73,EFNOXS!$A$1:$J$44,(IF($B73=2015,4,IF($B73=2016,5,IF($B73=2017,6,IF($B73=2018,7,IF($B73=2019,8,IF($B73=2020,9,0))))))),FALSE)</f>
        <v>0.50491905800089187</v>
      </c>
      <c r="H73" s="546">
        <f>VLOOKUP($A73,EFSOXS!$A$1:$J$44,(IF($B73=2015,4,IF($B73=2016,5,IF($B73=2017,6,IF($B73=2018,7,IF($B73=2019,8,IF($B73=2020,9,0))))))),FALSE)</f>
        <v>6.9108572612879135E-4</v>
      </c>
      <c r="I73" s="546">
        <f>VLOOKUP($A73,EFPMS!$A$1:$J$44,(IF($B73=2015,4,IF($B73=2016,5,IF($B73=2017,6,IF($B73=2018,7,IF($B73=2019,8,IF($B73=2020,9,0))))))),FALSE)</f>
        <v>4.0955217982968535E-2</v>
      </c>
      <c r="J73" s="536">
        <f t="shared" si="32"/>
        <v>3.6450144004841999E-2</v>
      </c>
      <c r="K73" s="549">
        <f>VLOOKUP($A73,EFCO2S!$A$1:$J$44,(IF($B73=2015,4,IF($B73=2016,5,IF($B73=2017,6,IF($B73=2018,7,IF($B73=2019,8,IF($B73=2020,9,0))))))),FALSE)</f>
        <v>58.913512015277149</v>
      </c>
      <c r="L73" s="546">
        <f>VLOOKUP($A73,EFCH4S!$A$1:$J$44,(IF($B73=2015,4,IF($B73=2016,5,IF($B73=2017,6,IF($B73=2018,7,IF($B73=2019,8,IF($B73=2020,9,0))))))),FALSE)</f>
        <v>7.5344751889799754E-3</v>
      </c>
      <c r="M73" s="540">
        <f t="shared" si="33"/>
        <v>4.7967310510084731E-2</v>
      </c>
      <c r="N73" s="108">
        <v>2</v>
      </c>
      <c r="O73" s="109">
        <v>8</v>
      </c>
      <c r="P73" s="109">
        <v>25.6</v>
      </c>
      <c r="Q73" s="39">
        <f t="shared" si="34"/>
        <v>1.2768237573209076</v>
      </c>
      <c r="R73" s="29">
        <f t="shared" si="34"/>
        <v>6.4161187507113153</v>
      </c>
      <c r="S73" s="29">
        <f t="shared" si="34"/>
        <v>8.07870492801427</v>
      </c>
      <c r="T73" s="29">
        <f t="shared" si="34"/>
        <v>1.1057371618060662E-2</v>
      </c>
      <c r="U73" s="29">
        <f t="shared" si="34"/>
        <v>0.65528348772749656</v>
      </c>
      <c r="V73" s="29">
        <f t="shared" si="34"/>
        <v>0.58320230407747198</v>
      </c>
      <c r="W73" s="29">
        <f t="shared" si="34"/>
        <v>942.61619224443439</v>
      </c>
      <c r="X73" s="29">
        <f t="shared" si="34"/>
        <v>0.12055160302367961</v>
      </c>
      <c r="Y73" s="29">
        <f t="shared" si="34"/>
        <v>0.76747696816135569</v>
      </c>
    </row>
    <row r="74" spans="1:25" s="3" customFormat="1" x14ac:dyDescent="0.25">
      <c r="A74" s="27" t="s">
        <v>156</v>
      </c>
      <c r="B74" s="34">
        <v>2015</v>
      </c>
      <c r="C74" s="134">
        <v>37</v>
      </c>
      <c r="D74" s="134">
        <v>0.37</v>
      </c>
      <c r="E74" s="546">
        <f>VLOOKUP($A74,EFROGS!$A$1:$J$44,(IF($B74=2015,4,IF($B74=2016,5,IF($B74=2017,6,IF($B74=2018,7,IF($B74=2019,8,IF($B74=2020,9,0))))))),FALSE)</f>
        <v>3.7835624751667511E-2</v>
      </c>
      <c r="F74" s="546">
        <f>VLOOKUP($A74,EFCOS!$A$1:$J$44,(IF($B74=2015,4,IF($B74=2016,5,IF($B74=2017,6,IF($B74=2018,7,IF($B74=2019,8,IF($B74=2020,9,0))))))),FALSE)</f>
        <v>0.20932457344446903</v>
      </c>
      <c r="G74" s="546">
        <f>VLOOKUP($A74,EFNOXS!$A$1:$J$44,(IF($B74=2015,4,IF($B74=2016,5,IF($B74=2017,6,IF($B74=2018,7,IF($B74=2019,8,IF($B74=2020,9,0))))))),FALSE)</f>
        <v>0.20341030443730182</v>
      </c>
      <c r="H74" s="546">
        <f>VLOOKUP($A74,EFSOXS!$A$1:$J$44,(IF($B74=2015,4,IF($B74=2016,5,IF($B74=2017,6,IF($B74=2018,7,IF($B74=2019,8,IF($B74=2020,9,0))))))),FALSE)</f>
        <v>3.2989898219504352E-4</v>
      </c>
      <c r="I74" s="546">
        <f>VLOOKUP($A74,EFPMS!$A$1:$J$44,(IF($B74=2015,4,IF($B74=2016,5,IF($B74=2017,6,IF($B74=2018,7,IF($B74=2019,8,IF($B74=2020,9,0))))))),FALSE)</f>
        <v>1.1105935287803133E-2</v>
      </c>
      <c r="J74" s="536">
        <f t="shared" si="32"/>
        <v>9.8842824061447891E-3</v>
      </c>
      <c r="K74" s="549">
        <f>VLOOKUP($A74,EFCO2S!$A$1:$J$44,(IF($B74=2015,4,IF($B74=2016,5,IF($B74=2017,6,IF($B74=2018,7,IF($B74=2019,8,IF($B74=2020,9,0))))))),FALSE)</f>
        <v>25.519145338424273</v>
      </c>
      <c r="L74" s="546">
        <f>VLOOKUP($A74,EFCH4S!$A$1:$J$44,(IF($B74=2015,4,IF($B74=2016,5,IF($B74=2017,6,IF($B74=2018,7,IF($B74=2019,8,IF($B74=2020,9,0))))))),FALSE)</f>
        <v>3.413848047070189E-3</v>
      </c>
      <c r="M74" s="540">
        <f t="shared" si="33"/>
        <v>1.9323978921543673E-2</v>
      </c>
      <c r="N74" s="108">
        <v>1</v>
      </c>
      <c r="O74" s="109">
        <v>2</v>
      </c>
      <c r="P74" s="109">
        <v>4</v>
      </c>
      <c r="Q74" s="39">
        <f t="shared" si="34"/>
        <v>7.5671249503335022E-2</v>
      </c>
      <c r="R74" s="29">
        <f t="shared" si="34"/>
        <v>0.41864914688893806</v>
      </c>
      <c r="S74" s="29">
        <f t="shared" si="34"/>
        <v>0.40682060887460364</v>
      </c>
      <c r="T74" s="29">
        <f t="shared" si="34"/>
        <v>6.5979796439008705E-4</v>
      </c>
      <c r="U74" s="29">
        <f t="shared" si="34"/>
        <v>2.2211870575606266E-2</v>
      </c>
      <c r="V74" s="29">
        <f t="shared" si="34"/>
        <v>1.9768564812289578E-2</v>
      </c>
      <c r="W74" s="29">
        <f t="shared" si="34"/>
        <v>51.038290676848547</v>
      </c>
      <c r="X74" s="29">
        <f t="shared" si="34"/>
        <v>6.8276960941403781E-3</v>
      </c>
      <c r="Y74" s="29">
        <f t="shared" si="34"/>
        <v>3.8647957843087347E-2</v>
      </c>
    </row>
    <row r="75" spans="1:25" s="3" customFormat="1" x14ac:dyDescent="0.25">
      <c r="A75" s="27" t="s">
        <v>200</v>
      </c>
      <c r="B75" s="34">
        <v>2015</v>
      </c>
      <c r="C75" s="134">
        <v>235</v>
      </c>
      <c r="D75" s="134">
        <v>0.38</v>
      </c>
      <c r="E75" s="546">
        <f>VLOOKUP($A75,EFROGS!$A$1:$J$44,(IF($B75=2015,4,IF($B75=2016,5,IF($B75=2017,6,IF($B75=2018,7,IF($B75=2019,8,IF($B75=2020,9,0))))))),FALSE)</f>
        <v>0.12027312265814816</v>
      </c>
      <c r="F75" s="546">
        <f>VLOOKUP($A75,EFCOS!$A$1:$J$44,(IF($B75=2015,4,IF($B75=2016,5,IF($B75=2017,6,IF($B75=2018,7,IF($B75=2019,8,IF($B75=2020,9,0))))))),FALSE)</f>
        <v>0.37726446207654918</v>
      </c>
      <c r="G75" s="546">
        <f>VLOOKUP($A75,EFNOXS!$A$1:$J$44,(IF($B75=2015,4,IF($B75=2016,5,IF($B75=2017,6,IF($B75=2018,7,IF($B75=2019,8,IF($B75=2020,9,0))))))),FALSE)</f>
        <v>0.94745273894088322</v>
      </c>
      <c r="H75" s="546">
        <f>VLOOKUP($A75,EFSOXS!$A$1:$J$44,(IF($B75=2015,4,IF($B75=2016,5,IF($B75=2017,6,IF($B75=2018,7,IF($B75=2019,8,IF($B75=2020,9,0))))))),FALSE)</f>
        <v>1.8739213528134147E-3</v>
      </c>
      <c r="I75" s="546">
        <f>VLOOKUP($A75,EFPMS!$A$1:$J$44,(IF($B75=2015,4,IF($B75=2016,5,IF($B75=2017,6,IF($B75=2018,7,IF($B75=2019,8,IF($B75=2020,9,0))))))),FALSE)</f>
        <v>3.1278738047599536E-2</v>
      </c>
      <c r="J75" s="536">
        <f t="shared" si="32"/>
        <v>2.7838076862363587E-2</v>
      </c>
      <c r="K75" s="549">
        <f>VLOOKUP($A75,EFCO2S!$A$1:$J$44,(IF($B75=2015,4,IF($B75=2016,5,IF($B75=2017,6,IF($B75=2018,7,IF($B75=2019,8,IF($B75=2020,9,0))))))),FALSE)</f>
        <v>166.54539483446186</v>
      </c>
      <c r="L75" s="546">
        <f>VLOOKUP($A75,EFCH4S!$A$1:$J$44,(IF($B75=2015,4,IF($B75=2016,5,IF($B75=2017,6,IF($B75=2018,7,IF($B75=2019,8,IF($B75=2020,9,0))))))),FALSE)</f>
        <v>1.1292325418869483E-2</v>
      </c>
      <c r="M75" s="540">
        <f t="shared" si="33"/>
        <v>9.0008010199383912E-2</v>
      </c>
      <c r="N75" s="135">
        <v>3</v>
      </c>
      <c r="O75" s="109">
        <v>3</v>
      </c>
      <c r="P75" s="109">
        <v>36</v>
      </c>
      <c r="Q75" s="39">
        <f t="shared" si="34"/>
        <v>1.0824581039233334</v>
      </c>
      <c r="R75" s="29">
        <f t="shared" si="34"/>
        <v>3.3953801586889423</v>
      </c>
      <c r="S75" s="29">
        <f t="shared" si="34"/>
        <v>8.5270746504679487</v>
      </c>
      <c r="T75" s="29">
        <f t="shared" si="34"/>
        <v>1.6865292175320734E-2</v>
      </c>
      <c r="U75" s="29">
        <f t="shared" si="34"/>
        <v>0.28150864242839579</v>
      </c>
      <c r="V75" s="29">
        <f t="shared" si="34"/>
        <v>0.25054269176127231</v>
      </c>
      <c r="W75" s="29">
        <f t="shared" si="34"/>
        <v>1498.9085535101567</v>
      </c>
      <c r="X75" s="29">
        <f t="shared" si="34"/>
        <v>0.10163092876982534</v>
      </c>
      <c r="Y75" s="29">
        <f t="shared" si="34"/>
        <v>0.81007209179445516</v>
      </c>
    </row>
    <row r="76" spans="1:25" s="3" customFormat="1" x14ac:dyDescent="0.25">
      <c r="A76" s="27" t="s">
        <v>199</v>
      </c>
      <c r="B76" s="34">
        <v>2015</v>
      </c>
      <c r="C76" s="134">
        <v>175</v>
      </c>
      <c r="D76" s="134">
        <v>0.38</v>
      </c>
      <c r="E76" s="546">
        <f>VLOOKUP($A76,EFROGS!$A$1:$J$44,(IF($B76=2015,4,IF($B76=2016,5,IF($B76=2017,6,IF($B76=2018,7,IF($B76=2019,8,IF($B76=2020,9,0))))))),FALSE)</f>
        <v>0.11992127080629632</v>
      </c>
      <c r="F76" s="546">
        <f>VLOOKUP($A76,EFCOS!$A$1:$J$44,(IF($B76=2015,4,IF($B76=2016,5,IF($B76=2017,6,IF($B76=2018,7,IF($B76=2019,8,IF($B76=2020,9,0))))))),FALSE)</f>
        <v>0.37073007054215767</v>
      </c>
      <c r="G76" s="546">
        <f>VLOOKUP($A76,EFNOXS!$A$1:$J$44,(IF($B76=2015,4,IF($B76=2016,5,IF($B76=2017,6,IF($B76=2018,7,IF($B76=2019,8,IF($B76=2020,9,0))))))),FALSE)</f>
        <v>0.94368289767104196</v>
      </c>
      <c r="H76" s="546">
        <f>VLOOKUP($A76,EFSOXS!$A$1:$J$44,(IF($B76=2015,4,IF($B76=2016,5,IF($B76=2017,6,IF($B76=2018,7,IF($B76=2019,8,IF($B76=2020,9,0))))))),FALSE)</f>
        <v>1.8739213528134147E-3</v>
      </c>
      <c r="I76" s="546">
        <f>VLOOKUP($A76,EFPMS!$A$1:$J$44,(IF($B76=2015,4,IF($B76=2016,5,IF($B76=2017,6,IF($B76=2018,7,IF($B76=2019,8,IF($B76=2020,9,0))))))),FALSE)</f>
        <v>3.1241039634901123E-2</v>
      </c>
      <c r="J76" s="536">
        <f t="shared" si="32"/>
        <v>2.7804525275062001E-2</v>
      </c>
      <c r="K76" s="549">
        <f>VLOOKUP($A76,EFCO2S!$A$1:$J$44,(IF($B76=2015,4,IF($B76=2016,5,IF($B76=2017,6,IF($B76=2018,7,IF($B76=2019,8,IF($B76=2020,9,0))))))),FALSE)</f>
        <v>166.54539483446186</v>
      </c>
      <c r="L76" s="546">
        <f>VLOOKUP($A76,EFCH4S!$A$1:$J$44,(IF($B76=2015,4,IF($B76=2016,5,IF($B76=2017,6,IF($B76=2018,7,IF($B76=2019,8,IF($B76=2020,9,0))))))),FALSE)</f>
        <v>1.1292325418869483E-2</v>
      </c>
      <c r="M76" s="540">
        <f t="shared" si="33"/>
        <v>8.9649875278748986E-2</v>
      </c>
      <c r="N76" s="135">
        <v>1</v>
      </c>
      <c r="O76" s="109">
        <v>3</v>
      </c>
      <c r="P76" s="109">
        <v>36</v>
      </c>
      <c r="Q76" s="39">
        <f t="shared" si="34"/>
        <v>0.35976381241888894</v>
      </c>
      <c r="R76" s="29">
        <f t="shared" si="34"/>
        <v>1.112190211626473</v>
      </c>
      <c r="S76" s="29">
        <f t="shared" si="34"/>
        <v>2.831048693013126</v>
      </c>
      <c r="T76" s="29">
        <f t="shared" si="34"/>
        <v>5.6217640584402444E-3</v>
      </c>
      <c r="U76" s="29">
        <f t="shared" si="34"/>
        <v>9.3723118904703362E-2</v>
      </c>
      <c r="V76" s="29">
        <f t="shared" si="34"/>
        <v>8.3413575825186007E-2</v>
      </c>
      <c r="W76" s="29">
        <f t="shared" si="34"/>
        <v>499.63618450338561</v>
      </c>
      <c r="X76" s="29">
        <f t="shared" si="34"/>
        <v>3.3876976256608446E-2</v>
      </c>
      <c r="Y76" s="29">
        <f t="shared" si="34"/>
        <v>0.26894962583624693</v>
      </c>
    </row>
    <row r="77" spans="1:25" s="3" customFormat="1" x14ac:dyDescent="0.25">
      <c r="A77" s="27" t="s">
        <v>192</v>
      </c>
      <c r="B77" s="34">
        <v>2015</v>
      </c>
      <c r="C77" s="134">
        <v>45</v>
      </c>
      <c r="D77" s="134">
        <v>0.48</v>
      </c>
      <c r="E77" s="546">
        <f>VLOOKUP($A77,EFROGS!$A$1:$J$44,(IF($B77=2015,4,IF($B77=2016,5,IF($B77=2017,6,IF($B77=2018,7,IF($B77=2019,8,IF($B77=2020,9,0))))))),FALSE)</f>
        <v>7.4731714184131492E-2</v>
      </c>
      <c r="F77" s="546">
        <f>VLOOKUP($A77,EFCOS!$A$1:$J$44,(IF($B77=2015,4,IF($B77=2016,5,IF($B77=2017,6,IF($B77=2018,7,IF($B77=2019,8,IF($B77=2020,9,0))))))),FALSE)</f>
        <v>0.24453724453802805</v>
      </c>
      <c r="G77" s="546">
        <f>VLOOKUP($A77,EFNOXS!$A$1:$J$44,(IF($B77=2015,4,IF($B77=2016,5,IF($B77=2017,6,IF($B77=2018,7,IF($B77=2019,8,IF($B77=2020,9,0))))))),FALSE)</f>
        <v>0.22305455439379515</v>
      </c>
      <c r="H77" s="546">
        <f>VLOOKUP($A77,EFSOXS!$A$1:$J$44,(IF($B77=2015,4,IF($B77=2016,5,IF($B77=2017,6,IF($B77=2018,7,IF($B77=2019,8,IF($B77=2020,9,0))))))),FALSE)</f>
        <v>2.8791180196343529E-4</v>
      </c>
      <c r="I77" s="546">
        <f>VLOOKUP($A77,EFPMS!$A$1:$J$44,(IF($B77=2015,4,IF($B77=2016,5,IF($B77=2017,6,IF($B77=2018,7,IF($B77=2019,8,IF($B77=2020,9,0))))))),FALSE)</f>
        <v>1.8470024929196412E-2</v>
      </c>
      <c r="J77" s="536">
        <f t="shared" si="32"/>
        <v>1.6438322186984808E-2</v>
      </c>
      <c r="K77" s="549">
        <f>VLOOKUP($A77,EFCO2S!$A$1:$J$44,(IF($B77=2015,4,IF($B77=2016,5,IF($B77=2017,6,IF($B77=2018,7,IF($B77=2019,8,IF($B77=2020,9,0))))))),FALSE)</f>
        <v>22.271261510097837</v>
      </c>
      <c r="L77" s="546">
        <f>VLOOKUP($A77,EFCH4S!$A$1:$J$44,(IF($B77=2015,4,IF($B77=2016,5,IF($B77=2017,6,IF($B77=2018,7,IF($B77=2019,8,IF($B77=2020,9,0))))))),FALSE)</f>
        <v>6.7429224274720354E-3</v>
      </c>
      <c r="M77" s="540">
        <f t="shared" si="33"/>
        <v>2.1190182667410538E-2</v>
      </c>
      <c r="N77" s="135">
        <v>1</v>
      </c>
      <c r="O77" s="109">
        <v>8</v>
      </c>
      <c r="P77" s="109">
        <v>1.6</v>
      </c>
      <c r="Q77" s="39">
        <f t="shared" si="34"/>
        <v>0.59785371347305194</v>
      </c>
      <c r="R77" s="29">
        <f t="shared" si="34"/>
        <v>1.9562979563042244</v>
      </c>
      <c r="S77" s="29">
        <f t="shared" si="34"/>
        <v>1.7844364351503612</v>
      </c>
      <c r="T77" s="29">
        <f t="shared" si="34"/>
        <v>2.3032944157074823E-3</v>
      </c>
      <c r="U77" s="29">
        <f t="shared" si="34"/>
        <v>0.1477601994335713</v>
      </c>
      <c r="V77" s="29">
        <f t="shared" si="34"/>
        <v>0.13150657749587846</v>
      </c>
      <c r="W77" s="29">
        <f t="shared" si="34"/>
        <v>178.17009208078269</v>
      </c>
      <c r="X77" s="29">
        <f t="shared" si="34"/>
        <v>5.3943379419776283E-2</v>
      </c>
      <c r="Y77" s="29">
        <f t="shared" si="34"/>
        <v>0.16952146133928431</v>
      </c>
    </row>
    <row r="78" spans="1:25" s="3" customFormat="1" x14ac:dyDescent="0.25">
      <c r="A78" s="27" t="s">
        <v>196</v>
      </c>
      <c r="B78" s="34">
        <v>2015</v>
      </c>
      <c r="C78" s="134">
        <v>250</v>
      </c>
      <c r="D78" s="134">
        <v>0.38</v>
      </c>
      <c r="E78" s="546">
        <f>VLOOKUP($A78,EFROGS!$A$1:$J$44,(IF($B78=2015,4,IF($B78=2016,5,IF($B78=2017,6,IF($B78=2018,7,IF($B78=2019,8,IF($B78=2020,9,0))))))),FALSE)</f>
        <v>0.10659360197116201</v>
      </c>
      <c r="F78" s="546">
        <f>VLOOKUP($A78,EFCOS!$A$1:$J$44,(IF($B78=2015,4,IF($B78=2016,5,IF($B78=2017,6,IF($B78=2018,7,IF($B78=2019,8,IF($B78=2020,9,0))))))),FALSE)</f>
        <v>0.36686319474726009</v>
      </c>
      <c r="G78" s="546">
        <f>VLOOKUP($A78,EFNOXS!$A$1:$J$44,(IF($B78=2015,4,IF($B78=2016,5,IF($B78=2017,6,IF($B78=2018,7,IF($B78=2019,8,IF($B78=2020,9,0))))))),FALSE)</f>
        <v>1.0557516810303123</v>
      </c>
      <c r="H78" s="546">
        <f>VLOOKUP($A78,EFSOXS!$A$1:$J$44,(IF($B78=2015,4,IF($B78=2016,5,IF($B78=2017,6,IF($B78=2018,7,IF($B78=2019,8,IF($B78=2020,9,0))))))),FALSE)</f>
        <v>1.7225234988951081E-3</v>
      </c>
      <c r="I78" s="546">
        <f>VLOOKUP($A78,EFPMS!$A$1:$J$44,(IF($B78=2015,4,IF($B78=2016,5,IF($B78=2017,6,IF($B78=2018,7,IF($B78=2019,8,IF($B78=2020,9,0))))))),FALSE)</f>
        <v>3.5131941225937512E-2</v>
      </c>
      <c r="J78" s="536">
        <f t="shared" si="32"/>
        <v>3.1267427691084385E-2</v>
      </c>
      <c r="K78" s="549">
        <f>VLOOKUP($A78,EFCO2S!$A$1:$J$44,(IF($B78=2015,4,IF($B78=2016,5,IF($B78=2017,6,IF($B78=2018,7,IF($B78=2019,8,IF($B78=2020,9,0))))))),FALSE)</f>
        <v>153.0897857268109</v>
      </c>
      <c r="L78" s="546">
        <f>VLOOKUP($A78,EFCH4S!$A$1:$J$44,(IF($B78=2015,4,IF($B78=2016,5,IF($B78=2017,6,IF($B78=2018,7,IF($B78=2019,8,IF($B78=2020,9,0))))))),FALSE)</f>
        <v>9.9847277011502044E-3</v>
      </c>
      <c r="M78" s="540">
        <f t="shared" si="33"/>
        <v>0.10029640969787966</v>
      </c>
      <c r="N78" s="135">
        <v>1</v>
      </c>
      <c r="O78" s="109">
        <v>8</v>
      </c>
      <c r="P78" s="109">
        <v>8</v>
      </c>
      <c r="Q78" s="39">
        <f t="shared" si="34"/>
        <v>0.85274881576929606</v>
      </c>
      <c r="R78" s="29">
        <f t="shared" si="34"/>
        <v>2.9349055579780807</v>
      </c>
      <c r="S78" s="29">
        <f t="shared" si="34"/>
        <v>8.446013448242498</v>
      </c>
      <c r="T78" s="29">
        <f t="shared" si="34"/>
        <v>1.3780187991160864E-2</v>
      </c>
      <c r="U78" s="29">
        <f t="shared" si="34"/>
        <v>0.28105552980750009</v>
      </c>
      <c r="V78" s="29">
        <f t="shared" si="34"/>
        <v>0.25013942152867508</v>
      </c>
      <c r="W78" s="29">
        <f t="shared" si="34"/>
        <v>1224.7182858144872</v>
      </c>
      <c r="X78" s="29">
        <f t="shared" si="34"/>
        <v>7.9877821609201635E-2</v>
      </c>
      <c r="Y78" s="29">
        <f t="shared" si="34"/>
        <v>0.80237127758303728</v>
      </c>
    </row>
    <row r="79" spans="1:25" s="3" customFormat="1" x14ac:dyDescent="0.25">
      <c r="A79" s="27" t="s">
        <v>612</v>
      </c>
      <c r="B79" s="34">
        <v>2015</v>
      </c>
      <c r="C79" s="134">
        <v>8</v>
      </c>
      <c r="D79" s="134">
        <v>1</v>
      </c>
      <c r="E79" s="546">
        <f>VLOOKUP($A79,EFROGS!$A$1:$J$44,(IF($B79=2015,4,IF($B79=2016,5,IF($B79=2017,6,IF($B79=2018,7,IF($B79=2019,8,IF($B79=2020,9,0))))))),FALSE)</f>
        <v>1.1765479299563907E-2</v>
      </c>
      <c r="F79" s="546">
        <f>VLOOKUP($A79,EFCOS!$A$1:$J$44,(IF($B79=2015,4,IF($B79=2016,5,IF($B79=2017,6,IF($B79=2018,7,IF($B79=2019,8,IF($B79=2020,9,0))))))),FALSE)</f>
        <v>5.862897981528551E-2</v>
      </c>
      <c r="G79" s="546">
        <f>VLOOKUP($A79,EFNOXS!$A$1:$J$44,(IF($B79=2015,4,IF($B79=2016,5,IF($B79=2017,6,IF($B79=2018,7,IF($B79=2019,8,IF($B79=2020,9,0))))))),FALSE)</f>
        <v>6.9995902894833636E-2</v>
      </c>
      <c r="H79" s="546">
        <f>VLOOKUP($A79,EFSOXS!$A$1:$J$44,(IF($B79=2015,4,IF($B79=2016,5,IF($B79=2017,6,IF($B79=2018,7,IF($B79=2019,8,IF($B79=2020,9,0))))))),FALSE)</f>
        <v>1.572791439192002E-4</v>
      </c>
      <c r="I79" s="546">
        <f>VLOOKUP($A79,EFPMS!$A$1:$J$44,(IF($B79=2015,4,IF($B79=2016,5,IF($B79=2017,6,IF($B79=2018,7,IF($B79=2019,8,IF($B79=2020,9,0))))))),FALSE)</f>
        <v>2.7335443440029156E-3</v>
      </c>
      <c r="J79" s="536">
        <f t="shared" si="32"/>
        <v>2.432854466162595E-3</v>
      </c>
      <c r="K79" s="549">
        <f>VLOOKUP($A79,EFCO2S!$A$1:$J$44,(IF($B79=2015,4,IF($B79=2016,5,IF($B79=2017,6,IF($B79=2018,7,IF($B79=2019,8,IF($B79=2020,9,0))))))),FALSE)</f>
        <v>10.107340281314988</v>
      </c>
      <c r="L79" s="546">
        <f>VLOOKUP($A79,EFCH4S!$A$1:$J$44,(IF($B79=2015,4,IF($B79=2016,5,IF($B79=2017,6,IF($B79=2018,7,IF($B79=2019,8,IF($B79=2020,9,0))))))),FALSE)</f>
        <v>1.0615801987134306E-3</v>
      </c>
      <c r="M79" s="540">
        <f t="shared" si="33"/>
        <v>6.649610775009196E-3</v>
      </c>
      <c r="N79" s="108">
        <v>1</v>
      </c>
      <c r="O79" s="109">
        <v>2</v>
      </c>
      <c r="P79" s="109">
        <v>2</v>
      </c>
      <c r="Q79" s="39">
        <f t="shared" si="34"/>
        <v>2.3530958599127814E-2</v>
      </c>
      <c r="R79" s="29">
        <f t="shared" si="34"/>
        <v>0.11725795963057102</v>
      </c>
      <c r="S79" s="29">
        <f t="shared" si="34"/>
        <v>0.13999180578966727</v>
      </c>
      <c r="T79" s="29">
        <f t="shared" si="34"/>
        <v>3.1455828783840041E-4</v>
      </c>
      <c r="U79" s="29">
        <f t="shared" si="34"/>
        <v>5.4670886880058313E-3</v>
      </c>
      <c r="V79" s="29">
        <f t="shared" si="34"/>
        <v>4.86570893232519E-3</v>
      </c>
      <c r="W79" s="29">
        <f t="shared" si="34"/>
        <v>20.214680562629976</v>
      </c>
      <c r="X79" s="29">
        <f t="shared" si="34"/>
        <v>2.1231603974268612E-3</v>
      </c>
      <c r="Y79" s="29">
        <f t="shared" si="34"/>
        <v>1.3299221550018392E-2</v>
      </c>
    </row>
    <row r="80" spans="1:25" s="3" customFormat="1" x14ac:dyDescent="0.25">
      <c r="A80" s="27" t="s">
        <v>580</v>
      </c>
      <c r="B80" s="34">
        <v>2015</v>
      </c>
      <c r="C80" s="134">
        <v>88</v>
      </c>
      <c r="D80" s="134">
        <v>0.68</v>
      </c>
      <c r="E80" s="546">
        <f>VLOOKUP($A80,EFROGS!$A$1:$J$44,(IF($B80=2015,4,IF($B80=2016,5,IF($B80=2017,6,IF($B80=2018,7,IF($B80=2019,8,IF($B80=2020,9,0))))))),FALSE)</f>
        <v>8.3557909444994069E-2</v>
      </c>
      <c r="F80" s="546">
        <f>VLOOKUP($A80,EFCOS!$A$1:$J$44,(IF($B80=2015,4,IF($B80=2016,5,IF($B80=2017,6,IF($B80=2018,7,IF($B80=2019,8,IF($B80=2020,9,0))))))),FALSE)</f>
        <v>0.48027506625173494</v>
      </c>
      <c r="G80" s="546">
        <f>VLOOKUP($A80,EFNOXS!$A$1:$J$44,(IF($B80=2015,4,IF($B80=2016,5,IF($B80=2017,6,IF($B80=2018,7,IF($B80=2019,8,IF($B80=2020,9,0))))))),FALSE)</f>
        <v>0.55987249313174137</v>
      </c>
      <c r="H80" s="546">
        <f>VLOOKUP($A80,EFSOXS!$A$1:$J$44,(IF($B80=2015,4,IF($B80=2016,5,IF($B80=2017,6,IF($B80=2018,7,IF($B80=2019,8,IF($B80=2020,9,0))))))),FALSE)</f>
        <v>8.8025899780622727E-4</v>
      </c>
      <c r="I80" s="546">
        <f>VLOOKUP($A80,EFPMS!$A$1:$J$44,(IF($B80=2015,4,IF($B80=2016,5,IF($B80=2017,6,IF($B80=2018,7,IF($B80=2019,8,IF($B80=2020,9,0))))))),FALSE)</f>
        <v>4.4270434389604658E-2</v>
      </c>
      <c r="J80" s="536">
        <f t="shared" si="32"/>
        <v>3.9400686606748149E-2</v>
      </c>
      <c r="K80" s="549">
        <f>VLOOKUP($A80,EFCO2S!$A$1:$J$44,(IF($B80=2015,4,IF($B80=2016,5,IF($B80=2017,6,IF($B80=2018,7,IF($B80=2019,8,IF($B80=2020,9,0))))))),FALSE)</f>
        <v>75.040106767621964</v>
      </c>
      <c r="L80" s="546">
        <f>VLOOKUP($A80,EFCH4S!$A$1:$J$44,(IF($B80=2015,4,IF($B80=2016,5,IF($B80=2017,6,IF($B80=2018,7,IF($B80=2019,8,IF($B80=2020,9,0))))))),FALSE)</f>
        <v>7.9361010948412886E-3</v>
      </c>
      <c r="M80" s="540">
        <f t="shared" si="33"/>
        <v>5.318788684751543E-2</v>
      </c>
      <c r="N80" s="108">
        <v>1</v>
      </c>
      <c r="O80" s="109">
        <v>1</v>
      </c>
      <c r="P80" s="109">
        <v>2</v>
      </c>
      <c r="Q80" s="39">
        <f t="shared" si="34"/>
        <v>8.3557909444994069E-2</v>
      </c>
      <c r="R80" s="29">
        <f t="shared" si="34"/>
        <v>0.48027506625173494</v>
      </c>
      <c r="S80" s="29">
        <f t="shared" si="34"/>
        <v>0.55987249313174137</v>
      </c>
      <c r="T80" s="29">
        <f t="shared" si="34"/>
        <v>8.8025899780622727E-4</v>
      </c>
      <c r="U80" s="29">
        <f t="shared" si="34"/>
        <v>4.4270434389604658E-2</v>
      </c>
      <c r="V80" s="29">
        <f t="shared" si="34"/>
        <v>3.9400686606748149E-2</v>
      </c>
      <c r="W80" s="29">
        <f t="shared" si="34"/>
        <v>75.040106767621964</v>
      </c>
      <c r="X80" s="29">
        <f t="shared" si="34"/>
        <v>7.9361010948412886E-3</v>
      </c>
      <c r="Y80" s="29">
        <f t="shared" si="34"/>
        <v>5.318788684751543E-2</v>
      </c>
    </row>
    <row r="81" spans="1:32" s="3" customFormat="1" x14ac:dyDescent="0.25">
      <c r="A81" s="37" t="s">
        <v>581</v>
      </c>
      <c r="B81" s="34">
        <v>2015</v>
      </c>
      <c r="C81" s="134">
        <v>85</v>
      </c>
      <c r="D81" s="134">
        <v>0.78</v>
      </c>
      <c r="E81" s="546">
        <f>VLOOKUP($A81,EFROGS!$A$1:$J$44,(IF($B81=2015,4,IF($B81=2016,5,IF($B81=2017,6,IF($B81=2018,7,IF($B81=2019,8,IF($B81=2020,9,0))))))),FALSE)</f>
        <v>0.11084933946613457</v>
      </c>
      <c r="F81" s="546">
        <f>VLOOKUP($A81,EFCOS!$A$1:$J$44,(IF($B81=2015,4,IF($B81=2016,5,IF($B81=2017,6,IF($B81=2018,7,IF($B81=2019,8,IF($B81=2020,9,0))))))),FALSE)</f>
        <v>0.53639639888157509</v>
      </c>
      <c r="G81" s="546">
        <f>VLOOKUP($A81,EFNOXS!$A$1:$J$44,(IF($B81=2015,4,IF($B81=2016,5,IF($B81=2017,6,IF($B81=2018,7,IF($B81=2019,8,IF($B81=2020,9,0))))))),FALSE)</f>
        <v>0.70051551631054132</v>
      </c>
      <c r="H81" s="546">
        <f>VLOOKUP($A81,EFSOXS!$A$1:$J$44,(IF($B81=2015,4,IF($B81=2016,5,IF($B81=2017,6,IF($B81=2018,7,IF($B81=2019,8,IF($B81=2020,9,0))))))),FALSE)</f>
        <v>9.7528684475001604E-4</v>
      </c>
      <c r="I81" s="546">
        <f>VLOOKUP($A81,EFPMS!$A$1:$J$44,(IF($B81=2015,4,IF($B81=2016,5,IF($B81=2017,6,IF($B81=2018,7,IF($B81=2019,8,IF($B81=2020,9,0))))))),FALSE)</f>
        <v>5.9776745478460666E-2</v>
      </c>
      <c r="J81" s="536">
        <f t="shared" si="32"/>
        <v>5.3201303475829992E-2</v>
      </c>
      <c r="K81" s="549">
        <f>VLOOKUP($A81,EFCO2S!$A$1:$J$44,(IF($B81=2015,4,IF($B81=2016,5,IF($B81=2017,6,IF($B81=2018,7,IF($B81=2019,8,IF($B81=2020,9,0))))))),FALSE)</f>
        <v>83.141017958227678</v>
      </c>
      <c r="L81" s="546">
        <f>VLOOKUP($A81,EFCH4S!$A$1:$J$44,(IF($B81=2015,4,IF($B81=2016,5,IF($B81=2017,6,IF($B81=2018,7,IF($B81=2019,8,IF($B81=2020,9,0))))))),FALSE)</f>
        <v>1.0528166694101284E-2</v>
      </c>
      <c r="M81" s="540">
        <f t="shared" si="33"/>
        <v>6.6548974049501428E-2</v>
      </c>
      <c r="N81" s="108">
        <v>1</v>
      </c>
      <c r="O81" s="108">
        <v>3</v>
      </c>
      <c r="P81" s="109">
        <v>6</v>
      </c>
      <c r="Q81" s="39">
        <f t="shared" si="34"/>
        <v>0.3325480183984037</v>
      </c>
      <c r="R81" s="29">
        <f t="shared" si="34"/>
        <v>1.6091891966447252</v>
      </c>
      <c r="S81" s="29">
        <f t="shared" si="34"/>
        <v>2.1015465489316241</v>
      </c>
      <c r="T81" s="29">
        <f t="shared" si="34"/>
        <v>2.925860534250048E-3</v>
      </c>
      <c r="U81" s="29">
        <f t="shared" si="34"/>
        <v>0.17933023643538198</v>
      </c>
      <c r="V81" s="29">
        <f t="shared" si="34"/>
        <v>0.15960391042748998</v>
      </c>
      <c r="W81" s="29">
        <f t="shared" si="34"/>
        <v>249.42305387468303</v>
      </c>
      <c r="X81" s="29">
        <f t="shared" si="34"/>
        <v>3.1584500082303853E-2</v>
      </c>
      <c r="Y81" s="29">
        <f t="shared" si="34"/>
        <v>0.19964692214850427</v>
      </c>
    </row>
    <row r="82" spans="1:32" s="3" customFormat="1" x14ac:dyDescent="0.25">
      <c r="A82" s="37" t="s">
        <v>582</v>
      </c>
      <c r="B82" s="34">
        <v>2015</v>
      </c>
      <c r="C82" s="134">
        <v>82</v>
      </c>
      <c r="D82" s="134">
        <v>0.36</v>
      </c>
      <c r="E82" s="546">
        <f>VLOOKUP($A82,EFROGS!$A$1:$J$44,(IF($B82=2015,4,IF($B82=2016,5,IF($B82=2017,6,IF($B82=2018,7,IF($B82=2019,8,IF($B82=2020,9,0))))))),FALSE)</f>
        <v>9.2034784780492415E-2</v>
      </c>
      <c r="F82" s="546">
        <f>VLOOKUP($A82,EFCOS!$A$1:$J$44,(IF($B82=2015,4,IF($B82=2016,5,IF($B82=2017,6,IF($B82=2018,7,IF($B82=2019,8,IF($B82=2020,9,0))))))),FALSE)</f>
        <v>0.36967137363888714</v>
      </c>
      <c r="G82" s="546">
        <f>VLOOKUP($A82,EFNOXS!$A$1:$J$44,(IF($B82=2015,4,IF($B82=2016,5,IF($B82=2017,6,IF($B82=2018,7,IF($B82=2019,8,IF($B82=2020,9,0))))))),FALSE)</f>
        <v>0.55803466065292617</v>
      </c>
      <c r="H82" s="546">
        <f>VLOOKUP($A82,EFSOXS!$A$1:$J$44,(IF($B82=2015,4,IF($B82=2016,5,IF($B82=2017,6,IF($B82=2018,7,IF($B82=2019,8,IF($B82=2020,9,0))))))),FALSE)</f>
        <v>6.3930572383665419E-4</v>
      </c>
      <c r="I82" s="546">
        <f>VLOOKUP($A82,EFPMS!$A$1:$J$44,(IF($B82=2015,4,IF($B82=2016,5,IF($B82=2017,6,IF($B82=2018,7,IF($B82=2019,8,IF($B82=2020,9,0))))))),FALSE)</f>
        <v>4.7747622432400182E-2</v>
      </c>
      <c r="J82" s="536">
        <f t="shared" si="32"/>
        <v>4.249538396483616E-2</v>
      </c>
      <c r="K82" s="549">
        <f>VLOOKUP($A82,EFCO2S!$A$1:$J$44,(IF($B82=2015,4,IF($B82=2016,5,IF($B82=2017,6,IF($B82=2018,7,IF($B82=2019,8,IF($B82=2020,9,0))))))),FALSE)</f>
        <v>54.49938047051117</v>
      </c>
      <c r="L82" s="546">
        <f>VLOOKUP($A82,EFCH4S!$A$1:$J$44,(IF($B82=2015,4,IF($B82=2016,5,IF($B82=2017,6,IF($B82=2018,7,IF($B82=2019,8,IF($B82=2020,9,0))))))),FALSE)</f>
        <v>8.7412099797587687E-3</v>
      </c>
      <c r="M82" s="540">
        <f t="shared" si="33"/>
        <v>5.3013292762027986E-2</v>
      </c>
      <c r="N82" s="108">
        <v>1</v>
      </c>
      <c r="O82" s="108">
        <v>2</v>
      </c>
      <c r="P82" s="109">
        <v>4</v>
      </c>
      <c r="Q82" s="39">
        <f t="shared" si="34"/>
        <v>0.18406956956098483</v>
      </c>
      <c r="R82" s="29">
        <f t="shared" si="34"/>
        <v>0.73934274727777427</v>
      </c>
      <c r="S82" s="29">
        <f t="shared" si="34"/>
        <v>1.1160693213058523</v>
      </c>
      <c r="T82" s="29">
        <f t="shared" si="34"/>
        <v>1.2786114476733084E-3</v>
      </c>
      <c r="U82" s="29">
        <f t="shared" si="34"/>
        <v>9.5495244864800363E-2</v>
      </c>
      <c r="V82" s="29">
        <f t="shared" si="34"/>
        <v>8.499076792967232E-2</v>
      </c>
      <c r="W82" s="29">
        <f t="shared" si="34"/>
        <v>108.99876094102234</v>
      </c>
      <c r="X82" s="29">
        <f t="shared" si="34"/>
        <v>1.7482419959517537E-2</v>
      </c>
      <c r="Y82" s="29">
        <f t="shared" si="34"/>
        <v>0.10602658552405597</v>
      </c>
    </row>
    <row r="83" spans="1:32" s="3" customFormat="1" x14ac:dyDescent="0.25">
      <c r="A83" s="37" t="s">
        <v>583</v>
      </c>
      <c r="B83" s="34">
        <v>2015</v>
      </c>
      <c r="C83" s="134">
        <v>6</v>
      </c>
      <c r="D83" s="134">
        <v>0.82</v>
      </c>
      <c r="E83" s="546">
        <f>VLOOKUP($A83,EFROGS!$A$1:$J$44,(IF($B83=2015,4,IF($B83=2016,5,IF($B83=2017,6,IF($B83=2018,7,IF($B83=2019,8,IF($B83=2020,9,0))))))),FALSE)</f>
        <v>7.1819076358046203E-3</v>
      </c>
      <c r="F83" s="546">
        <f>VLOOKUP($A83,EFCOS!$A$1:$J$44,(IF($B83=2015,4,IF($B83=2016,5,IF($B83=2017,6,IF($B83=2018,7,IF($B83=2019,8,IF($B83=2020,9,0))))))),FALSE)</f>
        <v>3.5788414726185346E-2</v>
      </c>
      <c r="G83" s="546">
        <f>VLOOKUP($A83,EFNOXS!$A$1:$J$44,(IF($B83=2015,4,IF($B83=2016,5,IF($B83=2017,6,IF($B83=2018,7,IF($B83=2019,8,IF($B83=2020,9,0))))))),FALSE)</f>
        <v>4.2727044104310538E-2</v>
      </c>
      <c r="H83" s="546">
        <f>VLOOKUP($A83,EFSOXS!$A$1:$J$44,(IF($B83=2015,4,IF($B83=2016,5,IF($B83=2017,6,IF($B83=2018,7,IF($B83=2019,8,IF($B83=2020,9,0))))))),FALSE)</f>
        <v>9.6006650553722128E-5</v>
      </c>
      <c r="I83" s="546">
        <f>VLOOKUP($A83,EFPMS!$A$1:$J$44,(IF($B83=2015,4,IF($B83=2016,5,IF($B83=2017,6,IF($B83=2018,7,IF($B83=2019,8,IF($B83=2020,9,0))))))),FALSE)</f>
        <v>1.6695764161062747E-3</v>
      </c>
      <c r="J83" s="536">
        <f t="shared" si="32"/>
        <v>1.4859230103345846E-3</v>
      </c>
      <c r="K83" s="549">
        <f>VLOOKUP($A83,EFCO2S!$A$1:$J$44,(IF($B83=2015,4,IF($B83=2016,5,IF($B83=2017,6,IF($B83=2018,7,IF($B83=2019,8,IF($B83=2020,9,0))))))),FALSE)</f>
        <v>6.1697435407429388</v>
      </c>
      <c r="L83" s="546">
        <f>VLOOKUP($A83,EFCH4S!$A$1:$J$44,(IF($B83=2015,4,IF($B83=2016,5,IF($B83=2017,6,IF($B83=2018,7,IF($B83=2019,8,IF($B83=2020,9,0))))))),FALSE)</f>
        <v>6.4801190876982576E-4</v>
      </c>
      <c r="M83" s="540">
        <f t="shared" si="33"/>
        <v>4.0590691899095015E-3</v>
      </c>
      <c r="N83" s="108">
        <v>2</v>
      </c>
      <c r="O83" s="108">
        <v>8</v>
      </c>
      <c r="P83" s="109">
        <v>32</v>
      </c>
      <c r="Q83" s="39">
        <f t="shared" si="34"/>
        <v>0.11491052217287392</v>
      </c>
      <c r="R83" s="29">
        <f t="shared" si="34"/>
        <v>0.57261463561896553</v>
      </c>
      <c r="S83" s="29">
        <f t="shared" si="34"/>
        <v>0.68363270566896861</v>
      </c>
      <c r="T83" s="29">
        <f t="shared" si="34"/>
        <v>1.536106408859554E-3</v>
      </c>
      <c r="U83" s="29">
        <f t="shared" si="34"/>
        <v>2.6713222657700396E-2</v>
      </c>
      <c r="V83" s="29">
        <f t="shared" si="34"/>
        <v>2.3774768165353354E-2</v>
      </c>
      <c r="W83" s="29">
        <f t="shared" si="34"/>
        <v>98.715896651887022</v>
      </c>
      <c r="X83" s="29">
        <f t="shared" si="34"/>
        <v>1.0368190540317212E-2</v>
      </c>
      <c r="Y83" s="29">
        <f t="shared" si="34"/>
        <v>6.4945107038552025E-2</v>
      </c>
    </row>
    <row r="84" spans="1:32" s="3" customFormat="1" x14ac:dyDescent="0.25">
      <c r="A84" s="19" t="s">
        <v>38</v>
      </c>
      <c r="B84" s="34"/>
      <c r="C84" s="134"/>
      <c r="D84" s="134"/>
      <c r="E84" s="26"/>
      <c r="F84" s="26"/>
      <c r="G84" s="26"/>
      <c r="H84" s="26"/>
      <c r="I84" s="26"/>
      <c r="J84" s="27"/>
      <c r="K84" s="28"/>
      <c r="L84" s="26"/>
      <c r="M84" s="38"/>
      <c r="N84" s="135"/>
      <c r="O84" s="135"/>
      <c r="P84" s="136"/>
      <c r="Q84" s="138">
        <f>SUM(Q72:Q83)</f>
        <v>5.6728387706105012</v>
      </c>
      <c r="R84" s="138">
        <f t="shared" ref="R84:Y84" si="35">SUM(R72:R83)</f>
        <v>23.573699108679723</v>
      </c>
      <c r="S84" s="138">
        <f>SUM(S72:S83)</f>
        <v>39.542196114159722</v>
      </c>
      <c r="T84" s="138">
        <f t="shared" si="35"/>
        <v>6.4181621148648393E-2</v>
      </c>
      <c r="U84" s="138">
        <f t="shared" si="35"/>
        <v>2.2037061928160475</v>
      </c>
      <c r="V84" s="138">
        <f t="shared" si="35"/>
        <v>1.961298511606282</v>
      </c>
      <c r="W84" s="138">
        <f t="shared" si="35"/>
        <v>5540.6783183828375</v>
      </c>
      <c r="X84" s="138">
        <f t="shared" si="35"/>
        <v>0.53058574578127771</v>
      </c>
      <c r="Y84" s="138">
        <f t="shared" si="35"/>
        <v>3.7565086308451727</v>
      </c>
    </row>
    <row r="85" spans="1:32" s="3" customFormat="1" x14ac:dyDescent="0.25">
      <c r="A85" s="27"/>
      <c r="B85" s="34"/>
      <c r="C85" s="134"/>
      <c r="D85" s="134"/>
      <c r="E85" s="26"/>
      <c r="F85" s="26"/>
      <c r="G85" s="26"/>
      <c r="H85" s="26"/>
      <c r="I85" s="26"/>
      <c r="J85" s="27"/>
      <c r="K85" s="28"/>
      <c r="L85" s="26"/>
      <c r="M85" s="38"/>
      <c r="N85" s="135"/>
      <c r="O85" s="135"/>
      <c r="P85" s="136"/>
      <c r="Q85" s="39"/>
      <c r="R85" s="29"/>
      <c r="S85" s="29"/>
      <c r="T85" s="29"/>
      <c r="U85" s="29"/>
      <c r="V85" s="29"/>
      <c r="W85" s="29"/>
      <c r="X85" s="29"/>
      <c r="Y85" s="29"/>
    </row>
    <row r="86" spans="1:32" s="3" customFormat="1" x14ac:dyDescent="0.25">
      <c r="A86" s="19" t="s">
        <v>601</v>
      </c>
      <c r="B86" s="34"/>
      <c r="C86" s="134"/>
      <c r="D86" s="134"/>
      <c r="E86" s="26"/>
      <c r="F86" s="26"/>
      <c r="G86" s="26"/>
      <c r="H86" s="26"/>
      <c r="I86" s="26"/>
      <c r="J86" s="27"/>
      <c r="K86" s="28"/>
      <c r="L86" s="26"/>
      <c r="M86" s="38"/>
      <c r="N86" s="135"/>
      <c r="O86" s="135"/>
      <c r="P86" s="136"/>
      <c r="Q86" s="138"/>
      <c r="R86" s="138"/>
      <c r="S86" s="138"/>
      <c r="T86" s="138"/>
      <c r="U86" s="138"/>
      <c r="V86" s="138"/>
      <c r="W86" s="138"/>
      <c r="X86" s="138"/>
      <c r="Y86" s="138"/>
    </row>
    <row r="87" spans="1:32" s="3" customFormat="1" x14ac:dyDescent="0.25">
      <c r="A87" s="37" t="s">
        <v>162</v>
      </c>
      <c r="B87" s="34">
        <v>2015</v>
      </c>
      <c r="C87" s="134">
        <v>235</v>
      </c>
      <c r="D87" s="134">
        <v>0.38</v>
      </c>
      <c r="E87" s="546">
        <f>VLOOKUP($A87,EFROGS!$A$1:$J$44,(IF($B87=2015,4,IF($B87=2016,5,IF($B87=2017,6,IF($B87=2018,7,IF($B87=2019,8,IF($B87=2020,9,0))))))),FALSE)</f>
        <v>0.12027312265814816</v>
      </c>
      <c r="F87" s="546">
        <f>VLOOKUP($A87,EFCOS!$A$1:$J$44,(IF($B87=2015,4,IF($B87=2016,5,IF($B87=2017,6,IF($B87=2018,7,IF($B87=2019,8,IF($B87=2020,9,0))))))),FALSE)</f>
        <v>0.37726446207654918</v>
      </c>
      <c r="G87" s="546">
        <f>VLOOKUP($A87,EFNOXS!$A$1:$J$44,(IF($B87=2015,4,IF($B87=2016,5,IF($B87=2017,6,IF($B87=2018,7,IF($B87=2019,8,IF($B87=2020,9,0))))))),FALSE)</f>
        <v>0.94745273894088322</v>
      </c>
      <c r="H87" s="546">
        <f>VLOOKUP($A87,EFSOXS!$A$1:$J$44,(IF($B87=2015,4,IF($B87=2016,5,IF($B87=2017,6,IF($B87=2018,7,IF($B87=2019,8,IF($B87=2020,9,0))))))),FALSE)</f>
        <v>1.8739213528134147E-3</v>
      </c>
      <c r="I87" s="546">
        <f>VLOOKUP($A87,EFPMS!$A$1:$J$44,(IF($B87=2015,4,IF($B87=2016,5,IF($B87=2017,6,IF($B87=2018,7,IF($B87=2019,8,IF($B87=2020,9,0))))))),FALSE)</f>
        <v>3.1278738047599536E-2</v>
      </c>
      <c r="J87" s="536">
        <f t="shared" ref="J87:J89" si="36">0.89*I87</f>
        <v>2.7838076862363587E-2</v>
      </c>
      <c r="K87" s="549">
        <f>VLOOKUP($A87,EFCO2S!$A$1:$J$44,(IF($B87=2015,4,IF($B87=2016,5,IF($B87=2017,6,IF($B87=2018,7,IF($B87=2019,8,IF($B87=2020,9,0))))))),FALSE)</f>
        <v>166.54539483446186</v>
      </c>
      <c r="L87" s="546">
        <f>VLOOKUP($A87,EFCH4S!$A$1:$J$44,(IF($B87=2015,4,IF($B87=2016,5,IF($B87=2017,6,IF($B87=2018,7,IF($B87=2019,8,IF($B87=2020,9,0))))))),FALSE)</f>
        <v>1.1292325418869483E-2</v>
      </c>
      <c r="M87" s="540">
        <f t="shared" ref="M87:M89" si="37">0.095*G87</f>
        <v>9.0008010199383912E-2</v>
      </c>
      <c r="N87" s="108">
        <v>1</v>
      </c>
      <c r="O87" s="108">
        <v>3</v>
      </c>
      <c r="P87" s="109">
        <v>36</v>
      </c>
      <c r="Q87" s="39">
        <f t="shared" ref="Q87:Y89" si="38">(E87*$N87*$O87)</f>
        <v>0.36081936797444447</v>
      </c>
      <c r="R87" s="29">
        <f t="shared" si="38"/>
        <v>1.1317933862296474</v>
      </c>
      <c r="S87" s="29">
        <f t="shared" si="38"/>
        <v>2.8423582168226496</v>
      </c>
      <c r="T87" s="29">
        <f t="shared" si="38"/>
        <v>5.6217640584402444E-3</v>
      </c>
      <c r="U87" s="29">
        <f t="shared" si="38"/>
        <v>9.3836214142798607E-2</v>
      </c>
      <c r="V87" s="29">
        <f t="shared" si="38"/>
        <v>8.351423058709076E-2</v>
      </c>
      <c r="W87" s="29">
        <f t="shared" si="38"/>
        <v>499.63618450338561</v>
      </c>
      <c r="X87" s="29">
        <f t="shared" si="38"/>
        <v>3.3876976256608446E-2</v>
      </c>
      <c r="Y87" s="29">
        <f t="shared" si="38"/>
        <v>0.27002403059815172</v>
      </c>
    </row>
    <row r="88" spans="1:32" s="3" customFormat="1" x14ac:dyDescent="0.25">
      <c r="A88" s="27" t="s">
        <v>207</v>
      </c>
      <c r="B88" s="34">
        <v>2015</v>
      </c>
      <c r="C88" s="134">
        <v>300</v>
      </c>
      <c r="D88" s="134">
        <v>0.38</v>
      </c>
      <c r="E88" s="546">
        <f>VLOOKUP($A88,EFROGS!$A$1:$J$44,(IF($B88=2015,4,IF($B88=2016,5,IF($B88=2017,6,IF($B88=2018,7,IF($B88=2019,8,IF($B88=2020,9,0))))))),FALSE)</f>
        <v>0.12634860383051666</v>
      </c>
      <c r="F88" s="546">
        <f>VLOOKUP($A88,EFCOS!$A$1:$J$44,(IF($B88=2015,4,IF($B88=2016,5,IF($B88=2017,6,IF($B88=2018,7,IF($B88=2019,8,IF($B88=2020,9,0))))))),FALSE)</f>
        <v>0.50758739181396961</v>
      </c>
      <c r="G88" s="546">
        <f>VLOOKUP($A88,EFNOXS!$A$1:$J$44,(IF($B88=2015,4,IF($B88=2016,5,IF($B88=2017,6,IF($B88=2018,7,IF($B88=2019,8,IF($B88=2020,9,0))))))),FALSE)</f>
        <v>1.1481509547445321</v>
      </c>
      <c r="H88" s="546">
        <f>VLOOKUP($A88,EFSOXS!$A$1:$J$44,(IF($B88=2015,4,IF($B88=2016,5,IF($B88=2017,6,IF($B88=2018,7,IF($B88=2019,8,IF($B88=2020,9,0))))))),FALSE)</f>
        <v>2.4954346257058686E-3</v>
      </c>
      <c r="I88" s="546">
        <f>VLOOKUP($A88,EFPMS!$A$1:$J$44,(IF($B88=2015,4,IF($B88=2016,5,IF($B88=2017,6,IF($B88=2018,7,IF($B88=2019,8,IF($B88=2020,9,0))))))),FALSE)</f>
        <v>3.7613858140880155E-2</v>
      </c>
      <c r="J88" s="536">
        <f t="shared" si="36"/>
        <v>3.3476333745383335E-2</v>
      </c>
      <c r="K88" s="549">
        <f>VLOOKUP($A88,EFCO2S!$A$1:$J$44,(IF($B88=2015,4,IF($B88=2016,5,IF($B88=2017,6,IF($B88=2018,7,IF($B88=2019,8,IF($B88=2020,9,0))))))),FALSE)</f>
        <v>254.23854571385056</v>
      </c>
      <c r="L88" s="546">
        <f>VLOOKUP($A88,EFCH4S!$A$1:$J$44,(IF($B88=2015,4,IF($B88=2016,5,IF($B88=2017,6,IF($B88=2018,7,IF($B88=2019,8,IF($B88=2020,9,0))))))),FALSE)</f>
        <v>1.1815564023556229E-2</v>
      </c>
      <c r="M88" s="540">
        <f t="shared" si="37"/>
        <v>0.10907434070073055</v>
      </c>
      <c r="N88" s="135">
        <v>1</v>
      </c>
      <c r="O88" s="135">
        <v>8</v>
      </c>
      <c r="P88" s="109">
        <v>16</v>
      </c>
      <c r="Q88" s="39">
        <f t="shared" si="38"/>
        <v>1.0107888306441333</v>
      </c>
      <c r="R88" s="29">
        <f t="shared" si="38"/>
        <v>4.0606991345117569</v>
      </c>
      <c r="S88" s="29">
        <f t="shared" si="38"/>
        <v>9.1852076379562568</v>
      </c>
      <c r="T88" s="29">
        <f t="shared" si="38"/>
        <v>1.9963477005646948E-2</v>
      </c>
      <c r="U88" s="29">
        <f t="shared" si="38"/>
        <v>0.30091086512704124</v>
      </c>
      <c r="V88" s="29">
        <f t="shared" si="38"/>
        <v>0.26781066996306668</v>
      </c>
      <c r="W88" s="29">
        <f t="shared" si="38"/>
        <v>2033.9083657108044</v>
      </c>
      <c r="X88" s="29">
        <f t="shared" si="38"/>
        <v>9.452451218844983E-2</v>
      </c>
      <c r="Y88" s="29">
        <f t="shared" si="38"/>
        <v>0.87259472560584439</v>
      </c>
    </row>
    <row r="89" spans="1:32" s="3" customFormat="1" x14ac:dyDescent="0.25">
      <c r="A89" s="37" t="s">
        <v>583</v>
      </c>
      <c r="B89" s="34">
        <v>2015</v>
      </c>
      <c r="C89" s="134">
        <v>6</v>
      </c>
      <c r="D89" s="134">
        <v>0.82</v>
      </c>
      <c r="E89" s="546">
        <f>VLOOKUP($A89,EFROGS!$A$1:$J$44,(IF($B89=2015,4,IF($B89=2016,5,IF($B89=2017,6,IF($B89=2018,7,IF($B89=2019,8,IF($B89=2020,9,0))))))),FALSE)</f>
        <v>7.1819076358046203E-3</v>
      </c>
      <c r="F89" s="546">
        <f>VLOOKUP($A89,EFCOS!$A$1:$J$44,(IF($B89=2015,4,IF($B89=2016,5,IF($B89=2017,6,IF($B89=2018,7,IF($B89=2019,8,IF($B89=2020,9,0))))))),FALSE)</f>
        <v>3.5788414726185346E-2</v>
      </c>
      <c r="G89" s="546">
        <f>VLOOKUP($A89,EFNOXS!$A$1:$J$44,(IF($B89=2015,4,IF($B89=2016,5,IF($B89=2017,6,IF($B89=2018,7,IF($B89=2019,8,IF($B89=2020,9,0))))))),FALSE)</f>
        <v>4.2727044104310538E-2</v>
      </c>
      <c r="H89" s="546">
        <f>VLOOKUP($A89,EFSOXS!$A$1:$J$44,(IF($B89=2015,4,IF($B89=2016,5,IF($B89=2017,6,IF($B89=2018,7,IF($B89=2019,8,IF($B89=2020,9,0))))))),FALSE)</f>
        <v>9.6006650553722128E-5</v>
      </c>
      <c r="I89" s="546">
        <f>VLOOKUP($A89,EFPMS!$A$1:$J$44,(IF($B89=2015,4,IF($B89=2016,5,IF($B89=2017,6,IF($B89=2018,7,IF($B89=2019,8,IF($B89=2020,9,0))))))),FALSE)</f>
        <v>1.6695764161062747E-3</v>
      </c>
      <c r="J89" s="536">
        <f t="shared" si="36"/>
        <v>1.4859230103345846E-3</v>
      </c>
      <c r="K89" s="549">
        <f>VLOOKUP($A89,EFCO2S!$A$1:$J$44,(IF($B89=2015,4,IF($B89=2016,5,IF($B89=2017,6,IF($B89=2018,7,IF($B89=2019,8,IF($B89=2020,9,0))))))),FALSE)</f>
        <v>6.1697435407429388</v>
      </c>
      <c r="L89" s="546">
        <f>VLOOKUP($A89,EFCH4S!$A$1:$J$44,(IF($B89=2015,4,IF($B89=2016,5,IF($B89=2017,6,IF($B89=2018,7,IF($B89=2019,8,IF($B89=2020,9,0))))))),FALSE)</f>
        <v>6.4801190876982576E-4</v>
      </c>
      <c r="M89" s="540">
        <f t="shared" si="37"/>
        <v>4.0590691899095015E-3</v>
      </c>
      <c r="N89" s="108">
        <v>1</v>
      </c>
      <c r="O89" s="108">
        <v>8</v>
      </c>
      <c r="P89" s="109">
        <v>16</v>
      </c>
      <c r="Q89" s="39">
        <f t="shared" si="38"/>
        <v>5.7455261086436962E-2</v>
      </c>
      <c r="R89" s="29">
        <f t="shared" si="38"/>
        <v>0.28630731780948276</v>
      </c>
      <c r="S89" s="29">
        <f t="shared" si="38"/>
        <v>0.3418163528344843</v>
      </c>
      <c r="T89" s="29">
        <f t="shared" si="38"/>
        <v>7.6805320442977702E-4</v>
      </c>
      <c r="U89" s="29">
        <f t="shared" si="38"/>
        <v>1.3356611328850198E-2</v>
      </c>
      <c r="V89" s="29">
        <f t="shared" si="38"/>
        <v>1.1887384082676677E-2</v>
      </c>
      <c r="W89" s="29">
        <f t="shared" si="38"/>
        <v>49.357948325943511</v>
      </c>
      <c r="X89" s="29">
        <f t="shared" si="38"/>
        <v>5.1840952701586061E-3</v>
      </c>
      <c r="Y89" s="29">
        <f t="shared" si="38"/>
        <v>3.2472553519276012E-2</v>
      </c>
    </row>
    <row r="90" spans="1:32" s="3" customFormat="1" x14ac:dyDescent="0.25">
      <c r="A90" s="19" t="s">
        <v>38</v>
      </c>
      <c r="B90" s="34"/>
      <c r="C90" s="134"/>
      <c r="D90" s="20"/>
      <c r="E90" s="26"/>
      <c r="F90" s="26"/>
      <c r="G90" s="26"/>
      <c r="H90" s="26"/>
      <c r="I90" s="26"/>
      <c r="J90" s="27"/>
      <c r="K90" s="28"/>
      <c r="L90" s="26"/>
      <c r="M90" s="38"/>
      <c r="N90" s="135"/>
      <c r="O90" s="135"/>
      <c r="P90" s="136"/>
      <c r="Q90" s="138">
        <f t="shared" ref="Q90:Y90" si="39">SUM(Q87:Q89)</f>
        <v>1.4290634597050147</v>
      </c>
      <c r="R90" s="138">
        <f t="shared" si="39"/>
        <v>5.4787998385508869</v>
      </c>
      <c r="S90" s="138">
        <f t="shared" si="39"/>
        <v>12.369382207613391</v>
      </c>
      <c r="T90" s="138">
        <f t="shared" si="39"/>
        <v>2.6353294268516968E-2</v>
      </c>
      <c r="U90" s="138">
        <f t="shared" si="39"/>
        <v>0.40810369059869006</v>
      </c>
      <c r="V90" s="138">
        <f t="shared" si="39"/>
        <v>0.36321228463283411</v>
      </c>
      <c r="W90" s="138">
        <f t="shared" si="39"/>
        <v>2582.9024985401338</v>
      </c>
      <c r="X90" s="138">
        <f t="shared" si="39"/>
        <v>0.13358558371521689</v>
      </c>
      <c r="Y90" s="138">
        <f t="shared" si="39"/>
        <v>1.175091309723272</v>
      </c>
    </row>
    <row r="91" spans="1:32" s="3" customFormat="1" x14ac:dyDescent="0.25">
      <c r="A91" s="27"/>
      <c r="B91" s="34"/>
      <c r="C91" s="134"/>
      <c r="D91" s="20"/>
      <c r="E91" s="26"/>
      <c r="F91" s="26"/>
      <c r="G91" s="26"/>
      <c r="H91" s="26"/>
      <c r="I91" s="26"/>
      <c r="J91" s="27"/>
      <c r="K91" s="28"/>
      <c r="L91" s="26"/>
      <c r="M91" s="38"/>
      <c r="N91" s="135"/>
      <c r="O91" s="135"/>
      <c r="P91" s="136"/>
      <c r="Q91" s="39"/>
      <c r="R91" s="29"/>
      <c r="S91" s="29"/>
      <c r="T91" s="29"/>
      <c r="U91" s="29"/>
      <c r="V91" s="29"/>
      <c r="W91" s="29"/>
      <c r="X91" s="29"/>
      <c r="Y91" s="29"/>
    </row>
    <row r="92" spans="1:32" s="6" customFormat="1" x14ac:dyDescent="0.25">
      <c r="A92" s="187" t="s">
        <v>117</v>
      </c>
      <c r="B92" s="134"/>
      <c r="C92" s="134"/>
      <c r="D92" s="25"/>
      <c r="E92" s="26"/>
      <c r="F92" s="26"/>
      <c r="G92" s="26"/>
      <c r="H92" s="26"/>
      <c r="I92" s="26"/>
      <c r="J92" s="27"/>
      <c r="K92" s="28"/>
      <c r="L92" s="26"/>
      <c r="M92" s="26"/>
      <c r="N92" s="109"/>
      <c r="O92" s="109"/>
      <c r="P92" s="109"/>
      <c r="Q92" s="22">
        <f>Q20+Q26+Q32+Q38+Q48+Q55+Q61+Q69+Q84+Q90</f>
        <v>25.262370112015695</v>
      </c>
      <c r="R92" s="22">
        <f t="shared" ref="R92:Y92" si="40">R20+R26+R32+R38+R48+R55+R61+R69+R84+R90</f>
        <v>99.339807597708386</v>
      </c>
      <c r="S92" s="22">
        <f t="shared" si="40"/>
        <v>194.86489734510337</v>
      </c>
      <c r="T92" s="22">
        <f t="shared" si="40"/>
        <v>0.36990175551512572</v>
      </c>
      <c r="U92" s="22">
        <f t="shared" si="40"/>
        <v>8.3235048636084201</v>
      </c>
      <c r="V92" s="22">
        <f t="shared" si="40"/>
        <v>7.4079193286114933</v>
      </c>
      <c r="W92" s="22">
        <f t="shared" si="40"/>
        <v>34164.047446092205</v>
      </c>
      <c r="X92" s="22">
        <f t="shared" si="40"/>
        <v>2.3642993696994878</v>
      </c>
      <c r="Y92" s="22">
        <f t="shared" si="40"/>
        <v>18.512165247784814</v>
      </c>
      <c r="AF92" s="7"/>
    </row>
    <row r="93" spans="1:32" s="6" customFormat="1" x14ac:dyDescent="0.25">
      <c r="A93" s="562"/>
      <c r="B93" s="1"/>
      <c r="C93" s="573"/>
      <c r="D93" s="1"/>
      <c r="E93" s="623" t="s">
        <v>2</v>
      </c>
      <c r="F93" s="623"/>
      <c r="G93" s="623"/>
      <c r="H93" s="623"/>
      <c r="I93" s="623"/>
      <c r="J93" s="623"/>
      <c r="K93" s="623"/>
      <c r="L93" s="623"/>
      <c r="M93" s="562"/>
      <c r="N93" s="3"/>
      <c r="O93" s="562"/>
      <c r="P93" s="562"/>
      <c r="Q93" s="4"/>
      <c r="R93" s="4"/>
      <c r="S93" s="4"/>
      <c r="T93" s="4"/>
      <c r="U93" s="4"/>
      <c r="V93" s="4"/>
      <c r="W93" s="5"/>
      <c r="X93" s="4"/>
      <c r="Y93" s="4"/>
      <c r="AF93" s="7"/>
    </row>
    <row r="94" spans="1:32" s="6" customFormat="1" ht="39.6" x14ac:dyDescent="0.25">
      <c r="A94" s="12" t="s">
        <v>131</v>
      </c>
      <c r="B94" s="13" t="s">
        <v>3</v>
      </c>
      <c r="C94" s="13" t="s">
        <v>4</v>
      </c>
      <c r="D94" s="1"/>
      <c r="E94" s="18" t="s">
        <v>27</v>
      </c>
      <c r="F94" s="18" t="s">
        <v>28</v>
      </c>
      <c r="G94" s="18" t="s">
        <v>29</v>
      </c>
      <c r="H94" s="18" t="s">
        <v>30</v>
      </c>
      <c r="I94" s="18" t="s">
        <v>31</v>
      </c>
      <c r="J94" s="18" t="s">
        <v>32</v>
      </c>
      <c r="K94" s="17" t="s">
        <v>33</v>
      </c>
      <c r="L94" s="18" t="s">
        <v>34</v>
      </c>
      <c r="M94" s="18" t="s">
        <v>35</v>
      </c>
      <c r="N94" s="3"/>
      <c r="O94" s="562"/>
      <c r="P94" s="562"/>
      <c r="Q94" s="4"/>
      <c r="R94" s="4"/>
      <c r="S94" s="4"/>
      <c r="T94" s="4"/>
      <c r="U94" s="4"/>
      <c r="V94" s="4"/>
      <c r="W94" s="5"/>
      <c r="X94" s="4"/>
      <c r="Y94" s="4"/>
      <c r="AF94" s="7"/>
    </row>
    <row r="95" spans="1:32" s="3" customFormat="1" x14ac:dyDescent="0.25">
      <c r="A95" s="12" t="str">
        <f t="shared" ref="A95:A99" si="41">A7</f>
        <v>Undergrounding 2</v>
      </c>
      <c r="B95" s="36"/>
      <c r="C95" s="13"/>
      <c r="D95" s="1"/>
      <c r="E95" s="30"/>
      <c r="F95" s="30"/>
      <c r="G95" s="30"/>
      <c r="H95" s="30"/>
      <c r="I95" s="30"/>
      <c r="J95" s="30"/>
      <c r="K95" s="30"/>
      <c r="L95" s="30"/>
      <c r="M95" s="30"/>
      <c r="O95" s="562"/>
      <c r="P95" s="562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37" t="str">
        <f t="shared" si="41"/>
        <v>Concrete Saws</v>
      </c>
      <c r="B96" s="36"/>
      <c r="C96" s="13"/>
      <c r="D96" s="1"/>
      <c r="E96" s="30">
        <f t="shared" ref="E96:M107" si="42">(E8*$P8)/2000</f>
        <v>2.6371181576168624E-2</v>
      </c>
      <c r="F96" s="30">
        <f t="shared" si="42"/>
        <v>0.14628616716209933</v>
      </c>
      <c r="G96" s="30">
        <f t="shared" si="42"/>
        <v>0.18630816572478351</v>
      </c>
      <c r="H96" s="30">
        <f t="shared" si="42"/>
        <v>2.6637204029710931E-4</v>
      </c>
      <c r="I96" s="30">
        <f t="shared" si="42"/>
        <v>1.4197558835057581E-2</v>
      </c>
      <c r="J96" s="30">
        <f t="shared" si="42"/>
        <v>1.2635827363201247E-2</v>
      </c>
      <c r="K96" s="30">
        <f t="shared" si="42"/>
        <v>22.707627890497445</v>
      </c>
      <c r="L96" s="30">
        <f t="shared" si="42"/>
        <v>2.46458003546771E-3</v>
      </c>
      <c r="M96" s="30">
        <f t="shared" si="42"/>
        <v>1.7699275743854437E-2</v>
      </c>
      <c r="O96" s="562"/>
      <c r="P96" s="562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37" t="str">
        <f t="shared" si="41"/>
        <v>CAT 416 Rubber Tire Backhoe</v>
      </c>
      <c r="B97" s="36"/>
      <c r="C97" s="13"/>
      <c r="D97" s="1"/>
      <c r="E97" s="30">
        <f t="shared" si="42"/>
        <v>4.8876813430244345E-2</v>
      </c>
      <c r="F97" s="30">
        <f t="shared" si="42"/>
        <v>0.24560902577722915</v>
      </c>
      <c r="G97" s="30">
        <f t="shared" si="42"/>
        <v>0.30925282464438625</v>
      </c>
      <c r="H97" s="30">
        <f t="shared" si="42"/>
        <v>4.2327618553936213E-4</v>
      </c>
      <c r="I97" s="30">
        <f t="shared" si="42"/>
        <v>2.5084251910208567E-2</v>
      </c>
      <c r="J97" s="30">
        <f t="shared" si="42"/>
        <v>2.2324984200085628E-2</v>
      </c>
      <c r="K97" s="30">
        <f t="shared" si="42"/>
        <v>36.083347839116946</v>
      </c>
      <c r="L97" s="30">
        <f t="shared" si="42"/>
        <v>4.6147153637464558E-3</v>
      </c>
      <c r="M97" s="30">
        <f t="shared" si="42"/>
        <v>2.9379018341216697E-2</v>
      </c>
      <c r="O97" s="562"/>
      <c r="P97" s="562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s="3" customFormat="1" x14ac:dyDescent="0.25">
      <c r="A98" s="137" t="str">
        <f t="shared" si="41"/>
        <v>Skid Steer Loaders</v>
      </c>
      <c r="B98" s="36"/>
      <c r="C98" s="13"/>
      <c r="D98" s="1"/>
      <c r="E98" s="30">
        <f t="shared" si="42"/>
        <v>3.620869288734581E-3</v>
      </c>
      <c r="F98" s="30">
        <f t="shared" si="42"/>
        <v>2.0032361678635688E-2</v>
      </c>
      <c r="G98" s="30">
        <f t="shared" si="42"/>
        <v>1.9466366134649787E-2</v>
      </c>
      <c r="H98" s="30">
        <f t="shared" si="42"/>
        <v>3.1571332596065665E-5</v>
      </c>
      <c r="I98" s="30">
        <f t="shared" si="42"/>
        <v>1.0628380070427598E-3</v>
      </c>
      <c r="J98" s="30">
        <f t="shared" si="42"/>
        <v>9.4592582626805628E-4</v>
      </c>
      <c r="K98" s="30">
        <f t="shared" si="42"/>
        <v>2.4421822088872029</v>
      </c>
      <c r="L98" s="30">
        <f t="shared" si="42"/>
        <v>3.267052581046171E-4</v>
      </c>
      <c r="M98" s="30">
        <f t="shared" si="42"/>
        <v>1.8493047827917294E-3</v>
      </c>
      <c r="O98" s="562"/>
      <c r="P98" s="562"/>
      <c r="Q98" s="4"/>
      <c r="R98" s="4"/>
      <c r="S98" s="4"/>
      <c r="T98" s="4"/>
      <c r="U98" s="4"/>
      <c r="V98" s="4"/>
      <c r="W98" s="5"/>
      <c r="X98" s="4"/>
      <c r="Y98" s="4"/>
      <c r="Z98" s="6"/>
      <c r="AA98" s="6"/>
      <c r="AB98" s="6"/>
      <c r="AC98" s="6"/>
      <c r="AD98" s="6"/>
      <c r="AE98" s="6"/>
      <c r="AF98" s="7"/>
    </row>
    <row r="99" spans="1:32" s="3" customFormat="1" x14ac:dyDescent="0.25">
      <c r="A99" s="137" t="str">
        <f t="shared" si="41"/>
        <v>Dump/Haul Truck</v>
      </c>
      <c r="B99" s="36"/>
      <c r="C99" s="13"/>
      <c r="D99" s="1"/>
      <c r="E99" s="30">
        <f t="shared" si="42"/>
        <v>2.1649162078466668E-3</v>
      </c>
      <c r="F99" s="30">
        <f t="shared" si="42"/>
        <v>6.7907603173778851E-3</v>
      </c>
      <c r="G99" s="30">
        <f t="shared" si="42"/>
        <v>1.7054149300935899E-2</v>
      </c>
      <c r="H99" s="30">
        <f t="shared" si="42"/>
        <v>3.3730584350641467E-5</v>
      </c>
      <c r="I99" s="30">
        <f t="shared" si="42"/>
        <v>5.6301728485679155E-4</v>
      </c>
      <c r="J99" s="30">
        <f t="shared" si="42"/>
        <v>5.0108538352254463E-4</v>
      </c>
      <c r="K99" s="30">
        <f t="shared" si="42"/>
        <v>2.9978171070203135</v>
      </c>
      <c r="L99" s="30">
        <f t="shared" si="42"/>
        <v>2.0326185753965072E-4</v>
      </c>
      <c r="M99" s="30">
        <f t="shared" si="42"/>
        <v>1.6201441835889104E-3</v>
      </c>
      <c r="O99" s="562"/>
      <c r="P99" s="562"/>
      <c r="Q99" s="4"/>
      <c r="R99" s="4"/>
      <c r="S99" s="4"/>
      <c r="T99" s="4"/>
      <c r="U99" s="4"/>
      <c r="V99" s="4"/>
      <c r="W99" s="5"/>
      <c r="X99" s="4"/>
      <c r="Y99" s="4"/>
      <c r="Z99" s="6"/>
      <c r="AA99" s="6"/>
      <c r="AB99" s="6"/>
      <c r="AC99" s="6"/>
      <c r="AD99" s="6"/>
      <c r="AE99" s="6"/>
      <c r="AF99" s="7"/>
    </row>
    <row r="100" spans="1:32" s="3" customFormat="1" x14ac:dyDescent="0.25">
      <c r="A100" s="137" t="str">
        <f t="shared" ref="A100:A108" si="43">A12</f>
        <v>Water Truck</v>
      </c>
      <c r="B100" s="36"/>
      <c r="C100" s="13"/>
      <c r="D100" s="1"/>
      <c r="E100" s="30">
        <f t="shared" si="42"/>
        <v>2.1585828745133337E-3</v>
      </c>
      <c r="F100" s="30">
        <f t="shared" si="42"/>
        <v>6.673141269758839E-3</v>
      </c>
      <c r="G100" s="30">
        <f t="shared" si="42"/>
        <v>1.6986292158078755E-2</v>
      </c>
      <c r="H100" s="30">
        <f t="shared" si="42"/>
        <v>3.3730584350641467E-5</v>
      </c>
      <c r="I100" s="30">
        <f t="shared" si="42"/>
        <v>5.6233871342822016E-4</v>
      </c>
      <c r="J100" s="30">
        <f t="shared" si="42"/>
        <v>5.0048145495111605E-4</v>
      </c>
      <c r="K100" s="30">
        <f t="shared" si="42"/>
        <v>2.9978171070203135</v>
      </c>
      <c r="L100" s="30">
        <f t="shared" si="42"/>
        <v>2.0326185753965072E-4</v>
      </c>
      <c r="M100" s="30">
        <f t="shared" si="42"/>
        <v>1.6136977550174818E-3</v>
      </c>
      <c r="O100" s="562"/>
      <c r="P100" s="562"/>
      <c r="Q100" s="4"/>
      <c r="R100" s="4"/>
      <c r="S100" s="4"/>
      <c r="T100" s="4"/>
      <c r="U100" s="4"/>
      <c r="V100" s="4"/>
      <c r="W100" s="5"/>
      <c r="X100" s="4"/>
      <c r="Y100" s="4"/>
      <c r="Z100" s="6"/>
      <c r="AA100" s="6"/>
      <c r="AB100" s="6"/>
      <c r="AC100" s="6"/>
      <c r="AD100" s="6"/>
      <c r="AE100" s="6"/>
      <c r="AF100" s="7"/>
    </row>
    <row r="101" spans="1:32" s="3" customFormat="1" x14ac:dyDescent="0.25">
      <c r="A101" s="137" t="str">
        <f t="shared" si="43"/>
        <v>Air Compressor</v>
      </c>
      <c r="B101" s="36"/>
      <c r="C101" s="13"/>
      <c r="D101" s="1"/>
      <c r="E101" s="30">
        <f t="shared" si="42"/>
        <v>2.8607300189685534E-3</v>
      </c>
      <c r="F101" s="30">
        <f t="shared" si="42"/>
        <v>9.3608857209157136E-3</v>
      </c>
      <c r="G101" s="30">
        <f t="shared" si="42"/>
        <v>8.5385283421944777E-3</v>
      </c>
      <c r="H101" s="30">
        <f t="shared" si="42"/>
        <v>1.1021263779160303E-5</v>
      </c>
      <c r="I101" s="30">
        <f t="shared" si="42"/>
        <v>7.0703255428963873E-4</v>
      </c>
      <c r="J101" s="30">
        <f t="shared" si="42"/>
        <v>6.2925897331777842E-4</v>
      </c>
      <c r="K101" s="30">
        <f t="shared" si="42"/>
        <v>0.85254389060654523</v>
      </c>
      <c r="L101" s="30">
        <f t="shared" si="42"/>
        <v>2.5811907052362954E-4</v>
      </c>
      <c r="M101" s="30">
        <f t="shared" si="42"/>
        <v>8.1116019250847553E-4</v>
      </c>
      <c r="O101" s="562"/>
      <c r="P101" s="562"/>
      <c r="Q101" s="4"/>
      <c r="R101" s="4"/>
      <c r="S101" s="4"/>
      <c r="T101" s="4"/>
      <c r="U101" s="4"/>
      <c r="V101" s="4"/>
      <c r="W101" s="5"/>
      <c r="X101" s="4"/>
      <c r="Y101" s="4"/>
      <c r="Z101" s="6"/>
      <c r="AA101" s="6"/>
      <c r="AB101" s="6"/>
      <c r="AC101" s="6"/>
      <c r="AD101" s="6"/>
      <c r="AE101" s="6"/>
      <c r="AF101" s="7"/>
    </row>
    <row r="102" spans="1:32" s="3" customFormat="1" x14ac:dyDescent="0.25">
      <c r="A102" s="137" t="str">
        <f t="shared" si="43"/>
        <v>Compactor</v>
      </c>
      <c r="B102" s="36"/>
      <c r="C102" s="13"/>
      <c r="D102" s="1"/>
      <c r="E102" s="30">
        <f t="shared" si="42"/>
        <v>2.0402015417280411E-2</v>
      </c>
      <c r="F102" s="30">
        <f t="shared" si="42"/>
        <v>7.0217615474625586E-2</v>
      </c>
      <c r="G102" s="30">
        <f t="shared" si="42"/>
        <v>0.20207087174920177</v>
      </c>
      <c r="H102" s="30">
        <f t="shared" si="42"/>
        <v>3.2969099768852364E-4</v>
      </c>
      <c r="I102" s="30">
        <f t="shared" si="42"/>
        <v>6.7242535506444401E-3</v>
      </c>
      <c r="J102" s="30">
        <f t="shared" si="42"/>
        <v>5.9845856600735511E-3</v>
      </c>
      <c r="K102" s="30">
        <f t="shared" si="42"/>
        <v>29.301384988111607</v>
      </c>
      <c r="L102" s="30">
        <f t="shared" si="42"/>
        <v>1.9110768820001492E-3</v>
      </c>
      <c r="M102" s="30">
        <f t="shared" si="42"/>
        <v>1.9196732816174168E-2</v>
      </c>
      <c r="O102" s="562"/>
      <c r="P102" s="562"/>
      <c r="Q102" s="4"/>
      <c r="R102" s="4"/>
      <c r="S102" s="4"/>
      <c r="T102" s="4"/>
      <c r="U102" s="4"/>
      <c r="V102" s="4"/>
      <c r="W102" s="5"/>
      <c r="X102" s="4"/>
      <c r="Y102" s="4"/>
      <c r="Z102" s="6"/>
      <c r="AA102" s="6"/>
      <c r="AB102" s="6"/>
      <c r="AC102" s="6"/>
      <c r="AD102" s="6"/>
      <c r="AE102" s="6"/>
      <c r="AF102" s="7"/>
    </row>
    <row r="103" spans="1:32" s="3" customFormat="1" x14ac:dyDescent="0.25">
      <c r="A103" s="137" t="str">
        <f t="shared" si="43"/>
        <v>Handheld compactor</v>
      </c>
      <c r="B103" s="36"/>
      <c r="C103" s="13"/>
      <c r="D103" s="1"/>
      <c r="E103" s="30">
        <f t="shared" si="42"/>
        <v>5.6297818448413294E-4</v>
      </c>
      <c r="F103" s="30">
        <f t="shared" si="42"/>
        <v>2.8053966841614119E-3</v>
      </c>
      <c r="G103" s="30">
        <f t="shared" si="42"/>
        <v>3.3493039535177896E-3</v>
      </c>
      <c r="H103" s="30">
        <f t="shared" si="42"/>
        <v>7.5258070365337296E-6</v>
      </c>
      <c r="I103" s="30">
        <f t="shared" si="42"/>
        <v>1.3080009686053951E-4</v>
      </c>
      <c r="J103" s="30">
        <f t="shared" si="42"/>
        <v>1.1641208620588017E-4</v>
      </c>
      <c r="K103" s="30">
        <f t="shared" si="42"/>
        <v>0.48363623246092219</v>
      </c>
      <c r="L103" s="30">
        <f t="shared" si="42"/>
        <v>5.0796612508437659E-5</v>
      </c>
      <c r="M103" s="30">
        <f t="shared" si="42"/>
        <v>3.1818387558419004E-4</v>
      </c>
      <c r="O103" s="562"/>
      <c r="P103" s="562"/>
      <c r="Q103" s="4"/>
      <c r="R103" s="4"/>
      <c r="S103" s="4"/>
      <c r="T103" s="4"/>
      <c r="U103" s="4"/>
      <c r="V103" s="4"/>
      <c r="W103" s="5"/>
      <c r="X103" s="4"/>
      <c r="Y103" s="4"/>
      <c r="Z103" s="6"/>
      <c r="AA103" s="6"/>
      <c r="AB103" s="6"/>
      <c r="AC103" s="6"/>
      <c r="AD103" s="6"/>
      <c r="AE103" s="6"/>
      <c r="AF103" s="7"/>
    </row>
    <row r="104" spans="1:32" s="3" customFormat="1" x14ac:dyDescent="0.25">
      <c r="A104" s="137" t="str">
        <f t="shared" si="43"/>
        <v>Sprayer</v>
      </c>
      <c r="B104" s="36"/>
      <c r="C104" s="13"/>
      <c r="D104" s="1"/>
      <c r="E104" s="30">
        <f t="shared" si="42"/>
        <v>3.9982459669429668E-3</v>
      </c>
      <c r="F104" s="30">
        <f t="shared" si="42"/>
        <v>2.2981161920145519E-2</v>
      </c>
      <c r="G104" s="30">
        <f t="shared" si="42"/>
        <v>2.6789898796353826E-2</v>
      </c>
      <c r="H104" s="30">
        <f t="shared" si="42"/>
        <v>4.2120393045027972E-5</v>
      </c>
      <c r="I104" s="30">
        <f t="shared" si="42"/>
        <v>2.1183402855425829E-3</v>
      </c>
      <c r="J104" s="30">
        <f t="shared" si="42"/>
        <v>1.885322854132899E-3</v>
      </c>
      <c r="K104" s="30">
        <f t="shared" si="42"/>
        <v>3.5906691088307112</v>
      </c>
      <c r="L104" s="30">
        <f t="shared" si="42"/>
        <v>3.7974243738815567E-4</v>
      </c>
      <c r="M104" s="30">
        <f t="shared" si="42"/>
        <v>2.5450403856536134E-3</v>
      </c>
      <c r="O104" s="562"/>
      <c r="P104" s="562"/>
      <c r="Q104" s="4"/>
      <c r="R104" s="4"/>
      <c r="S104" s="4"/>
      <c r="T104" s="4"/>
      <c r="U104" s="4"/>
      <c r="V104" s="4"/>
      <c r="W104" s="5"/>
      <c r="X104" s="4"/>
      <c r="Y104" s="4"/>
      <c r="Z104" s="6"/>
      <c r="AA104" s="6"/>
      <c r="AB104" s="6"/>
      <c r="AC104" s="6"/>
      <c r="AD104" s="6"/>
      <c r="AE104" s="6"/>
      <c r="AF104" s="7"/>
    </row>
    <row r="105" spans="1:32" s="3" customFormat="1" x14ac:dyDescent="0.25">
      <c r="A105" s="137" t="str">
        <f t="shared" si="43"/>
        <v>Grinder</v>
      </c>
      <c r="B105" s="36"/>
      <c r="C105" s="13"/>
      <c r="D105" s="1"/>
      <c r="E105" s="30">
        <f t="shared" si="42"/>
        <v>1.5912422680363619E-2</v>
      </c>
      <c r="F105" s="30">
        <f t="shared" si="42"/>
        <v>7.6999703059450114E-2</v>
      </c>
      <c r="G105" s="30">
        <f t="shared" si="42"/>
        <v>0.10055900236637821</v>
      </c>
      <c r="H105" s="30">
        <f t="shared" si="42"/>
        <v>1.4000242656386479E-4</v>
      </c>
      <c r="I105" s="30">
        <f t="shared" si="42"/>
        <v>8.5809518134330309E-3</v>
      </c>
      <c r="J105" s="30">
        <f t="shared" si="42"/>
        <v>7.6370471139553964E-3</v>
      </c>
      <c r="K105" s="30">
        <f t="shared" si="42"/>
        <v>11.934893127903583</v>
      </c>
      <c r="L105" s="30">
        <f t="shared" si="42"/>
        <v>1.5113183289382395E-3</v>
      </c>
      <c r="M105" s="30">
        <f t="shared" si="42"/>
        <v>9.5531052248059301E-3</v>
      </c>
      <c r="O105" s="562"/>
      <c r="P105" s="562"/>
      <c r="Q105" s="4"/>
      <c r="R105" s="4"/>
      <c r="S105" s="4"/>
      <c r="T105" s="4"/>
      <c r="U105" s="4"/>
      <c r="V105" s="4"/>
      <c r="W105" s="5"/>
      <c r="X105" s="4"/>
      <c r="Y105" s="4"/>
      <c r="Z105" s="6"/>
      <c r="AA105" s="6"/>
      <c r="AB105" s="6"/>
      <c r="AC105" s="6"/>
      <c r="AD105" s="6"/>
      <c r="AE105" s="6"/>
      <c r="AF105" s="7"/>
    </row>
    <row r="106" spans="1:32" s="3" customFormat="1" x14ac:dyDescent="0.25">
      <c r="A106" s="137" t="str">
        <f t="shared" si="43"/>
        <v>Spreader</v>
      </c>
      <c r="B106" s="36"/>
      <c r="C106" s="13"/>
      <c r="D106" s="1"/>
      <c r="E106" s="30">
        <f t="shared" si="42"/>
        <v>8.8077289034931248E-3</v>
      </c>
      <c r="F106" s="30">
        <f t="shared" si="42"/>
        <v>3.5377550457241495E-2</v>
      </c>
      <c r="G106" s="30">
        <f t="shared" si="42"/>
        <v>5.3403917024485041E-2</v>
      </c>
      <c r="H106" s="30">
        <f t="shared" si="42"/>
        <v>6.1181557771167804E-5</v>
      </c>
      <c r="I106" s="30">
        <f t="shared" si="42"/>
        <v>4.5694474667806982E-3</v>
      </c>
      <c r="J106" s="30">
        <f t="shared" si="42"/>
        <v>4.0668082454348208E-3</v>
      </c>
      <c r="K106" s="30">
        <f t="shared" si="42"/>
        <v>5.2155907110279198</v>
      </c>
      <c r="L106" s="30">
        <f t="shared" si="42"/>
        <v>8.3653379506291414E-4</v>
      </c>
      <c r="M106" s="30">
        <f t="shared" si="42"/>
        <v>5.073372117326079E-3</v>
      </c>
      <c r="O106" s="562"/>
      <c r="P106" s="562"/>
      <c r="Q106" s="4"/>
      <c r="R106" s="4"/>
      <c r="S106" s="4"/>
      <c r="T106" s="4"/>
      <c r="U106" s="4"/>
      <c r="V106" s="4"/>
      <c r="W106" s="5"/>
      <c r="X106" s="4"/>
      <c r="Y106" s="4"/>
      <c r="Z106" s="6"/>
      <c r="AA106" s="6"/>
      <c r="AB106" s="6"/>
      <c r="AC106" s="6"/>
      <c r="AD106" s="6"/>
      <c r="AE106" s="6"/>
      <c r="AF106" s="7"/>
    </row>
    <row r="107" spans="1:32" s="3" customFormat="1" x14ac:dyDescent="0.25">
      <c r="A107" s="137" t="str">
        <f t="shared" si="43"/>
        <v>Signal Board</v>
      </c>
      <c r="B107" s="36"/>
      <c r="C107" s="13"/>
      <c r="D107" s="1"/>
      <c r="E107" s="30">
        <f t="shared" si="42"/>
        <v>5.4984684859720172E-3</v>
      </c>
      <c r="F107" s="30">
        <f t="shared" si="42"/>
        <v>2.7399610314367499E-2</v>
      </c>
      <c r="G107" s="30">
        <f t="shared" si="42"/>
        <v>3.2711824966260149E-2</v>
      </c>
      <c r="H107" s="30">
        <f t="shared" si="42"/>
        <v>7.3502691663929651E-5</v>
      </c>
      <c r="I107" s="30">
        <f t="shared" si="42"/>
        <v>1.278227704170964E-3</v>
      </c>
      <c r="J107" s="30">
        <f t="shared" si="42"/>
        <v>1.1376226567121582E-3</v>
      </c>
      <c r="K107" s="30">
        <f t="shared" si="42"/>
        <v>4.7235556547927944</v>
      </c>
      <c r="L107" s="30">
        <f t="shared" si="42"/>
        <v>4.9611791735417864E-4</v>
      </c>
      <c r="M107" s="30">
        <f t="shared" si="42"/>
        <v>3.1076233717947143E-3</v>
      </c>
      <c r="O107" s="562"/>
      <c r="P107" s="562"/>
      <c r="Q107" s="4"/>
      <c r="R107" s="4"/>
      <c r="S107" s="4"/>
      <c r="T107" s="4"/>
      <c r="U107" s="4"/>
      <c r="V107" s="4"/>
      <c r="W107" s="5"/>
      <c r="X107" s="4"/>
      <c r="Y107" s="4"/>
      <c r="Z107" s="6"/>
      <c r="AA107" s="6"/>
      <c r="AB107" s="6"/>
      <c r="AC107" s="6"/>
      <c r="AD107" s="6"/>
      <c r="AE107" s="6"/>
      <c r="AF107" s="7"/>
    </row>
    <row r="108" spans="1:32" s="3" customFormat="1" x14ac:dyDescent="0.25">
      <c r="A108" s="12" t="str">
        <f t="shared" si="43"/>
        <v>Subtotal</v>
      </c>
      <c r="B108" s="36"/>
      <c r="C108" s="13"/>
      <c r="D108" s="1"/>
      <c r="E108" s="24">
        <f>SUM(E96:E107)</f>
        <v>0.14123495303501238</v>
      </c>
      <c r="F108" s="24">
        <f t="shared" ref="F108:M108" si="44">SUM(F96:F107)</f>
        <v>0.67053337983600836</v>
      </c>
      <c r="G108" s="24">
        <f t="shared" si="44"/>
        <v>0.97649114516122537</v>
      </c>
      <c r="H108" s="24">
        <f t="shared" si="44"/>
        <v>1.4537258646820281E-3</v>
      </c>
      <c r="I108" s="24">
        <f t="shared" si="44"/>
        <v>6.5579058222315814E-2</v>
      </c>
      <c r="J108" s="24">
        <f t="shared" si="44"/>
        <v>5.8365361817861075E-2</v>
      </c>
      <c r="K108" s="24">
        <f t="shared" si="44"/>
        <v>123.33106586627628</v>
      </c>
      <c r="L108" s="24">
        <f t="shared" si="44"/>
        <v>1.3256229416173788E-2</v>
      </c>
      <c r="M108" s="24">
        <f t="shared" si="44"/>
        <v>9.2766658790316425E-2</v>
      </c>
      <c r="O108" s="562"/>
      <c r="P108" s="562"/>
      <c r="Q108" s="4"/>
      <c r="R108" s="4"/>
      <c r="S108" s="4"/>
      <c r="T108" s="4"/>
      <c r="U108" s="4"/>
      <c r="V108" s="4"/>
      <c r="W108" s="5"/>
      <c r="X108" s="4"/>
      <c r="Y108" s="4"/>
      <c r="Z108" s="6"/>
      <c r="AA108" s="6"/>
      <c r="AB108" s="6"/>
      <c r="AC108" s="6"/>
      <c r="AD108" s="6"/>
      <c r="AE108" s="6"/>
      <c r="AF108" s="7"/>
    </row>
    <row r="109" spans="1:32" s="3" customFormat="1" x14ac:dyDescent="0.25">
      <c r="A109" s="137"/>
      <c r="B109" s="36"/>
      <c r="C109" s="13"/>
      <c r="D109" s="1"/>
      <c r="E109" s="30"/>
      <c r="F109" s="30"/>
      <c r="G109" s="30"/>
      <c r="H109" s="30"/>
      <c r="I109" s="30"/>
      <c r="J109" s="30"/>
      <c r="K109" s="30"/>
      <c r="L109" s="30"/>
      <c r="M109" s="30"/>
      <c r="O109" s="562"/>
      <c r="P109" s="562"/>
      <c r="Q109" s="4"/>
      <c r="R109" s="4"/>
      <c r="S109" s="4"/>
      <c r="T109" s="4"/>
      <c r="U109" s="4"/>
      <c r="V109" s="4"/>
      <c r="W109" s="5"/>
      <c r="X109" s="4"/>
      <c r="Y109" s="4"/>
      <c r="Z109" s="6"/>
      <c r="AA109" s="6"/>
      <c r="AB109" s="6"/>
      <c r="AC109" s="6"/>
      <c r="AD109" s="6"/>
      <c r="AE109" s="6"/>
      <c r="AF109" s="7"/>
    </row>
    <row r="110" spans="1:32" s="3" customFormat="1" x14ac:dyDescent="0.25">
      <c r="A110" s="12" t="str">
        <f>A22</f>
        <v>Conductor Pulling - UG2</v>
      </c>
      <c r="B110" s="36"/>
      <c r="C110" s="13"/>
      <c r="D110" s="1"/>
      <c r="E110" s="30"/>
      <c r="F110" s="30"/>
      <c r="G110" s="30"/>
      <c r="H110" s="30"/>
      <c r="I110" s="30"/>
      <c r="J110" s="30"/>
      <c r="K110" s="30"/>
      <c r="L110" s="30"/>
      <c r="M110" s="30"/>
      <c r="O110" s="562"/>
      <c r="P110" s="562"/>
      <c r="Q110" s="4"/>
      <c r="R110" s="4"/>
      <c r="S110" s="4"/>
      <c r="T110" s="4"/>
      <c r="U110" s="4"/>
      <c r="V110" s="4"/>
      <c r="W110" s="5"/>
      <c r="X110" s="4"/>
      <c r="Y110" s="4"/>
      <c r="Z110" s="6"/>
      <c r="AA110" s="6"/>
      <c r="AB110" s="6"/>
      <c r="AC110" s="6"/>
      <c r="AD110" s="6"/>
      <c r="AE110" s="6"/>
      <c r="AF110" s="7"/>
    </row>
    <row r="111" spans="1:32" s="3" customFormat="1" x14ac:dyDescent="0.25">
      <c r="A111" s="137" t="str">
        <f>A23</f>
        <v>Boom Truck</v>
      </c>
      <c r="B111" s="36"/>
      <c r="C111" s="13"/>
      <c r="D111" s="1"/>
      <c r="E111" s="30">
        <f t="shared" ref="E111:M113" si="45">(E23*$P23)/2000</f>
        <v>2.1649162078466668E-3</v>
      </c>
      <c r="F111" s="30">
        <f t="shared" si="45"/>
        <v>6.7907603173778851E-3</v>
      </c>
      <c r="G111" s="30">
        <f t="shared" si="45"/>
        <v>1.7054149300935899E-2</v>
      </c>
      <c r="H111" s="30">
        <f t="shared" si="45"/>
        <v>3.3730584350641467E-5</v>
      </c>
      <c r="I111" s="30">
        <f t="shared" si="45"/>
        <v>5.6301728485679155E-4</v>
      </c>
      <c r="J111" s="30">
        <f t="shared" si="45"/>
        <v>5.0108538352254463E-4</v>
      </c>
      <c r="K111" s="30">
        <f t="shared" si="45"/>
        <v>2.9978171070203135</v>
      </c>
      <c r="L111" s="30">
        <f t="shared" si="45"/>
        <v>2.0326185753965072E-4</v>
      </c>
      <c r="M111" s="30">
        <f t="shared" si="45"/>
        <v>1.6201441835889104E-3</v>
      </c>
      <c r="O111" s="562"/>
      <c r="P111" s="562"/>
      <c r="Q111" s="4"/>
      <c r="R111" s="4"/>
      <c r="S111" s="4"/>
      <c r="T111" s="4"/>
      <c r="U111" s="4"/>
      <c r="V111" s="4"/>
      <c r="W111" s="5"/>
      <c r="X111" s="4"/>
      <c r="Y111" s="4"/>
      <c r="Z111" s="6"/>
      <c r="AA111" s="6"/>
      <c r="AB111" s="6"/>
      <c r="AC111" s="6"/>
      <c r="AD111" s="6"/>
      <c r="AE111" s="6"/>
      <c r="AF111" s="7"/>
    </row>
    <row r="112" spans="1:32" s="3" customFormat="1" x14ac:dyDescent="0.25">
      <c r="A112" s="137" t="str">
        <f>A24</f>
        <v>Reel Trailer</v>
      </c>
      <c r="B112" s="36"/>
      <c r="C112" s="13"/>
      <c r="D112" s="1"/>
      <c r="E112" s="30">
        <f t="shared" si="45"/>
        <v>4.0431553225765329E-3</v>
      </c>
      <c r="F112" s="30">
        <f t="shared" si="45"/>
        <v>1.6242796538047027E-2</v>
      </c>
      <c r="G112" s="30">
        <f t="shared" si="45"/>
        <v>3.6740830551825025E-2</v>
      </c>
      <c r="H112" s="30">
        <f t="shared" si="45"/>
        <v>7.9853908022587794E-5</v>
      </c>
      <c r="I112" s="30">
        <f t="shared" si="45"/>
        <v>1.2036434605081649E-3</v>
      </c>
      <c r="J112" s="30">
        <f t="shared" si="45"/>
        <v>1.0712426798522667E-3</v>
      </c>
      <c r="K112" s="30">
        <f t="shared" si="45"/>
        <v>8.1356334628432183</v>
      </c>
      <c r="L112" s="30">
        <f t="shared" si="45"/>
        <v>3.7809804875379933E-4</v>
      </c>
      <c r="M112" s="30">
        <f t="shared" si="45"/>
        <v>3.4903789024233775E-3</v>
      </c>
      <c r="O112" s="562"/>
      <c r="P112" s="562"/>
      <c r="Q112" s="4"/>
      <c r="R112" s="4"/>
      <c r="S112" s="4"/>
      <c r="T112" s="4"/>
      <c r="U112" s="4"/>
      <c r="V112" s="4"/>
      <c r="W112" s="5"/>
      <c r="X112" s="4"/>
      <c r="Y112" s="4"/>
      <c r="Z112" s="6"/>
      <c r="AA112" s="6"/>
      <c r="AB112" s="6"/>
      <c r="AC112" s="6"/>
      <c r="AD112" s="6"/>
      <c r="AE112" s="6"/>
      <c r="AF112" s="7"/>
    </row>
    <row r="113" spans="1:32" s="3" customFormat="1" x14ac:dyDescent="0.25">
      <c r="A113" s="137" t="str">
        <f>A25</f>
        <v>Signal Board</v>
      </c>
      <c r="B113" s="36"/>
      <c r="C113" s="13"/>
      <c r="D113" s="1"/>
      <c r="E113" s="30">
        <f>(E25*$P25)/2000</f>
        <v>2.2982104434574784E-4</v>
      </c>
      <c r="F113" s="30">
        <f t="shared" si="45"/>
        <v>1.145229271237931E-3</v>
      </c>
      <c r="G113" s="30">
        <f t="shared" si="45"/>
        <v>1.3672654113379371E-3</v>
      </c>
      <c r="H113" s="30">
        <f t="shared" si="45"/>
        <v>3.0722128177191079E-6</v>
      </c>
      <c r="I113" s="30">
        <f t="shared" si="45"/>
        <v>5.3426445315400792E-5</v>
      </c>
      <c r="J113" s="30">
        <f t="shared" si="45"/>
        <v>4.7549536330706709E-5</v>
      </c>
      <c r="K113" s="30">
        <f t="shared" si="45"/>
        <v>0.19743179330377406</v>
      </c>
      <c r="L113" s="30">
        <f t="shared" si="45"/>
        <v>2.0736381080634424E-5</v>
      </c>
      <c r="M113" s="30">
        <f t="shared" si="45"/>
        <v>1.2989021407710404E-4</v>
      </c>
      <c r="O113" s="562"/>
      <c r="P113" s="562"/>
      <c r="Q113" s="4"/>
      <c r="R113" s="4"/>
      <c r="S113" s="4"/>
      <c r="T113" s="4"/>
      <c r="U113" s="4"/>
      <c r="V113" s="4"/>
      <c r="W113" s="5"/>
      <c r="X113" s="4"/>
      <c r="Y113" s="4"/>
      <c r="Z113" s="6"/>
      <c r="AA113" s="6"/>
      <c r="AB113" s="6"/>
      <c r="AC113" s="6"/>
      <c r="AD113" s="6"/>
      <c r="AE113" s="6"/>
      <c r="AF113" s="7"/>
    </row>
    <row r="114" spans="1:32" s="3" customFormat="1" x14ac:dyDescent="0.25">
      <c r="A114" s="12" t="str">
        <f t="shared" ref="A114" si="46">A26</f>
        <v>Subtotal</v>
      </c>
      <c r="B114" s="36"/>
      <c r="C114" s="13"/>
      <c r="D114" s="1"/>
      <c r="E114" s="24">
        <f t="shared" ref="E114:M114" si="47">SUM(E111:E113)</f>
        <v>6.4378925747689466E-3</v>
      </c>
      <c r="F114" s="24">
        <f t="shared" si="47"/>
        <v>2.4178786126662844E-2</v>
      </c>
      <c r="G114" s="24">
        <f t="shared" si="47"/>
        <v>5.5162245264098859E-2</v>
      </c>
      <c r="H114" s="24">
        <f t="shared" si="47"/>
        <v>1.1665670519094836E-4</v>
      </c>
      <c r="I114" s="24">
        <f t="shared" si="47"/>
        <v>1.8200871906803573E-3</v>
      </c>
      <c r="J114" s="24">
        <f t="shared" si="47"/>
        <v>1.6198775997055181E-3</v>
      </c>
      <c r="K114" s="24">
        <f t="shared" si="47"/>
        <v>11.330882363167307</v>
      </c>
      <c r="L114" s="24">
        <f t="shared" si="47"/>
        <v>6.0209628737408448E-4</v>
      </c>
      <c r="M114" s="24">
        <f t="shared" si="47"/>
        <v>5.2404133000893919E-3</v>
      </c>
      <c r="O114" s="562"/>
      <c r="P114" s="562"/>
      <c r="Q114" s="4"/>
      <c r="R114" s="4"/>
      <c r="S114" s="4"/>
      <c r="T114" s="4"/>
      <c r="U114" s="4"/>
      <c r="V114" s="4"/>
      <c r="W114" s="5"/>
      <c r="X114" s="4"/>
      <c r="Y114" s="4"/>
      <c r="Z114" s="6"/>
      <c r="AA114" s="6"/>
      <c r="AB114" s="6"/>
      <c r="AC114" s="6"/>
      <c r="AD114" s="6"/>
      <c r="AE114" s="6"/>
      <c r="AF114" s="7"/>
    </row>
    <row r="115" spans="1:32" s="3" customFormat="1" x14ac:dyDescent="0.25">
      <c r="A115" s="137"/>
      <c r="B115" s="36"/>
      <c r="C115" s="13"/>
      <c r="D115" s="1"/>
      <c r="E115" s="30"/>
      <c r="F115" s="30"/>
      <c r="G115" s="30"/>
      <c r="H115" s="30"/>
      <c r="I115" s="30"/>
      <c r="J115" s="30"/>
      <c r="K115" s="30"/>
      <c r="L115" s="30"/>
      <c r="M115" s="30"/>
      <c r="O115" s="562"/>
      <c r="P115" s="562"/>
      <c r="Q115" s="4"/>
      <c r="R115" s="4"/>
      <c r="S115" s="4"/>
      <c r="T115" s="4"/>
      <c r="U115" s="4"/>
      <c r="V115" s="4"/>
      <c r="W115" s="5"/>
      <c r="X115" s="4"/>
      <c r="Y115" s="4"/>
      <c r="Z115" s="6"/>
      <c r="AA115" s="6"/>
      <c r="AB115" s="6"/>
      <c r="AC115" s="6"/>
      <c r="AD115" s="6"/>
      <c r="AE115" s="6"/>
      <c r="AF115" s="7"/>
    </row>
    <row r="116" spans="1:32" s="3" customFormat="1" x14ac:dyDescent="0.25">
      <c r="A116" s="12" t="str">
        <f>A28</f>
        <v>Conductor Pulling - Rancho Viejo</v>
      </c>
      <c r="B116" s="36"/>
      <c r="C116" s="13"/>
      <c r="D116" s="1"/>
      <c r="E116" s="30"/>
      <c r="F116" s="30"/>
      <c r="G116" s="30"/>
      <c r="H116" s="30"/>
      <c r="I116" s="30"/>
      <c r="J116" s="30"/>
      <c r="K116" s="30"/>
      <c r="L116" s="30"/>
      <c r="M116" s="30"/>
      <c r="O116" s="562"/>
      <c r="P116" s="562"/>
      <c r="Q116" s="4"/>
      <c r="R116" s="4"/>
      <c r="S116" s="4"/>
      <c r="T116" s="4"/>
      <c r="U116" s="4"/>
      <c r="V116" s="4"/>
      <c r="W116" s="5"/>
      <c r="X116" s="4"/>
      <c r="Y116" s="4"/>
      <c r="Z116" s="6"/>
      <c r="AA116" s="6"/>
      <c r="AB116" s="6"/>
      <c r="AC116" s="6"/>
      <c r="AD116" s="6"/>
      <c r="AE116" s="6"/>
      <c r="AF116" s="7"/>
    </row>
    <row r="117" spans="1:32" s="3" customFormat="1" x14ac:dyDescent="0.25">
      <c r="A117" s="137" t="str">
        <f>A29</f>
        <v>Boom Truck</v>
      </c>
      <c r="B117" s="36"/>
      <c r="C117" s="13"/>
      <c r="D117" s="1"/>
      <c r="E117" s="30">
        <f>(E29*$P29)/2000</f>
        <v>2.1649162078466668E-3</v>
      </c>
      <c r="F117" s="30">
        <f t="shared" ref="F117:M119" si="48">(F29*$P29)/2000</f>
        <v>6.7907603173778851E-3</v>
      </c>
      <c r="G117" s="30">
        <f t="shared" si="48"/>
        <v>1.7054149300935899E-2</v>
      </c>
      <c r="H117" s="30">
        <f t="shared" si="48"/>
        <v>3.3730584350641467E-5</v>
      </c>
      <c r="I117" s="30">
        <f t="shared" si="48"/>
        <v>5.6301728485679155E-4</v>
      </c>
      <c r="J117" s="30">
        <f t="shared" si="48"/>
        <v>5.0108538352254463E-4</v>
      </c>
      <c r="K117" s="30">
        <f t="shared" si="48"/>
        <v>2.9978171070203135</v>
      </c>
      <c r="L117" s="30">
        <f t="shared" si="48"/>
        <v>2.0326185753965072E-4</v>
      </c>
      <c r="M117" s="30">
        <f t="shared" si="48"/>
        <v>1.6201441835889104E-3</v>
      </c>
      <c r="O117" s="562"/>
      <c r="P117" s="562"/>
      <c r="Q117" s="4"/>
      <c r="R117" s="4"/>
      <c r="S117" s="4"/>
      <c r="T117" s="4"/>
      <c r="U117" s="4"/>
      <c r="V117" s="4"/>
      <c r="W117" s="5"/>
      <c r="X117" s="4"/>
      <c r="Y117" s="4"/>
      <c r="Z117" s="6"/>
      <c r="AA117" s="6"/>
      <c r="AB117" s="6"/>
      <c r="AC117" s="6"/>
      <c r="AD117" s="6"/>
      <c r="AE117" s="6"/>
      <c r="AF117" s="7"/>
    </row>
    <row r="118" spans="1:32" s="3" customFormat="1" x14ac:dyDescent="0.25">
      <c r="A118" s="137" t="str">
        <f>A30</f>
        <v>Reel Trailer</v>
      </c>
      <c r="B118" s="36"/>
      <c r="C118" s="13"/>
      <c r="D118" s="1"/>
      <c r="E118" s="30">
        <f>(E30*$P30)/2000</f>
        <v>2.0215776612882664E-3</v>
      </c>
      <c r="F118" s="30">
        <f t="shared" si="48"/>
        <v>8.1213982690235137E-3</v>
      </c>
      <c r="G118" s="30">
        <f t="shared" si="48"/>
        <v>1.8370415275912513E-2</v>
      </c>
      <c r="H118" s="30">
        <f t="shared" si="48"/>
        <v>3.9926954011293897E-5</v>
      </c>
      <c r="I118" s="30">
        <f t="shared" si="48"/>
        <v>6.0182173025408246E-4</v>
      </c>
      <c r="J118" s="30">
        <f t="shared" si="48"/>
        <v>5.3562133992613337E-4</v>
      </c>
      <c r="K118" s="30">
        <f t="shared" si="48"/>
        <v>4.0678167314216092</v>
      </c>
      <c r="L118" s="30">
        <f t="shared" si="48"/>
        <v>1.8904902437689967E-4</v>
      </c>
      <c r="M118" s="30">
        <f t="shared" si="48"/>
        <v>1.7451894512116887E-3</v>
      </c>
      <c r="O118" s="562"/>
      <c r="P118" s="562"/>
      <c r="Q118" s="4"/>
      <c r="R118" s="4"/>
      <c r="S118" s="4"/>
      <c r="T118" s="4"/>
      <c r="U118" s="4"/>
      <c r="V118" s="4"/>
      <c r="W118" s="5"/>
      <c r="X118" s="4"/>
      <c r="Y118" s="4"/>
      <c r="Z118" s="6"/>
      <c r="AA118" s="6"/>
      <c r="AB118" s="6"/>
      <c r="AC118" s="6"/>
      <c r="AD118" s="6"/>
      <c r="AE118" s="6"/>
      <c r="AF118" s="7"/>
    </row>
    <row r="119" spans="1:32" s="3" customFormat="1" x14ac:dyDescent="0.25">
      <c r="A119" s="137" t="str">
        <f>A31</f>
        <v>Signal Board</v>
      </c>
      <c r="B119" s="36"/>
      <c r="C119" s="13"/>
      <c r="D119" s="1"/>
      <c r="E119" s="30">
        <f>(E31*$P31)/2000</f>
        <v>1.1491052217287392E-4</v>
      </c>
      <c r="F119" s="30">
        <f t="shared" si="48"/>
        <v>5.7261463561896549E-4</v>
      </c>
      <c r="G119" s="30">
        <f t="shared" si="48"/>
        <v>6.8363270566896856E-4</v>
      </c>
      <c r="H119" s="30">
        <f t="shared" si="48"/>
        <v>1.5361064088595539E-6</v>
      </c>
      <c r="I119" s="30">
        <f t="shared" si="48"/>
        <v>2.6713222657700396E-5</v>
      </c>
      <c r="J119" s="30">
        <f t="shared" si="48"/>
        <v>2.3774768165353354E-5</v>
      </c>
      <c r="K119" s="30">
        <f t="shared" si="48"/>
        <v>9.8715896651887028E-2</v>
      </c>
      <c r="L119" s="30">
        <f t="shared" si="48"/>
        <v>1.0368190540317212E-5</v>
      </c>
      <c r="M119" s="30">
        <f t="shared" si="48"/>
        <v>6.4945107038552022E-5</v>
      </c>
      <c r="O119" s="562"/>
      <c r="P119" s="562"/>
      <c r="Q119" s="4"/>
      <c r="R119" s="4"/>
      <c r="S119" s="4"/>
      <c r="T119" s="4"/>
      <c r="U119" s="4"/>
      <c r="V119" s="4"/>
      <c r="W119" s="5"/>
      <c r="X119" s="4"/>
      <c r="Y119" s="4"/>
      <c r="Z119" s="6"/>
      <c r="AA119" s="6"/>
      <c r="AB119" s="6"/>
      <c r="AC119" s="6"/>
      <c r="AD119" s="6"/>
      <c r="AE119" s="6"/>
      <c r="AF119" s="7"/>
    </row>
    <row r="120" spans="1:32" s="3" customFormat="1" x14ac:dyDescent="0.25">
      <c r="A120" s="12" t="str">
        <f t="shared" ref="A120" si="49">A32</f>
        <v>Subtotal</v>
      </c>
      <c r="B120" s="36"/>
      <c r="C120" s="13"/>
      <c r="D120" s="1"/>
      <c r="E120" s="24">
        <f t="shared" ref="E120:M120" si="50">SUM(E117:E119)</f>
        <v>4.3014043913078073E-3</v>
      </c>
      <c r="F120" s="24">
        <f t="shared" si="50"/>
        <v>1.5484773222020364E-2</v>
      </c>
      <c r="G120" s="24">
        <f t="shared" si="50"/>
        <v>3.6108197282517379E-2</v>
      </c>
      <c r="H120" s="24">
        <f t="shared" si="50"/>
        <v>7.5193644770794912E-5</v>
      </c>
      <c r="I120" s="24">
        <f t="shared" si="50"/>
        <v>1.1915522377685744E-3</v>
      </c>
      <c r="J120" s="24">
        <f t="shared" si="50"/>
        <v>1.0604814916140314E-3</v>
      </c>
      <c r="K120" s="24">
        <f t="shared" si="50"/>
        <v>7.1643497350938095</v>
      </c>
      <c r="L120" s="24">
        <f t="shared" si="50"/>
        <v>4.0267907245686763E-4</v>
      </c>
      <c r="M120" s="24">
        <f t="shared" si="50"/>
        <v>3.430278741839151E-3</v>
      </c>
      <c r="O120" s="562"/>
      <c r="P120" s="562"/>
      <c r="Q120" s="4"/>
      <c r="R120" s="4"/>
      <c r="S120" s="4"/>
      <c r="T120" s="4"/>
      <c r="U120" s="4"/>
      <c r="V120" s="4"/>
      <c r="W120" s="5"/>
      <c r="X120" s="4"/>
      <c r="Y120" s="4"/>
      <c r="Z120" s="6"/>
      <c r="AA120" s="6"/>
      <c r="AB120" s="6"/>
      <c r="AC120" s="6"/>
      <c r="AD120" s="6"/>
      <c r="AE120" s="6"/>
      <c r="AF120" s="7"/>
    </row>
    <row r="121" spans="1:32" s="3" customFormat="1" x14ac:dyDescent="0.25">
      <c r="A121" s="137"/>
      <c r="B121" s="36"/>
      <c r="C121" s="13"/>
      <c r="D121" s="1"/>
      <c r="E121" s="30"/>
      <c r="F121" s="30"/>
      <c r="G121" s="30"/>
      <c r="H121" s="30"/>
      <c r="I121" s="30"/>
      <c r="J121" s="30"/>
      <c r="K121" s="30"/>
      <c r="L121" s="30"/>
      <c r="M121" s="30"/>
      <c r="O121" s="562"/>
      <c r="P121" s="562"/>
      <c r="Q121" s="4"/>
      <c r="R121" s="4"/>
      <c r="S121" s="4"/>
      <c r="T121" s="4"/>
      <c r="U121" s="4"/>
      <c r="V121" s="4"/>
      <c r="W121" s="5"/>
      <c r="X121" s="4"/>
      <c r="Y121" s="4"/>
      <c r="Z121" s="6"/>
      <c r="AA121" s="6"/>
      <c r="AB121" s="6"/>
      <c r="AC121" s="6"/>
      <c r="AD121" s="6"/>
      <c r="AE121" s="6"/>
      <c r="AF121" s="7"/>
    </row>
    <row r="122" spans="1:32" s="3" customFormat="1" x14ac:dyDescent="0.25">
      <c r="A122" s="12" t="str">
        <f>A34</f>
        <v>Conductor Pulling - La Pata</v>
      </c>
      <c r="B122" s="36"/>
      <c r="C122" s="13"/>
      <c r="D122" s="1"/>
      <c r="E122" s="30"/>
      <c r="F122" s="30"/>
      <c r="G122" s="30"/>
      <c r="H122" s="30"/>
      <c r="I122" s="30"/>
      <c r="J122" s="30"/>
      <c r="K122" s="30"/>
      <c r="L122" s="30"/>
      <c r="M122" s="30"/>
      <c r="O122" s="562"/>
      <c r="P122" s="562"/>
      <c r="Q122" s="4"/>
      <c r="R122" s="4"/>
      <c r="S122" s="4"/>
      <c r="T122" s="4"/>
      <c r="U122" s="4"/>
      <c r="V122" s="4"/>
      <c r="W122" s="5"/>
      <c r="X122" s="4"/>
      <c r="Y122" s="4"/>
      <c r="Z122" s="6"/>
      <c r="AA122" s="6"/>
      <c r="AB122" s="6"/>
      <c r="AC122" s="6"/>
      <c r="AD122" s="6"/>
      <c r="AE122" s="6"/>
      <c r="AF122" s="7"/>
    </row>
    <row r="123" spans="1:32" s="3" customFormat="1" x14ac:dyDescent="0.25">
      <c r="A123" s="137" t="str">
        <f>A35</f>
        <v>Boom Truck</v>
      </c>
      <c r="B123" s="36"/>
      <c r="C123" s="13"/>
      <c r="D123" s="1"/>
      <c r="E123" s="30">
        <f>(E35*$P35)/2000</f>
        <v>2.1649162078466668E-3</v>
      </c>
      <c r="F123" s="30">
        <f t="shared" ref="F123:M125" si="51">(F35*$P35)/2000</f>
        <v>6.7907603173778851E-3</v>
      </c>
      <c r="G123" s="30">
        <f t="shared" si="51"/>
        <v>1.7054149300935899E-2</v>
      </c>
      <c r="H123" s="30">
        <f t="shared" si="51"/>
        <v>3.3730584350641467E-5</v>
      </c>
      <c r="I123" s="30">
        <f t="shared" si="51"/>
        <v>5.6301728485679155E-4</v>
      </c>
      <c r="J123" s="30">
        <f t="shared" si="51"/>
        <v>5.0108538352254463E-4</v>
      </c>
      <c r="K123" s="30">
        <f t="shared" si="51"/>
        <v>2.9978171070203135</v>
      </c>
      <c r="L123" s="30">
        <f t="shared" si="51"/>
        <v>2.0326185753965072E-4</v>
      </c>
      <c r="M123" s="30">
        <f t="shared" si="51"/>
        <v>1.6201441835889104E-3</v>
      </c>
      <c r="O123" s="562"/>
      <c r="P123" s="562"/>
      <c r="Q123" s="4"/>
      <c r="R123" s="4"/>
      <c r="S123" s="4"/>
      <c r="T123" s="4"/>
      <c r="U123" s="4"/>
      <c r="V123" s="4"/>
      <c r="W123" s="5"/>
      <c r="X123" s="4"/>
      <c r="Y123" s="4"/>
      <c r="Z123" s="6"/>
      <c r="AA123" s="6"/>
      <c r="AB123" s="6"/>
      <c r="AC123" s="6"/>
      <c r="AD123" s="6"/>
      <c r="AE123" s="6"/>
      <c r="AF123" s="7"/>
    </row>
    <row r="124" spans="1:32" s="3" customFormat="1" x14ac:dyDescent="0.25">
      <c r="A124" s="137" t="str">
        <f>A36</f>
        <v>Reel Trailer</v>
      </c>
      <c r="B124" s="36"/>
      <c r="C124" s="13"/>
      <c r="D124" s="1"/>
      <c r="E124" s="30">
        <f>(E36*$P36)/2000</f>
        <v>5.0539441532206661E-4</v>
      </c>
      <c r="F124" s="30">
        <f t="shared" si="51"/>
        <v>2.0303495672558784E-3</v>
      </c>
      <c r="G124" s="30">
        <f t="shared" si="51"/>
        <v>4.5926038189781282E-3</v>
      </c>
      <c r="H124" s="30">
        <f t="shared" si="51"/>
        <v>9.9817385028234742E-6</v>
      </c>
      <c r="I124" s="30">
        <f t="shared" si="51"/>
        <v>1.5045543256352062E-4</v>
      </c>
      <c r="J124" s="30">
        <f t="shared" si="51"/>
        <v>1.3390533498153334E-4</v>
      </c>
      <c r="K124" s="30">
        <f t="shared" si="51"/>
        <v>1.0169541828554023</v>
      </c>
      <c r="L124" s="30">
        <f t="shared" si="51"/>
        <v>4.7262256094224917E-5</v>
      </c>
      <c r="M124" s="30">
        <f t="shared" si="51"/>
        <v>4.3629736280292219E-4</v>
      </c>
      <c r="O124" s="562"/>
      <c r="P124" s="562"/>
      <c r="Q124" s="4"/>
      <c r="R124" s="4"/>
      <c r="S124" s="4"/>
      <c r="T124" s="4"/>
      <c r="U124" s="4"/>
      <c r="V124" s="4"/>
      <c r="W124" s="5"/>
      <c r="X124" s="4"/>
      <c r="Y124" s="4"/>
      <c r="Z124" s="6"/>
      <c r="AA124" s="6"/>
      <c r="AB124" s="6"/>
      <c r="AC124" s="6"/>
      <c r="AD124" s="6"/>
      <c r="AE124" s="6"/>
      <c r="AF124" s="7"/>
    </row>
    <row r="125" spans="1:32" s="3" customFormat="1" x14ac:dyDescent="0.25">
      <c r="A125" s="137" t="str">
        <f>A37</f>
        <v>Signal Board</v>
      </c>
      <c r="B125" s="36"/>
      <c r="C125" s="13"/>
      <c r="D125" s="1"/>
      <c r="E125" s="30">
        <f>(E37*$P37)/2000</f>
        <v>2.872763054321848E-5</v>
      </c>
      <c r="F125" s="30">
        <f t="shared" si="51"/>
        <v>1.4315365890474137E-4</v>
      </c>
      <c r="G125" s="30">
        <f t="shared" si="51"/>
        <v>1.7090817641724214E-4</v>
      </c>
      <c r="H125" s="30">
        <f t="shared" si="51"/>
        <v>3.8402660221488849E-7</v>
      </c>
      <c r="I125" s="30">
        <f t="shared" si="51"/>
        <v>6.678305664425099E-6</v>
      </c>
      <c r="J125" s="30">
        <f t="shared" si="51"/>
        <v>5.9436920413383386E-6</v>
      </c>
      <c r="K125" s="30">
        <f t="shared" si="51"/>
        <v>2.4678974162971757E-2</v>
      </c>
      <c r="L125" s="30">
        <f t="shared" si="51"/>
        <v>2.5920476350793031E-6</v>
      </c>
      <c r="M125" s="30">
        <f t="shared" si="51"/>
        <v>1.6236276759638006E-5</v>
      </c>
      <c r="O125" s="562"/>
      <c r="P125" s="562"/>
      <c r="Q125" s="4"/>
      <c r="R125" s="4"/>
      <c r="S125" s="4"/>
      <c r="T125" s="4"/>
      <c r="U125" s="4"/>
      <c r="V125" s="4"/>
      <c r="W125" s="5"/>
      <c r="X125" s="4"/>
      <c r="Y125" s="4"/>
      <c r="Z125" s="6"/>
      <c r="AA125" s="6"/>
      <c r="AB125" s="6"/>
      <c r="AC125" s="6"/>
      <c r="AD125" s="6"/>
      <c r="AE125" s="6"/>
      <c r="AF125" s="7"/>
    </row>
    <row r="126" spans="1:32" s="3" customFormat="1" x14ac:dyDescent="0.25">
      <c r="A126" s="12" t="str">
        <f>A38</f>
        <v>Subtotal</v>
      </c>
      <c r="B126" s="36"/>
      <c r="C126" s="13"/>
      <c r="D126" s="1"/>
      <c r="E126" s="24">
        <f t="shared" ref="E126:M126" si="52">SUM(E123:E125)</f>
        <v>2.6990382537119516E-3</v>
      </c>
      <c r="F126" s="24">
        <f t="shared" si="52"/>
        <v>8.9642635435385042E-3</v>
      </c>
      <c r="G126" s="24">
        <f t="shared" si="52"/>
        <v>2.1817661296331271E-2</v>
      </c>
      <c r="H126" s="24">
        <f t="shared" si="52"/>
        <v>4.4096349455679826E-5</v>
      </c>
      <c r="I126" s="24">
        <f t="shared" si="52"/>
        <v>7.2015102308473718E-4</v>
      </c>
      <c r="J126" s="24">
        <f t="shared" si="52"/>
        <v>6.4093441054541625E-4</v>
      </c>
      <c r="K126" s="24">
        <f t="shared" si="52"/>
        <v>4.0394502640386873</v>
      </c>
      <c r="L126" s="24">
        <f t="shared" si="52"/>
        <v>2.5311616126895496E-4</v>
      </c>
      <c r="M126" s="24">
        <f t="shared" si="52"/>
        <v>2.0726778231514704E-3</v>
      </c>
      <c r="O126" s="562"/>
      <c r="P126" s="562"/>
      <c r="Q126" s="4"/>
      <c r="R126" s="4"/>
      <c r="S126" s="4"/>
      <c r="T126" s="4"/>
      <c r="U126" s="4"/>
      <c r="V126" s="4"/>
      <c r="W126" s="5"/>
      <c r="X126" s="4"/>
      <c r="Y126" s="4"/>
      <c r="Z126" s="6"/>
      <c r="AA126" s="6"/>
      <c r="AB126" s="6"/>
      <c r="AC126" s="6"/>
      <c r="AD126" s="6"/>
      <c r="AE126" s="6"/>
      <c r="AF126" s="7"/>
    </row>
    <row r="127" spans="1:32" s="3" customFormat="1" x14ac:dyDescent="0.25">
      <c r="A127" s="137"/>
      <c r="B127" s="36"/>
      <c r="C127" s="13"/>
      <c r="D127" s="1"/>
      <c r="E127" s="30"/>
      <c r="F127" s="30"/>
      <c r="G127" s="30"/>
      <c r="H127" s="30"/>
      <c r="I127" s="30"/>
      <c r="J127" s="30"/>
      <c r="K127" s="30"/>
      <c r="L127" s="30"/>
      <c r="M127" s="30"/>
      <c r="O127" s="562"/>
      <c r="P127" s="562"/>
      <c r="Q127" s="4"/>
      <c r="R127" s="4"/>
      <c r="S127" s="4"/>
      <c r="T127" s="4"/>
      <c r="U127" s="4"/>
      <c r="V127" s="4"/>
      <c r="W127" s="5"/>
      <c r="X127" s="4"/>
      <c r="Y127" s="4"/>
      <c r="Z127" s="6"/>
      <c r="AA127" s="6"/>
      <c r="AB127" s="6"/>
      <c r="AC127" s="6"/>
      <c r="AD127" s="6"/>
      <c r="AE127" s="6"/>
      <c r="AF127" s="7"/>
    </row>
    <row r="128" spans="1:32" s="3" customFormat="1" x14ac:dyDescent="0.25">
      <c r="A128" s="12" t="s">
        <v>595</v>
      </c>
      <c r="B128" s="36"/>
      <c r="C128" s="13"/>
      <c r="D128" s="1"/>
      <c r="E128" s="30"/>
      <c r="F128" s="30"/>
      <c r="G128" s="30"/>
      <c r="H128" s="30"/>
      <c r="I128" s="30"/>
      <c r="J128" s="30"/>
      <c r="K128" s="30"/>
      <c r="L128" s="30"/>
      <c r="M128" s="30"/>
      <c r="O128" s="562"/>
      <c r="P128" s="562"/>
      <c r="Q128" s="4"/>
      <c r="R128" s="4"/>
      <c r="S128" s="4"/>
      <c r="T128" s="4"/>
      <c r="U128" s="4"/>
      <c r="V128" s="4"/>
      <c r="W128" s="5"/>
      <c r="X128" s="4"/>
      <c r="Y128" s="4"/>
      <c r="Z128" s="6"/>
      <c r="AA128" s="6"/>
      <c r="AB128" s="6"/>
      <c r="AC128" s="6"/>
      <c r="AD128" s="6"/>
      <c r="AE128" s="6"/>
      <c r="AF128" s="7"/>
    </row>
    <row r="129" spans="1:32" s="3" customFormat="1" x14ac:dyDescent="0.25">
      <c r="A129" s="12" t="s">
        <v>596</v>
      </c>
      <c r="B129" s="36"/>
      <c r="C129" s="13"/>
      <c r="D129" s="1"/>
      <c r="E129" s="30"/>
      <c r="F129" s="30"/>
      <c r="G129" s="30"/>
      <c r="H129" s="30"/>
      <c r="I129" s="30"/>
      <c r="J129" s="30"/>
      <c r="K129" s="30"/>
      <c r="L129" s="30"/>
      <c r="M129" s="30"/>
      <c r="O129" s="562"/>
      <c r="P129" s="562"/>
      <c r="Q129" s="4"/>
      <c r="R129" s="4"/>
      <c r="S129" s="4"/>
      <c r="T129" s="4"/>
      <c r="U129" s="4"/>
      <c r="V129" s="4"/>
      <c r="W129" s="5"/>
      <c r="X129" s="4"/>
      <c r="Y129" s="4"/>
      <c r="Z129" s="6"/>
      <c r="AA129" s="6"/>
      <c r="AB129" s="6"/>
      <c r="AC129" s="6"/>
      <c r="AD129" s="6"/>
      <c r="AE129" s="6"/>
      <c r="AF129" s="7"/>
    </row>
    <row r="130" spans="1:32" s="3" customFormat="1" x14ac:dyDescent="0.25">
      <c r="A130" s="137" t="str">
        <f t="shared" ref="A130:A136" si="53">A42</f>
        <v>Drill Rig</v>
      </c>
      <c r="B130" s="36"/>
      <c r="C130" s="13"/>
      <c r="D130" s="1"/>
      <c r="E130" s="30">
        <f t="shared" ref="E130:M135" si="54">(E42*$P42)/2000</f>
        <v>3.7180751071224424E-3</v>
      </c>
      <c r="F130" s="30">
        <f t="shared" si="54"/>
        <v>4.7200052692733377E-2</v>
      </c>
      <c r="G130" s="30">
        <f t="shared" si="54"/>
        <v>3.7498772273725015E-2</v>
      </c>
      <c r="H130" s="30">
        <f t="shared" si="54"/>
        <v>9.2639023120061169E-5</v>
      </c>
      <c r="I130" s="30">
        <f t="shared" si="54"/>
        <v>1.5681919692708713E-3</v>
      </c>
      <c r="J130" s="30">
        <f t="shared" si="54"/>
        <v>1.3956908526510754E-3</v>
      </c>
      <c r="K130" s="30">
        <f t="shared" si="54"/>
        <v>7.8972689746416744</v>
      </c>
      <c r="L130" s="30">
        <f t="shared" si="54"/>
        <v>3.4697896528932445E-4</v>
      </c>
      <c r="M130" s="30">
        <f t="shared" si="54"/>
        <v>3.5623833660038771E-3</v>
      </c>
      <c r="O130" s="562"/>
      <c r="P130" s="562"/>
      <c r="Q130" s="4"/>
      <c r="R130" s="4"/>
      <c r="S130" s="4"/>
      <c r="T130" s="4"/>
      <c r="U130" s="4"/>
      <c r="V130" s="4"/>
      <c r="W130" s="5"/>
      <c r="X130" s="4"/>
      <c r="Y130" s="4"/>
      <c r="Z130" s="6"/>
      <c r="AA130" s="6"/>
      <c r="AB130" s="6"/>
      <c r="AC130" s="6"/>
      <c r="AD130" s="6"/>
      <c r="AE130" s="6"/>
      <c r="AF130" s="7"/>
    </row>
    <row r="131" spans="1:32" s="3" customFormat="1" x14ac:dyDescent="0.25">
      <c r="A131" s="137" t="str">
        <f t="shared" si="53"/>
        <v>Loader</v>
      </c>
      <c r="B131" s="36"/>
      <c r="C131" s="13"/>
      <c r="D131" s="1"/>
      <c r="E131" s="30">
        <f t="shared" si="54"/>
        <v>5.4972538433466197E-3</v>
      </c>
      <c r="F131" s="30">
        <f t="shared" si="54"/>
        <v>1.7807150333803277E-2</v>
      </c>
      <c r="G131" s="30">
        <f t="shared" si="54"/>
        <v>4.8715816750990452E-2</v>
      </c>
      <c r="H131" s="30">
        <f t="shared" si="54"/>
        <v>8.5823647919191099E-5</v>
      </c>
      <c r="I131" s="30">
        <f t="shared" si="54"/>
        <v>1.6445712666030017E-3</v>
      </c>
      <c r="J131" s="30">
        <f t="shared" si="54"/>
        <v>1.4636684272766715E-3</v>
      </c>
      <c r="K131" s="30">
        <f t="shared" si="54"/>
        <v>7.6276042002397171</v>
      </c>
      <c r="L131" s="30">
        <f t="shared" si="54"/>
        <v>5.1671096867142983E-4</v>
      </c>
      <c r="M131" s="30">
        <f t="shared" si="54"/>
        <v>4.6280025913440935E-3</v>
      </c>
      <c r="O131" s="562"/>
      <c r="P131" s="562"/>
      <c r="Q131" s="4"/>
      <c r="R131" s="4"/>
      <c r="S131" s="4"/>
      <c r="T131" s="4"/>
      <c r="U131" s="4"/>
      <c r="V131" s="4"/>
      <c r="W131" s="5"/>
      <c r="X131" s="4"/>
      <c r="Y131" s="4"/>
      <c r="Z131" s="6"/>
      <c r="AA131" s="6"/>
      <c r="AB131" s="6"/>
      <c r="AC131" s="6"/>
      <c r="AD131" s="6"/>
      <c r="AE131" s="6"/>
      <c r="AF131" s="7"/>
    </row>
    <row r="132" spans="1:32" s="3" customFormat="1" x14ac:dyDescent="0.25">
      <c r="A132" s="137" t="str">
        <f t="shared" si="53"/>
        <v>Water Truck</v>
      </c>
      <c r="B132" s="36"/>
      <c r="C132" s="13"/>
      <c r="D132" s="1"/>
      <c r="E132" s="30">
        <f t="shared" si="54"/>
        <v>2.1585828745133337E-3</v>
      </c>
      <c r="F132" s="30">
        <f t="shared" si="54"/>
        <v>6.673141269758839E-3</v>
      </c>
      <c r="G132" s="30">
        <f t="shared" si="54"/>
        <v>1.6986292158078755E-2</v>
      </c>
      <c r="H132" s="30">
        <f t="shared" si="54"/>
        <v>3.3730584350641467E-5</v>
      </c>
      <c r="I132" s="30">
        <f t="shared" si="54"/>
        <v>5.6233871342822016E-4</v>
      </c>
      <c r="J132" s="30">
        <f t="shared" si="54"/>
        <v>5.0048145495111605E-4</v>
      </c>
      <c r="K132" s="30">
        <f t="shared" si="54"/>
        <v>2.9978171070203135</v>
      </c>
      <c r="L132" s="30">
        <f t="shared" si="54"/>
        <v>2.0326185753965072E-4</v>
      </c>
      <c r="M132" s="30">
        <f t="shared" si="54"/>
        <v>1.6136977550174818E-3</v>
      </c>
      <c r="O132" s="562"/>
      <c r="P132" s="562"/>
      <c r="Q132" s="4"/>
      <c r="R132" s="4"/>
      <c r="S132" s="4"/>
      <c r="T132" s="4"/>
      <c r="U132" s="4"/>
      <c r="V132" s="4"/>
      <c r="W132" s="5"/>
      <c r="X132" s="4"/>
      <c r="Y132" s="4"/>
      <c r="Z132" s="6"/>
      <c r="AA132" s="6"/>
      <c r="AB132" s="6"/>
      <c r="AC132" s="6"/>
      <c r="AD132" s="6"/>
      <c r="AE132" s="6"/>
      <c r="AF132" s="7"/>
    </row>
    <row r="133" spans="1:32" s="3" customFormat="1" x14ac:dyDescent="0.25">
      <c r="A133" s="137" t="str">
        <f t="shared" si="53"/>
        <v>Air Compressor</v>
      </c>
      <c r="B133" s="36"/>
      <c r="C133" s="13"/>
      <c r="D133" s="1"/>
      <c r="E133" s="30">
        <f t="shared" si="54"/>
        <v>2.3914148538922079E-3</v>
      </c>
      <c r="F133" s="30">
        <f t="shared" si="54"/>
        <v>7.825191825216897E-3</v>
      </c>
      <c r="G133" s="30">
        <f t="shared" si="54"/>
        <v>7.1377457406014448E-3</v>
      </c>
      <c r="H133" s="30">
        <f t="shared" si="54"/>
        <v>9.2131776628299295E-6</v>
      </c>
      <c r="I133" s="30">
        <f t="shared" si="54"/>
        <v>5.9104079773428524E-4</v>
      </c>
      <c r="J133" s="30">
        <f t="shared" si="54"/>
        <v>5.2602630998351387E-4</v>
      </c>
      <c r="K133" s="30">
        <f t="shared" si="54"/>
        <v>0.71268036832313075</v>
      </c>
      <c r="L133" s="30">
        <f t="shared" si="54"/>
        <v>2.1577351767910512E-4</v>
      </c>
      <c r="M133" s="30">
        <f t="shared" si="54"/>
        <v>6.7808584535713719E-4</v>
      </c>
      <c r="O133" s="562"/>
      <c r="P133" s="562"/>
      <c r="Q133" s="4"/>
      <c r="R133" s="4"/>
      <c r="S133" s="4"/>
      <c r="T133" s="4"/>
      <c r="U133" s="4"/>
      <c r="V133" s="4"/>
      <c r="W133" s="5"/>
      <c r="X133" s="4"/>
      <c r="Y133" s="4"/>
      <c r="Z133" s="6"/>
      <c r="AA133" s="6"/>
      <c r="AB133" s="6"/>
      <c r="AC133" s="6"/>
      <c r="AD133" s="6"/>
      <c r="AE133" s="6"/>
      <c r="AF133" s="7"/>
    </row>
    <row r="134" spans="1:32" s="3" customFormat="1" x14ac:dyDescent="0.25">
      <c r="A134" s="137" t="str">
        <f t="shared" si="53"/>
        <v>Bucket Truck</v>
      </c>
      <c r="B134" s="36"/>
      <c r="C134" s="13"/>
      <c r="D134" s="1"/>
      <c r="E134" s="30">
        <f t="shared" si="54"/>
        <v>2.1401106522911115E-3</v>
      </c>
      <c r="F134" s="30">
        <f t="shared" si="54"/>
        <v>6.3300857142032825E-3</v>
      </c>
      <c r="G134" s="30">
        <f t="shared" si="54"/>
        <v>1.6788375491412089E-2</v>
      </c>
      <c r="H134" s="30">
        <f t="shared" si="54"/>
        <v>3.3730584350641467E-5</v>
      </c>
      <c r="I134" s="30">
        <f t="shared" si="54"/>
        <v>5.6035954676155353E-4</v>
      </c>
      <c r="J134" s="30">
        <f t="shared" si="54"/>
        <v>4.9871999661778266E-4</v>
      </c>
      <c r="K134" s="30">
        <f t="shared" si="54"/>
        <v>2.9978171070203135</v>
      </c>
      <c r="L134" s="30">
        <f t="shared" si="54"/>
        <v>2.0326185753965072E-4</v>
      </c>
      <c r="M134" s="30">
        <f t="shared" si="54"/>
        <v>1.5948956716841484E-3</v>
      </c>
      <c r="O134" s="562"/>
      <c r="P134" s="562"/>
      <c r="Q134" s="4"/>
      <c r="R134" s="4"/>
      <c r="S134" s="4"/>
      <c r="T134" s="4"/>
      <c r="U134" s="4"/>
      <c r="V134" s="4"/>
      <c r="W134" s="5"/>
      <c r="X134" s="4"/>
      <c r="Y134" s="4"/>
      <c r="Z134" s="6"/>
      <c r="AA134" s="6"/>
      <c r="AB134" s="6"/>
      <c r="AC134" s="6"/>
      <c r="AD134" s="6"/>
      <c r="AE134" s="6"/>
      <c r="AF134" s="7"/>
    </row>
    <row r="135" spans="1:32" s="3" customFormat="1" x14ac:dyDescent="0.25">
      <c r="A135" s="137" t="str">
        <f t="shared" si="53"/>
        <v>Boom Truck</v>
      </c>
      <c r="B135" s="36"/>
      <c r="C135" s="13"/>
      <c r="D135" s="1"/>
      <c r="E135" s="30">
        <f t="shared" si="54"/>
        <v>2.1649162078466668E-3</v>
      </c>
      <c r="F135" s="30">
        <f t="shared" si="54"/>
        <v>6.7907603173778851E-3</v>
      </c>
      <c r="G135" s="30">
        <f t="shared" si="54"/>
        <v>1.7054149300935899E-2</v>
      </c>
      <c r="H135" s="30">
        <f t="shared" si="54"/>
        <v>3.3730584350641467E-5</v>
      </c>
      <c r="I135" s="30">
        <f t="shared" si="54"/>
        <v>5.6301728485679155E-4</v>
      </c>
      <c r="J135" s="30">
        <f t="shared" si="54"/>
        <v>5.0108538352254463E-4</v>
      </c>
      <c r="K135" s="30">
        <f t="shared" si="54"/>
        <v>2.9978171070203135</v>
      </c>
      <c r="L135" s="30">
        <f t="shared" si="54"/>
        <v>2.0326185753965072E-4</v>
      </c>
      <c r="M135" s="30">
        <f t="shared" si="54"/>
        <v>1.6201441835889104E-3</v>
      </c>
      <c r="O135" s="562"/>
      <c r="P135" s="562"/>
      <c r="Q135" s="4"/>
      <c r="R135" s="4"/>
      <c r="S135" s="4"/>
      <c r="T135" s="4"/>
      <c r="U135" s="4"/>
      <c r="V135" s="4"/>
      <c r="W135" s="5"/>
      <c r="X135" s="4"/>
      <c r="Y135" s="4"/>
      <c r="Z135" s="6"/>
      <c r="AA135" s="6"/>
      <c r="AB135" s="6"/>
      <c r="AC135" s="6"/>
      <c r="AD135" s="6"/>
      <c r="AE135" s="6"/>
      <c r="AF135" s="7"/>
    </row>
    <row r="136" spans="1:32" s="3" customFormat="1" x14ac:dyDescent="0.25">
      <c r="A136" s="12" t="str">
        <f t="shared" si="53"/>
        <v>Subtotal</v>
      </c>
      <c r="B136" s="36"/>
      <c r="C136" s="13"/>
      <c r="D136" s="1"/>
      <c r="E136" s="24">
        <f>SUM(E130:E135)</f>
        <v>1.8070353539012384E-2</v>
      </c>
      <c r="F136" s="24">
        <f t="shared" ref="F136:M136" si="55">SUM(F130:F135)</f>
        <v>9.2626382153093531E-2</v>
      </c>
      <c r="G136" s="24">
        <f t="shared" si="55"/>
        <v>0.14418115171574367</v>
      </c>
      <c r="H136" s="24">
        <f t="shared" si="55"/>
        <v>2.8886760175400659E-4</v>
      </c>
      <c r="I136" s="24">
        <f t="shared" si="55"/>
        <v>5.4895195786547231E-3</v>
      </c>
      <c r="J136" s="24">
        <f t="shared" si="55"/>
        <v>4.8856724250027038E-3</v>
      </c>
      <c r="K136" s="24">
        <f t="shared" si="55"/>
        <v>25.231004864265465</v>
      </c>
      <c r="L136" s="24">
        <f t="shared" si="55"/>
        <v>1.6892490242588116E-3</v>
      </c>
      <c r="M136" s="24">
        <f t="shared" si="55"/>
        <v>1.3697209412995646E-2</v>
      </c>
      <c r="O136" s="562"/>
      <c r="P136" s="562"/>
      <c r="Q136" s="4"/>
      <c r="R136" s="4"/>
      <c r="S136" s="4"/>
      <c r="T136" s="4"/>
      <c r="U136" s="4"/>
      <c r="V136" s="4"/>
      <c r="W136" s="5"/>
      <c r="X136" s="4"/>
      <c r="Y136" s="4"/>
      <c r="Z136" s="6"/>
      <c r="AA136" s="6"/>
      <c r="AB136" s="6"/>
      <c r="AC136" s="6"/>
      <c r="AD136" s="6"/>
      <c r="AE136" s="6"/>
      <c r="AF136" s="7"/>
    </row>
    <row r="137" spans="1:32" s="3" customFormat="1" x14ac:dyDescent="0.25">
      <c r="A137" s="12"/>
      <c r="B137" s="36"/>
      <c r="C137" s="13"/>
      <c r="D137" s="1"/>
      <c r="E137" s="24"/>
      <c r="F137" s="24"/>
      <c r="G137" s="24"/>
      <c r="H137" s="24"/>
      <c r="I137" s="24"/>
      <c r="J137" s="24"/>
      <c r="K137" s="24"/>
      <c r="L137" s="24"/>
      <c r="M137" s="24"/>
      <c r="O137" s="562"/>
      <c r="P137" s="562"/>
      <c r="Q137" s="4"/>
      <c r="R137" s="4"/>
      <c r="S137" s="4"/>
      <c r="T137" s="4"/>
      <c r="U137" s="4"/>
      <c r="V137" s="4"/>
      <c r="W137" s="5"/>
      <c r="X137" s="4"/>
      <c r="Y137" s="4"/>
      <c r="Z137" s="6"/>
      <c r="AA137" s="6"/>
      <c r="AB137" s="6"/>
      <c r="AC137" s="6"/>
      <c r="AD137" s="6"/>
      <c r="AE137" s="6"/>
      <c r="AF137" s="7"/>
    </row>
    <row r="138" spans="1:32" s="3" customFormat="1" x14ac:dyDescent="0.25">
      <c r="A138" s="12" t="s">
        <v>595</v>
      </c>
      <c r="B138" s="36"/>
      <c r="C138" s="13"/>
      <c r="D138" s="1"/>
      <c r="E138" s="30"/>
      <c r="F138" s="30"/>
      <c r="G138" s="30"/>
      <c r="H138" s="30"/>
      <c r="I138" s="30"/>
      <c r="J138" s="30"/>
      <c r="K138" s="30"/>
      <c r="L138" s="30"/>
      <c r="M138" s="30"/>
      <c r="O138" s="562"/>
      <c r="P138" s="562"/>
      <c r="Q138" s="4"/>
      <c r="R138" s="4"/>
      <c r="S138" s="4"/>
      <c r="T138" s="4"/>
      <c r="U138" s="4"/>
      <c r="V138" s="4"/>
      <c r="W138" s="5"/>
      <c r="X138" s="4"/>
      <c r="Y138" s="4"/>
      <c r="Z138" s="6"/>
      <c r="AA138" s="6"/>
      <c r="AB138" s="6"/>
      <c r="AC138" s="6"/>
      <c r="AD138" s="6"/>
      <c r="AE138" s="6"/>
      <c r="AF138" s="7"/>
    </row>
    <row r="139" spans="1:32" s="3" customFormat="1" x14ac:dyDescent="0.25">
      <c r="A139" s="12" t="s">
        <v>596</v>
      </c>
      <c r="B139" s="36"/>
      <c r="C139" s="13"/>
      <c r="D139" s="1"/>
      <c r="E139" s="30"/>
      <c r="F139" s="30"/>
      <c r="G139" s="30"/>
      <c r="H139" s="30"/>
      <c r="I139" s="30"/>
      <c r="J139" s="30"/>
      <c r="K139" s="30"/>
      <c r="L139" s="30"/>
      <c r="M139" s="30"/>
      <c r="O139" s="562"/>
      <c r="P139" s="562"/>
      <c r="Q139" s="4"/>
      <c r="R139" s="4"/>
      <c r="S139" s="4"/>
      <c r="T139" s="4"/>
      <c r="U139" s="4"/>
      <c r="V139" s="4"/>
      <c r="W139" s="5"/>
      <c r="X139" s="4"/>
      <c r="Y139" s="4"/>
      <c r="Z139" s="6"/>
      <c r="AA139" s="6"/>
      <c r="AB139" s="6"/>
      <c r="AC139" s="6"/>
      <c r="AD139" s="6"/>
      <c r="AE139" s="6"/>
      <c r="AF139" s="7"/>
    </row>
    <row r="140" spans="1:32" s="3" customFormat="1" x14ac:dyDescent="0.25">
      <c r="A140" s="137" t="str">
        <f>A52</f>
        <v>Reel Trailer</v>
      </c>
      <c r="B140" s="36"/>
      <c r="C140" s="13"/>
      <c r="D140" s="1"/>
      <c r="E140" s="30">
        <f t="shared" ref="E140:M142" si="56">(E52*$P52)/2000</f>
        <v>2.2742748689492998E-3</v>
      </c>
      <c r="F140" s="30">
        <f t="shared" si="56"/>
        <v>9.1365730526514529E-3</v>
      </c>
      <c r="G140" s="30">
        <f t="shared" si="56"/>
        <v>2.0666717185401577E-2</v>
      </c>
      <c r="H140" s="30">
        <f t="shared" si="56"/>
        <v>4.491782326270563E-5</v>
      </c>
      <c r="I140" s="30">
        <f t="shared" si="56"/>
        <v>6.770494465358428E-4</v>
      </c>
      <c r="J140" s="30">
        <f t="shared" si="56"/>
        <v>6.0257400741690003E-4</v>
      </c>
      <c r="K140" s="30">
        <f t="shared" si="56"/>
        <v>4.5762938228493102</v>
      </c>
      <c r="L140" s="30">
        <f t="shared" si="56"/>
        <v>2.1268015242401211E-4</v>
      </c>
      <c r="M140" s="30">
        <f t="shared" si="56"/>
        <v>1.9633381326131499E-3</v>
      </c>
      <c r="O140" s="562"/>
      <c r="P140" s="562"/>
      <c r="Q140" s="4"/>
      <c r="R140" s="4"/>
      <c r="S140" s="4"/>
      <c r="T140" s="4"/>
      <c r="U140" s="4"/>
      <c r="V140" s="4"/>
      <c r="W140" s="5"/>
      <c r="X140" s="4"/>
      <c r="Y140" s="4"/>
      <c r="Z140" s="6"/>
      <c r="AA140" s="6"/>
      <c r="AB140" s="6"/>
      <c r="AC140" s="6"/>
      <c r="AD140" s="6"/>
      <c r="AE140" s="6"/>
      <c r="AF140" s="7"/>
    </row>
    <row r="141" spans="1:32" s="3" customFormat="1" x14ac:dyDescent="0.25">
      <c r="A141" s="137" t="str">
        <f>A53</f>
        <v>Bucket Truck</v>
      </c>
      <c r="B141" s="36"/>
      <c r="C141" s="13"/>
      <c r="D141" s="1"/>
      <c r="E141" s="30">
        <f t="shared" si="56"/>
        <v>2.1401106522911115E-3</v>
      </c>
      <c r="F141" s="30">
        <f t="shared" si="56"/>
        <v>6.3300857142032825E-3</v>
      </c>
      <c r="G141" s="30">
        <f t="shared" si="56"/>
        <v>1.6788375491412089E-2</v>
      </c>
      <c r="H141" s="30">
        <f t="shared" si="56"/>
        <v>3.3730584350641467E-5</v>
      </c>
      <c r="I141" s="30">
        <f t="shared" si="56"/>
        <v>5.6035954676155353E-4</v>
      </c>
      <c r="J141" s="30">
        <f t="shared" si="56"/>
        <v>4.9871999661778266E-4</v>
      </c>
      <c r="K141" s="30">
        <f t="shared" si="56"/>
        <v>2.9978171070203135</v>
      </c>
      <c r="L141" s="30">
        <f t="shared" si="56"/>
        <v>2.0326185753965072E-4</v>
      </c>
      <c r="M141" s="30">
        <f t="shared" si="56"/>
        <v>1.5948956716841484E-3</v>
      </c>
      <c r="O141" s="562"/>
      <c r="P141" s="562"/>
      <c r="Q141" s="4"/>
      <c r="R141" s="4"/>
      <c r="S141" s="4"/>
      <c r="T141" s="4"/>
      <c r="U141" s="4"/>
      <c r="V141" s="4"/>
      <c r="W141" s="5"/>
      <c r="X141" s="4"/>
      <c r="Y141" s="4"/>
      <c r="Z141" s="6"/>
      <c r="AA141" s="6"/>
      <c r="AB141" s="6"/>
      <c r="AC141" s="6"/>
      <c r="AD141" s="6"/>
      <c r="AE141" s="6"/>
      <c r="AF141" s="7"/>
    </row>
    <row r="142" spans="1:32" s="3" customFormat="1" x14ac:dyDescent="0.25">
      <c r="A142" s="137" t="str">
        <f>A54</f>
        <v>Water Truck</v>
      </c>
      <c r="B142" s="36"/>
      <c r="C142" s="13"/>
      <c r="D142" s="1"/>
      <c r="E142" s="30">
        <f t="shared" si="56"/>
        <v>7.1952762483777784E-4</v>
      </c>
      <c r="F142" s="30">
        <f t="shared" si="56"/>
        <v>2.2243804232529459E-3</v>
      </c>
      <c r="G142" s="30">
        <f t="shared" si="56"/>
        <v>5.6620973860262522E-3</v>
      </c>
      <c r="H142" s="30">
        <f t="shared" si="56"/>
        <v>1.1243528116880489E-5</v>
      </c>
      <c r="I142" s="30">
        <f t="shared" si="56"/>
        <v>1.8744623780940674E-4</v>
      </c>
      <c r="J142" s="30">
        <f t="shared" si="56"/>
        <v>1.6682715165037201E-4</v>
      </c>
      <c r="K142" s="30">
        <f t="shared" si="56"/>
        <v>0.99927236900677119</v>
      </c>
      <c r="L142" s="30">
        <f t="shared" si="56"/>
        <v>6.7753952513216887E-5</v>
      </c>
      <c r="M142" s="30">
        <f t="shared" si="56"/>
        <v>5.3789925167249382E-4</v>
      </c>
      <c r="O142" s="562"/>
      <c r="P142" s="562"/>
      <c r="Q142" s="4"/>
      <c r="R142" s="4"/>
      <c r="S142" s="4"/>
      <c r="T142" s="4"/>
      <c r="U142" s="4"/>
      <c r="V142" s="4"/>
      <c r="W142" s="5"/>
      <c r="X142" s="4"/>
      <c r="Y142" s="4"/>
      <c r="Z142" s="6"/>
      <c r="AA142" s="6"/>
      <c r="AB142" s="6"/>
      <c r="AC142" s="6"/>
      <c r="AD142" s="6"/>
      <c r="AE142" s="6"/>
      <c r="AF142" s="7"/>
    </row>
    <row r="143" spans="1:32" s="3" customFormat="1" x14ac:dyDescent="0.25">
      <c r="A143" s="12" t="str">
        <f>A55</f>
        <v>Subtotal</v>
      </c>
      <c r="B143" s="36"/>
      <c r="C143" s="13"/>
      <c r="D143" s="1"/>
      <c r="E143" s="24">
        <f>SUM(E140:E142)</f>
        <v>5.1339131460781898E-3</v>
      </c>
      <c r="F143" s="24">
        <f t="shared" ref="F143:M143" si="57">SUM(F140:F142)</f>
        <v>1.7691039190107682E-2</v>
      </c>
      <c r="G143" s="24">
        <f t="shared" si="57"/>
        <v>4.311719006283992E-2</v>
      </c>
      <c r="H143" s="24">
        <f t="shared" si="57"/>
        <v>8.989193573022758E-5</v>
      </c>
      <c r="I143" s="24">
        <f t="shared" si="57"/>
        <v>1.424855231106803E-3</v>
      </c>
      <c r="J143" s="24">
        <f t="shared" si="57"/>
        <v>1.2681211556850548E-3</v>
      </c>
      <c r="K143" s="24">
        <f t="shared" si="57"/>
        <v>8.5733832988763954</v>
      </c>
      <c r="L143" s="24">
        <f t="shared" si="57"/>
        <v>4.8369596247687969E-4</v>
      </c>
      <c r="M143" s="24">
        <f t="shared" si="57"/>
        <v>4.0961330559697922E-3</v>
      </c>
      <c r="O143" s="562"/>
      <c r="P143" s="562"/>
      <c r="Q143" s="4"/>
      <c r="R143" s="4"/>
      <c r="S143" s="4"/>
      <c r="T143" s="4"/>
      <c r="U143" s="4"/>
      <c r="V143" s="4"/>
      <c r="W143" s="5"/>
      <c r="X143" s="4"/>
      <c r="Y143" s="4"/>
      <c r="Z143" s="6"/>
      <c r="AA143" s="6"/>
      <c r="AB143" s="6"/>
      <c r="AC143" s="6"/>
      <c r="AD143" s="6"/>
      <c r="AE143" s="6"/>
      <c r="AF143" s="7"/>
    </row>
    <row r="144" spans="1:32" s="3" customFormat="1" x14ac:dyDescent="0.25">
      <c r="A144" s="137"/>
      <c r="B144" s="36"/>
      <c r="C144" s="13"/>
      <c r="D144" s="1"/>
      <c r="E144" s="30"/>
      <c r="F144" s="30"/>
      <c r="G144" s="30"/>
      <c r="H144" s="30"/>
      <c r="I144" s="30"/>
      <c r="J144" s="30"/>
      <c r="K144" s="30"/>
      <c r="L144" s="30"/>
      <c r="M144" s="30"/>
      <c r="O144" s="562"/>
      <c r="P144" s="562"/>
      <c r="Q144" s="4"/>
      <c r="R144" s="4"/>
      <c r="S144" s="4"/>
      <c r="T144" s="4"/>
      <c r="U144" s="4"/>
      <c r="V144" s="4"/>
      <c r="W144" s="5"/>
      <c r="X144" s="4"/>
      <c r="Y144" s="4"/>
      <c r="Z144" s="6"/>
      <c r="AA144" s="6"/>
      <c r="AB144" s="6"/>
      <c r="AC144" s="6"/>
      <c r="AD144" s="6"/>
      <c r="AE144" s="6"/>
      <c r="AF144" s="7"/>
    </row>
    <row r="145" spans="1:32" s="3" customFormat="1" x14ac:dyDescent="0.25">
      <c r="A145" s="12" t="str">
        <f>A57</f>
        <v>Conductor Pulling (UG) - La Pata &amp; Montana</v>
      </c>
      <c r="B145" s="36"/>
      <c r="C145" s="13"/>
      <c r="D145" s="1"/>
      <c r="E145" s="30"/>
      <c r="F145" s="30"/>
      <c r="G145" s="30"/>
      <c r="H145" s="30"/>
      <c r="I145" s="30"/>
      <c r="J145" s="30"/>
      <c r="K145" s="30"/>
      <c r="L145" s="30"/>
      <c r="M145" s="30"/>
      <c r="O145" s="562"/>
      <c r="P145" s="562"/>
      <c r="Q145" s="4"/>
      <c r="R145" s="4"/>
      <c r="S145" s="4"/>
      <c r="T145" s="4"/>
      <c r="U145" s="4"/>
      <c r="V145" s="4"/>
      <c r="W145" s="5"/>
      <c r="X145" s="4"/>
      <c r="Y145" s="4"/>
      <c r="Z145" s="6"/>
      <c r="AA145" s="6"/>
      <c r="AB145" s="6"/>
      <c r="AC145" s="6"/>
      <c r="AD145" s="6"/>
      <c r="AE145" s="6"/>
      <c r="AF145" s="7"/>
    </row>
    <row r="146" spans="1:32" s="3" customFormat="1" x14ac:dyDescent="0.25">
      <c r="A146" s="137" t="str">
        <f>A58</f>
        <v>Boom Truck</v>
      </c>
      <c r="B146" s="36"/>
      <c r="C146" s="13"/>
      <c r="D146" s="1"/>
      <c r="E146" s="30">
        <f t="shared" ref="E146:M147" si="58">(E58*$P58)/2000</f>
        <v>2.1649162078466668E-3</v>
      </c>
      <c r="F146" s="30">
        <f t="shared" si="58"/>
        <v>6.7907603173778851E-3</v>
      </c>
      <c r="G146" s="30">
        <f t="shared" si="58"/>
        <v>1.7054149300935899E-2</v>
      </c>
      <c r="H146" s="30">
        <f t="shared" si="58"/>
        <v>3.3730584350641467E-5</v>
      </c>
      <c r="I146" s="30">
        <f t="shared" si="58"/>
        <v>5.6301728485679155E-4</v>
      </c>
      <c r="J146" s="30">
        <f t="shared" si="58"/>
        <v>5.0108538352254463E-4</v>
      </c>
      <c r="K146" s="30">
        <f t="shared" si="58"/>
        <v>2.9978171070203135</v>
      </c>
      <c r="L146" s="30">
        <f t="shared" si="58"/>
        <v>2.0326185753965072E-4</v>
      </c>
      <c r="M146" s="30">
        <f t="shared" si="58"/>
        <v>1.6201441835889104E-3</v>
      </c>
      <c r="O146" s="562"/>
      <c r="P146" s="562"/>
      <c r="Q146" s="4"/>
      <c r="R146" s="4"/>
      <c r="S146" s="4"/>
      <c r="T146" s="4"/>
      <c r="U146" s="4"/>
      <c r="V146" s="4"/>
      <c r="W146" s="5"/>
      <c r="X146" s="4"/>
      <c r="Y146" s="4"/>
      <c r="Z146" s="6"/>
      <c r="AA146" s="6"/>
      <c r="AB146" s="6"/>
      <c r="AC146" s="6"/>
      <c r="AD146" s="6"/>
      <c r="AE146" s="6"/>
      <c r="AF146" s="7"/>
    </row>
    <row r="147" spans="1:32" s="3" customFormat="1" x14ac:dyDescent="0.25">
      <c r="A147" s="137" t="str">
        <f>A59</f>
        <v>Reel Trailer</v>
      </c>
      <c r="B147" s="36"/>
      <c r="C147" s="13"/>
      <c r="D147" s="1"/>
      <c r="E147" s="30">
        <f t="shared" si="58"/>
        <v>1.0107888306441332E-3</v>
      </c>
      <c r="F147" s="30">
        <f t="shared" si="58"/>
        <v>4.0606991345117568E-3</v>
      </c>
      <c r="G147" s="30">
        <f t="shared" si="58"/>
        <v>9.1852076379562563E-3</v>
      </c>
      <c r="H147" s="30">
        <f t="shared" si="58"/>
        <v>1.9963477005646948E-5</v>
      </c>
      <c r="I147" s="30">
        <f t="shared" si="58"/>
        <v>3.0091086512704123E-4</v>
      </c>
      <c r="J147" s="30">
        <f t="shared" si="58"/>
        <v>2.6781066996306669E-4</v>
      </c>
      <c r="K147" s="30">
        <f t="shared" si="58"/>
        <v>2.0339083657108046</v>
      </c>
      <c r="L147" s="30">
        <f t="shared" si="58"/>
        <v>9.4524512188449834E-5</v>
      </c>
      <c r="M147" s="30">
        <f t="shared" si="58"/>
        <v>8.7259472560584437E-4</v>
      </c>
      <c r="O147" s="562"/>
      <c r="P147" s="562"/>
      <c r="Q147" s="4"/>
      <c r="R147" s="4"/>
      <c r="S147" s="4"/>
      <c r="T147" s="4"/>
      <c r="U147" s="4"/>
      <c r="V147" s="4"/>
      <c r="W147" s="5"/>
      <c r="X147" s="4"/>
      <c r="Y147" s="4"/>
      <c r="Z147" s="6"/>
      <c r="AA147" s="6"/>
      <c r="AB147" s="6"/>
      <c r="AC147" s="6"/>
      <c r="AD147" s="6"/>
      <c r="AE147" s="6"/>
      <c r="AF147" s="7"/>
    </row>
    <row r="148" spans="1:32" s="3" customFormat="1" x14ac:dyDescent="0.25">
      <c r="A148" s="137" t="str">
        <f>A60</f>
        <v>Signal Board</v>
      </c>
      <c r="B148" s="115"/>
      <c r="C148" s="134"/>
      <c r="D148" s="574"/>
      <c r="E148" s="30">
        <f t="shared" ref="E148:M148" si="59">SUM(E141:E141)</f>
        <v>2.1401106522911115E-3</v>
      </c>
      <c r="F148" s="30">
        <f t="shared" si="59"/>
        <v>6.3300857142032825E-3</v>
      </c>
      <c r="G148" s="30">
        <f t="shared" si="59"/>
        <v>1.6788375491412089E-2</v>
      </c>
      <c r="H148" s="30">
        <f t="shared" si="59"/>
        <v>3.3730584350641467E-5</v>
      </c>
      <c r="I148" s="30">
        <f t="shared" si="59"/>
        <v>5.6035954676155353E-4</v>
      </c>
      <c r="J148" s="30">
        <f t="shared" si="59"/>
        <v>4.9871999661778266E-4</v>
      </c>
      <c r="K148" s="30">
        <f t="shared" si="59"/>
        <v>2.9978171070203135</v>
      </c>
      <c r="L148" s="30">
        <f t="shared" si="59"/>
        <v>2.0326185753965072E-4</v>
      </c>
      <c r="M148" s="30">
        <f t="shared" si="59"/>
        <v>1.5948956716841484E-3</v>
      </c>
      <c r="O148" s="562"/>
      <c r="P148" s="562"/>
      <c r="Q148" s="4"/>
      <c r="R148" s="4"/>
      <c r="S148" s="4"/>
      <c r="T148" s="4"/>
      <c r="U148" s="4"/>
      <c r="V148" s="4"/>
      <c r="W148" s="5"/>
      <c r="X148" s="4"/>
      <c r="Y148" s="4"/>
      <c r="Z148" s="6"/>
      <c r="AA148" s="6"/>
      <c r="AB148" s="6"/>
      <c r="AC148" s="6"/>
      <c r="AD148" s="6"/>
      <c r="AE148" s="6"/>
      <c r="AF148" s="7"/>
    </row>
    <row r="149" spans="1:32" s="3" customFormat="1" x14ac:dyDescent="0.25">
      <c r="A149" s="12" t="str">
        <f>A61</f>
        <v>Subtotal</v>
      </c>
      <c r="B149" s="36"/>
      <c r="C149" s="13"/>
      <c r="D149" s="575"/>
      <c r="E149" s="24">
        <f>SUM(E146:E148)</f>
        <v>5.3158156907819115E-3</v>
      </c>
      <c r="F149" s="24">
        <f t="shared" ref="F149:M149" si="60">SUM(F146:F148)</f>
        <v>1.7181545166092924E-2</v>
      </c>
      <c r="G149" s="24">
        <f t="shared" si="60"/>
        <v>4.302773243030425E-2</v>
      </c>
      <c r="H149" s="24">
        <f t="shared" si="60"/>
        <v>8.7424645706929882E-5</v>
      </c>
      <c r="I149" s="24">
        <f t="shared" si="60"/>
        <v>1.4242876967453864E-3</v>
      </c>
      <c r="J149" s="24">
        <f t="shared" si="60"/>
        <v>1.2676160501033941E-3</v>
      </c>
      <c r="K149" s="24">
        <f t="shared" si="60"/>
        <v>8.0295425797514319</v>
      </c>
      <c r="L149" s="24">
        <f t="shared" si="60"/>
        <v>5.0104822726775131E-4</v>
      </c>
      <c r="M149" s="24">
        <f t="shared" si="60"/>
        <v>4.0876345808789028E-3</v>
      </c>
      <c r="O149" s="562"/>
      <c r="P149" s="562"/>
      <c r="Q149" s="4"/>
      <c r="R149" s="4"/>
      <c r="S149" s="4"/>
      <c r="T149" s="4"/>
      <c r="U149" s="4"/>
      <c r="V149" s="4"/>
      <c r="W149" s="5"/>
      <c r="X149" s="4"/>
      <c r="Y149" s="4"/>
      <c r="Z149" s="6"/>
      <c r="AA149" s="6"/>
      <c r="AB149" s="6"/>
      <c r="AC149" s="6"/>
      <c r="AD149" s="6"/>
      <c r="AE149" s="6"/>
      <c r="AF149" s="7"/>
    </row>
    <row r="150" spans="1:32" s="3" customFormat="1" x14ac:dyDescent="0.25">
      <c r="A150" s="137"/>
      <c r="B150" s="36"/>
      <c r="C150" s="13"/>
      <c r="D150" s="1"/>
      <c r="E150" s="30"/>
      <c r="F150" s="30"/>
      <c r="G150" s="30"/>
      <c r="H150" s="30"/>
      <c r="I150" s="30"/>
      <c r="J150" s="30"/>
      <c r="K150" s="30"/>
      <c r="L150" s="30"/>
      <c r="M150" s="30"/>
      <c r="O150" s="562"/>
      <c r="P150" s="562"/>
      <c r="Q150" s="4"/>
      <c r="R150" s="4"/>
      <c r="S150" s="4"/>
      <c r="T150" s="4"/>
      <c r="U150" s="4"/>
      <c r="V150" s="4"/>
      <c r="W150" s="5"/>
      <c r="X150" s="4"/>
      <c r="Y150" s="4"/>
      <c r="Z150" s="6"/>
      <c r="AA150" s="6"/>
      <c r="AB150" s="6"/>
      <c r="AC150" s="6"/>
      <c r="AD150" s="6"/>
      <c r="AE150" s="6"/>
      <c r="AF150" s="7"/>
    </row>
    <row r="151" spans="1:32" s="3" customFormat="1" x14ac:dyDescent="0.25">
      <c r="A151" s="12" t="str">
        <f t="shared" ref="A151:A157" si="61">A63</f>
        <v>Remove Poles and Conductor - La Pata</v>
      </c>
      <c r="B151" s="36"/>
      <c r="C151" s="13"/>
      <c r="D151" s="1"/>
      <c r="E151" s="30"/>
      <c r="F151" s="30"/>
      <c r="G151" s="30"/>
      <c r="H151" s="30"/>
      <c r="I151" s="30"/>
      <c r="J151" s="30"/>
      <c r="K151" s="30"/>
      <c r="L151" s="30"/>
      <c r="M151" s="30"/>
      <c r="O151" s="562"/>
      <c r="P151" s="562"/>
      <c r="Q151" s="4"/>
      <c r="R151" s="4"/>
      <c r="S151" s="4"/>
      <c r="T151" s="4"/>
      <c r="U151" s="4"/>
      <c r="V151" s="4"/>
      <c r="W151" s="5"/>
      <c r="X151" s="4"/>
      <c r="Y151" s="4"/>
      <c r="Z151" s="6"/>
      <c r="AA151" s="6"/>
      <c r="AB151" s="6"/>
      <c r="AC151" s="6"/>
      <c r="AD151" s="6"/>
      <c r="AE151" s="6"/>
      <c r="AF151" s="7"/>
    </row>
    <row r="152" spans="1:32" s="3" customFormat="1" x14ac:dyDescent="0.25">
      <c r="A152" s="137" t="str">
        <f t="shared" si="61"/>
        <v>Puller and Tensioner</v>
      </c>
      <c r="B152" s="36"/>
      <c r="C152" s="13"/>
      <c r="D152" s="1"/>
      <c r="E152" s="30">
        <f t="shared" ref="E152:M156" si="62">(E64*$P64)/2000</f>
        <v>2.2742748689492998E-3</v>
      </c>
      <c r="F152" s="30">
        <f t="shared" si="62"/>
        <v>9.1365730526514529E-3</v>
      </c>
      <c r="G152" s="30">
        <f t="shared" si="62"/>
        <v>2.0666717185401577E-2</v>
      </c>
      <c r="H152" s="30">
        <f t="shared" si="62"/>
        <v>4.491782326270563E-5</v>
      </c>
      <c r="I152" s="30">
        <f t="shared" si="62"/>
        <v>6.770494465358428E-4</v>
      </c>
      <c r="J152" s="30">
        <f t="shared" si="62"/>
        <v>6.0257400741690003E-4</v>
      </c>
      <c r="K152" s="30">
        <f t="shared" si="62"/>
        <v>4.5762938228493102</v>
      </c>
      <c r="L152" s="30">
        <f t="shared" si="62"/>
        <v>2.1268015242401211E-4</v>
      </c>
      <c r="M152" s="30">
        <f t="shared" si="62"/>
        <v>1.9633381326131499E-3</v>
      </c>
      <c r="O152" s="562"/>
      <c r="P152" s="562"/>
      <c r="Q152" s="4"/>
      <c r="R152" s="4"/>
      <c r="S152" s="4"/>
      <c r="T152" s="4"/>
      <c r="U152" s="4"/>
      <c r="V152" s="4"/>
      <c r="W152" s="5"/>
      <c r="X152" s="4"/>
      <c r="Y152" s="4"/>
      <c r="Z152" s="6"/>
      <c r="AA152" s="6"/>
      <c r="AB152" s="6"/>
      <c r="AC152" s="6"/>
      <c r="AD152" s="6"/>
      <c r="AE152" s="6"/>
      <c r="AF152" s="7"/>
    </row>
    <row r="153" spans="1:32" s="3" customFormat="1" x14ac:dyDescent="0.25">
      <c r="A153" s="137" t="str">
        <f t="shared" si="61"/>
        <v>Reel Trailer</v>
      </c>
      <c r="B153" s="36"/>
      <c r="C153" s="13"/>
      <c r="D153" s="1"/>
      <c r="E153" s="30">
        <f t="shared" si="62"/>
        <v>2.2742748689492998E-3</v>
      </c>
      <c r="F153" s="30">
        <f t="shared" si="62"/>
        <v>9.1365730526514529E-3</v>
      </c>
      <c r="G153" s="30">
        <f t="shared" si="62"/>
        <v>2.0666717185401577E-2</v>
      </c>
      <c r="H153" s="30">
        <f t="shared" si="62"/>
        <v>4.491782326270563E-5</v>
      </c>
      <c r="I153" s="30">
        <f t="shared" si="62"/>
        <v>6.770494465358428E-4</v>
      </c>
      <c r="J153" s="30">
        <f t="shared" si="62"/>
        <v>6.0257400741690003E-4</v>
      </c>
      <c r="K153" s="30">
        <f t="shared" si="62"/>
        <v>4.5762938228493102</v>
      </c>
      <c r="L153" s="30">
        <f t="shared" si="62"/>
        <v>2.1268015242401211E-4</v>
      </c>
      <c r="M153" s="30">
        <f t="shared" si="62"/>
        <v>1.9633381326131499E-3</v>
      </c>
      <c r="O153" s="562"/>
      <c r="P153" s="562"/>
      <c r="Q153" s="4"/>
      <c r="R153" s="4"/>
      <c r="S153" s="4"/>
      <c r="T153" s="4"/>
      <c r="U153" s="4"/>
      <c r="V153" s="4"/>
      <c r="W153" s="5"/>
      <c r="X153" s="4"/>
      <c r="Y153" s="4"/>
      <c r="Z153" s="6"/>
      <c r="AA153" s="6"/>
      <c r="AB153" s="6"/>
      <c r="AC153" s="6"/>
      <c r="AD153" s="6"/>
      <c r="AE153" s="6"/>
      <c r="AF153" s="7"/>
    </row>
    <row r="154" spans="1:32" s="3" customFormat="1" x14ac:dyDescent="0.25">
      <c r="A154" s="137" t="str">
        <f t="shared" si="61"/>
        <v>Bucket Truck</v>
      </c>
      <c r="B154" s="36"/>
      <c r="C154" s="13"/>
      <c r="D154" s="1"/>
      <c r="E154" s="30">
        <f t="shared" si="62"/>
        <v>2.1401106522911115E-3</v>
      </c>
      <c r="F154" s="30">
        <f t="shared" si="62"/>
        <v>6.3300857142032825E-3</v>
      </c>
      <c r="G154" s="30">
        <f t="shared" si="62"/>
        <v>1.6788375491412089E-2</v>
      </c>
      <c r="H154" s="30">
        <f t="shared" si="62"/>
        <v>3.3730584350641467E-5</v>
      </c>
      <c r="I154" s="30">
        <f t="shared" si="62"/>
        <v>5.6035954676155353E-4</v>
      </c>
      <c r="J154" s="30">
        <f t="shared" si="62"/>
        <v>4.9871999661778266E-4</v>
      </c>
      <c r="K154" s="30">
        <f t="shared" si="62"/>
        <v>2.9978171070203135</v>
      </c>
      <c r="L154" s="30">
        <f t="shared" si="62"/>
        <v>2.0326185753965072E-4</v>
      </c>
      <c r="M154" s="30">
        <f t="shared" si="62"/>
        <v>1.5948956716841484E-3</v>
      </c>
      <c r="O154" s="562"/>
      <c r="P154" s="562"/>
      <c r="Q154" s="4"/>
      <c r="R154" s="4"/>
      <c r="S154" s="4"/>
      <c r="T154" s="4"/>
      <c r="U154" s="4"/>
      <c r="V154" s="4"/>
      <c r="W154" s="5"/>
      <c r="X154" s="4"/>
      <c r="Y154" s="4"/>
      <c r="Z154" s="6"/>
      <c r="AA154" s="6"/>
      <c r="AB154" s="6"/>
      <c r="AC154" s="6"/>
      <c r="AD154" s="6"/>
      <c r="AE154" s="6"/>
      <c r="AF154" s="7"/>
    </row>
    <row r="155" spans="1:32" s="3" customFormat="1" x14ac:dyDescent="0.25">
      <c r="A155" s="137" t="str">
        <f t="shared" si="61"/>
        <v>Water Truck</v>
      </c>
      <c r="B155" s="36"/>
      <c r="C155" s="13"/>
      <c r="D155" s="1"/>
      <c r="E155" s="30">
        <f t="shared" si="62"/>
        <v>7.1952762483777784E-4</v>
      </c>
      <c r="F155" s="30">
        <f t="shared" si="62"/>
        <v>2.2243804232529459E-3</v>
      </c>
      <c r="G155" s="30">
        <f t="shared" si="62"/>
        <v>5.6620973860262522E-3</v>
      </c>
      <c r="H155" s="30">
        <f t="shared" si="62"/>
        <v>1.1243528116880489E-5</v>
      </c>
      <c r="I155" s="30">
        <f t="shared" si="62"/>
        <v>1.8744623780940674E-4</v>
      </c>
      <c r="J155" s="30">
        <f t="shared" si="62"/>
        <v>1.6682715165037201E-4</v>
      </c>
      <c r="K155" s="30">
        <f t="shared" si="62"/>
        <v>0.99927236900677119</v>
      </c>
      <c r="L155" s="30">
        <f t="shared" si="62"/>
        <v>6.7753952513216887E-5</v>
      </c>
      <c r="M155" s="30">
        <f t="shared" si="62"/>
        <v>5.3789925167249382E-4</v>
      </c>
      <c r="O155" s="562"/>
      <c r="P155" s="562"/>
      <c r="Q155" s="4"/>
      <c r="R155" s="4"/>
      <c r="S155" s="4"/>
      <c r="T155" s="4"/>
      <c r="U155" s="4"/>
      <c r="V155" s="4"/>
      <c r="W155" s="5"/>
      <c r="X155" s="4"/>
      <c r="Y155" s="4"/>
      <c r="Z155" s="6"/>
      <c r="AA155" s="6"/>
      <c r="AB155" s="6"/>
      <c r="AC155" s="6"/>
      <c r="AD155" s="6"/>
      <c r="AE155" s="6"/>
      <c r="AF155" s="7"/>
    </row>
    <row r="156" spans="1:32" s="3" customFormat="1" x14ac:dyDescent="0.25">
      <c r="A156" s="137" t="str">
        <f t="shared" si="61"/>
        <v>Boom Truck</v>
      </c>
      <c r="B156" s="36"/>
      <c r="C156" s="13"/>
      <c r="D156" s="1"/>
      <c r="E156" s="30">
        <f t="shared" si="62"/>
        <v>2.1649162078466668E-3</v>
      </c>
      <c r="F156" s="30">
        <f t="shared" si="62"/>
        <v>6.7907603173778851E-3</v>
      </c>
      <c r="G156" s="30">
        <f t="shared" si="62"/>
        <v>1.7054149300935899E-2</v>
      </c>
      <c r="H156" s="30">
        <f t="shared" si="62"/>
        <v>3.3730584350641467E-5</v>
      </c>
      <c r="I156" s="30">
        <f t="shared" si="62"/>
        <v>5.6301728485679155E-4</v>
      </c>
      <c r="J156" s="30">
        <f t="shared" si="62"/>
        <v>5.0108538352254463E-4</v>
      </c>
      <c r="K156" s="30">
        <f t="shared" si="62"/>
        <v>2.9978171070203135</v>
      </c>
      <c r="L156" s="30">
        <f t="shared" si="62"/>
        <v>2.0326185753965072E-4</v>
      </c>
      <c r="M156" s="30">
        <f t="shared" si="62"/>
        <v>1.6201441835889104E-3</v>
      </c>
      <c r="O156" s="562"/>
      <c r="P156" s="562"/>
      <c r="Q156" s="4"/>
      <c r="R156" s="4"/>
      <c r="S156" s="4"/>
      <c r="T156" s="4"/>
      <c r="U156" s="4"/>
      <c r="V156" s="4"/>
      <c r="W156" s="5"/>
      <c r="X156" s="4"/>
      <c r="Y156" s="4"/>
      <c r="Z156" s="6"/>
      <c r="AA156" s="6"/>
      <c r="AB156" s="6"/>
      <c r="AC156" s="6"/>
      <c r="AD156" s="6"/>
      <c r="AE156" s="6"/>
      <c r="AF156" s="7"/>
    </row>
    <row r="157" spans="1:32" s="3" customFormat="1" x14ac:dyDescent="0.25">
      <c r="A157" s="12" t="str">
        <f t="shared" si="61"/>
        <v>Subtotal</v>
      </c>
      <c r="B157" s="36"/>
      <c r="C157" s="13"/>
      <c r="D157" s="1"/>
      <c r="E157" s="24">
        <f>SUM(E152:E156)</f>
        <v>9.5731042228741556E-3</v>
      </c>
      <c r="F157" s="24">
        <f t="shared" ref="F157:M157" si="63">SUM(F152:F156)</f>
        <v>3.3618372560137021E-2</v>
      </c>
      <c r="G157" s="24">
        <f t="shared" si="63"/>
        <v>8.0838056549177389E-2</v>
      </c>
      <c r="H157" s="24">
        <f t="shared" si="63"/>
        <v>1.6854034334357469E-4</v>
      </c>
      <c r="I157" s="24">
        <f t="shared" si="63"/>
        <v>2.6649219624994376E-3</v>
      </c>
      <c r="J157" s="24">
        <f t="shared" si="63"/>
        <v>2.3717805466244991E-3</v>
      </c>
      <c r="K157" s="24">
        <f t="shared" si="63"/>
        <v>16.147494228746019</v>
      </c>
      <c r="L157" s="24">
        <f t="shared" si="63"/>
        <v>8.9963797244054259E-4</v>
      </c>
      <c r="M157" s="24">
        <f t="shared" si="63"/>
        <v>7.6796153721718522E-3</v>
      </c>
      <c r="O157" s="562"/>
      <c r="P157" s="562"/>
      <c r="Q157" s="4"/>
      <c r="R157" s="4"/>
      <c r="S157" s="4"/>
      <c r="T157" s="4"/>
      <c r="U157" s="4"/>
      <c r="V157" s="4"/>
      <c r="W157" s="5"/>
      <c r="X157" s="4"/>
      <c r="Y157" s="4"/>
      <c r="Z157" s="6"/>
      <c r="AA157" s="6"/>
      <c r="AB157" s="6"/>
      <c r="AC157" s="6"/>
      <c r="AD157" s="6"/>
      <c r="AE157" s="6"/>
      <c r="AF157" s="7"/>
    </row>
    <row r="158" spans="1:32" s="3" customFormat="1" x14ac:dyDescent="0.25">
      <c r="A158" s="137"/>
      <c r="B158" s="36"/>
      <c r="C158" s="13"/>
      <c r="D158" s="1"/>
      <c r="E158" s="30"/>
      <c r="F158" s="30"/>
      <c r="G158" s="30"/>
      <c r="H158" s="30"/>
      <c r="I158" s="30"/>
      <c r="J158" s="30"/>
      <c r="K158" s="30"/>
      <c r="L158" s="30"/>
      <c r="M158" s="30"/>
      <c r="O158" s="562"/>
      <c r="P158" s="562"/>
      <c r="Q158" s="4"/>
      <c r="R158" s="4"/>
      <c r="S158" s="4"/>
      <c r="T158" s="4"/>
      <c r="U158" s="4"/>
      <c r="V158" s="4"/>
      <c r="W158" s="5"/>
      <c r="X158" s="4"/>
      <c r="Y158" s="4"/>
      <c r="Z158" s="6"/>
      <c r="AA158" s="6"/>
      <c r="AB158" s="6"/>
      <c r="AC158" s="6"/>
      <c r="AD158" s="6"/>
      <c r="AE158" s="6"/>
      <c r="AF158" s="7"/>
    </row>
    <row r="159" spans="1:32" s="3" customFormat="1" x14ac:dyDescent="0.25">
      <c r="A159" s="12" t="str">
        <f t="shared" ref="A159:A172" si="64">A71</f>
        <v>Undergrounding Talega</v>
      </c>
      <c r="B159" s="36"/>
      <c r="C159" s="13"/>
      <c r="D159" s="1"/>
      <c r="E159" s="30"/>
      <c r="F159" s="30"/>
      <c r="G159" s="30"/>
      <c r="H159" s="30"/>
      <c r="I159" s="30"/>
      <c r="J159" s="30"/>
      <c r="K159" s="30"/>
      <c r="L159" s="30"/>
      <c r="M159" s="30"/>
      <c r="O159" s="562"/>
      <c r="P159" s="562"/>
      <c r="Q159" s="4"/>
      <c r="R159" s="4"/>
      <c r="S159" s="4"/>
      <c r="T159" s="4"/>
      <c r="U159" s="4"/>
      <c r="V159" s="4"/>
      <c r="W159" s="5"/>
      <c r="X159" s="4"/>
      <c r="Y159" s="4"/>
      <c r="Z159" s="6"/>
      <c r="AA159" s="6"/>
      <c r="AB159" s="6"/>
      <c r="AC159" s="6"/>
      <c r="AD159" s="6"/>
      <c r="AE159" s="6"/>
      <c r="AF159" s="7"/>
    </row>
    <row r="160" spans="1:32" s="3" customFormat="1" x14ac:dyDescent="0.25">
      <c r="A160" s="137" t="str">
        <f t="shared" si="64"/>
        <v>Concrete Saws</v>
      </c>
      <c r="B160" s="36"/>
      <c r="C160" s="13"/>
      <c r="D160" s="1"/>
      <c r="E160" s="30">
        <f t="shared" ref="E160:M171" si="65">(E72*$P72)/2000</f>
        <v>5.5112187202024292E-4</v>
      </c>
      <c r="F160" s="30">
        <f t="shared" si="65"/>
        <v>3.0571821768463812E-3</v>
      </c>
      <c r="G160" s="30">
        <f t="shared" si="65"/>
        <v>3.8935875804552464E-3</v>
      </c>
      <c r="H160" s="30">
        <f t="shared" si="65"/>
        <v>5.5668137993126293E-6</v>
      </c>
      <c r="I160" s="30">
        <f t="shared" si="65"/>
        <v>2.9670969352262451E-4</v>
      </c>
      <c r="J160" s="30">
        <f t="shared" si="65"/>
        <v>2.6407162723513579E-4</v>
      </c>
      <c r="K160" s="30">
        <f t="shared" si="65"/>
        <v>0.47455857660391743</v>
      </c>
      <c r="L160" s="30">
        <f t="shared" si="65"/>
        <v>5.1506374826911389E-5</v>
      </c>
      <c r="M160" s="30">
        <f t="shared" si="65"/>
        <v>3.698908201432484E-4</v>
      </c>
      <c r="O160" s="562"/>
      <c r="P160" s="562"/>
      <c r="Q160" s="4"/>
      <c r="R160" s="4"/>
      <c r="S160" s="4"/>
      <c r="T160" s="4"/>
      <c r="U160" s="4"/>
      <c r="V160" s="4"/>
      <c r="W160" s="5"/>
      <c r="X160" s="4"/>
      <c r="Y160" s="4"/>
      <c r="Z160" s="6"/>
      <c r="AA160" s="6"/>
      <c r="AB160" s="6"/>
      <c r="AC160" s="6"/>
      <c r="AD160" s="6"/>
      <c r="AE160" s="6"/>
      <c r="AF160" s="7"/>
    </row>
    <row r="161" spans="1:32" s="3" customFormat="1" x14ac:dyDescent="0.25">
      <c r="A161" s="137" t="str">
        <f t="shared" si="64"/>
        <v>CAT 416 Rubber Tire Backhoe</v>
      </c>
      <c r="B161" s="36"/>
      <c r="C161" s="13"/>
      <c r="D161" s="1"/>
      <c r="E161" s="30">
        <f t="shared" si="65"/>
        <v>1.0214590058567261E-3</v>
      </c>
      <c r="F161" s="30">
        <f t="shared" si="65"/>
        <v>5.1328950005690528E-3</v>
      </c>
      <c r="G161" s="30">
        <f t="shared" si="65"/>
        <v>6.4629639424114167E-3</v>
      </c>
      <c r="H161" s="30">
        <f t="shared" si="65"/>
        <v>8.8458972944485302E-6</v>
      </c>
      <c r="I161" s="30">
        <f t="shared" si="65"/>
        <v>5.2422679018199723E-4</v>
      </c>
      <c r="J161" s="30">
        <f t="shared" si="65"/>
        <v>4.665618432619776E-4</v>
      </c>
      <c r="K161" s="30">
        <f t="shared" si="65"/>
        <v>0.75409295379554764</v>
      </c>
      <c r="L161" s="30">
        <f t="shared" si="65"/>
        <v>9.6441282418943694E-5</v>
      </c>
      <c r="M161" s="30">
        <f t="shared" si="65"/>
        <v>6.1398157452908467E-4</v>
      </c>
      <c r="O161" s="562"/>
      <c r="P161" s="562"/>
      <c r="Q161" s="4"/>
      <c r="R161" s="4"/>
      <c r="S161" s="4"/>
      <c r="T161" s="4"/>
      <c r="U161" s="4"/>
      <c r="V161" s="4"/>
      <c r="W161" s="5"/>
      <c r="X161" s="4"/>
      <c r="Y161" s="4"/>
      <c r="Z161" s="6"/>
      <c r="AA161" s="6"/>
      <c r="AB161" s="6"/>
      <c r="AC161" s="6"/>
      <c r="AD161" s="6"/>
      <c r="AE161" s="6"/>
      <c r="AF161" s="7"/>
    </row>
    <row r="162" spans="1:32" s="3" customFormat="1" x14ac:dyDescent="0.25">
      <c r="A162" s="137" t="str">
        <f t="shared" si="64"/>
        <v>Skid Steer Loaders</v>
      </c>
      <c r="B162" s="36"/>
      <c r="C162" s="13"/>
      <c r="D162" s="1"/>
      <c r="E162" s="30">
        <f t="shared" si="65"/>
        <v>7.5671249503335026E-5</v>
      </c>
      <c r="F162" s="30">
        <f t="shared" si="65"/>
        <v>4.1864914688893807E-4</v>
      </c>
      <c r="G162" s="30">
        <f t="shared" si="65"/>
        <v>4.0682060887460363E-4</v>
      </c>
      <c r="H162" s="30">
        <f t="shared" si="65"/>
        <v>6.5979796439008709E-7</v>
      </c>
      <c r="I162" s="30">
        <f t="shared" si="65"/>
        <v>2.2211870575606265E-5</v>
      </c>
      <c r="J162" s="30">
        <f t="shared" si="65"/>
        <v>1.9768564812289577E-5</v>
      </c>
      <c r="K162" s="30">
        <f t="shared" si="65"/>
        <v>5.1038290676848549E-2</v>
      </c>
      <c r="L162" s="30">
        <f t="shared" si="65"/>
        <v>6.8276960941403782E-6</v>
      </c>
      <c r="M162" s="30">
        <f t="shared" si="65"/>
        <v>3.8647957843087348E-5</v>
      </c>
      <c r="O162" s="562"/>
      <c r="P162" s="562"/>
      <c r="Q162" s="4"/>
      <c r="R162" s="4"/>
      <c r="S162" s="4"/>
      <c r="T162" s="4"/>
      <c r="U162" s="4"/>
      <c r="V162" s="4"/>
      <c r="W162" s="5"/>
      <c r="X162" s="4"/>
      <c r="Y162" s="4"/>
      <c r="Z162" s="6"/>
      <c r="AA162" s="6"/>
      <c r="AB162" s="6"/>
      <c r="AC162" s="6"/>
      <c r="AD162" s="6"/>
      <c r="AE162" s="6"/>
      <c r="AF162" s="7"/>
    </row>
    <row r="163" spans="1:32" s="3" customFormat="1" x14ac:dyDescent="0.25">
      <c r="A163" s="137" t="str">
        <f t="shared" si="64"/>
        <v>Dump/Haul Truck</v>
      </c>
      <c r="B163" s="36"/>
      <c r="C163" s="13"/>
      <c r="D163" s="1"/>
      <c r="E163" s="30">
        <f t="shared" si="65"/>
        <v>2.1649162078466668E-3</v>
      </c>
      <c r="F163" s="30">
        <f t="shared" si="65"/>
        <v>6.7907603173778851E-3</v>
      </c>
      <c r="G163" s="30">
        <f t="shared" si="65"/>
        <v>1.7054149300935899E-2</v>
      </c>
      <c r="H163" s="30">
        <f t="shared" si="65"/>
        <v>3.3730584350641467E-5</v>
      </c>
      <c r="I163" s="30">
        <f t="shared" si="65"/>
        <v>5.6301728485679155E-4</v>
      </c>
      <c r="J163" s="30">
        <f t="shared" si="65"/>
        <v>5.0108538352254463E-4</v>
      </c>
      <c r="K163" s="30">
        <f t="shared" si="65"/>
        <v>2.9978171070203135</v>
      </c>
      <c r="L163" s="30">
        <f t="shared" si="65"/>
        <v>2.0326185753965072E-4</v>
      </c>
      <c r="M163" s="30">
        <f t="shared" si="65"/>
        <v>1.6201441835889104E-3</v>
      </c>
      <c r="O163" s="562"/>
      <c r="P163" s="562"/>
      <c r="Q163" s="4"/>
      <c r="R163" s="4"/>
      <c r="S163" s="4"/>
      <c r="T163" s="4"/>
      <c r="U163" s="4"/>
      <c r="V163" s="4"/>
      <c r="W163" s="5"/>
      <c r="X163" s="4"/>
      <c r="Y163" s="4"/>
      <c r="Z163" s="6"/>
      <c r="AA163" s="6"/>
      <c r="AB163" s="6"/>
      <c r="AC163" s="6"/>
      <c r="AD163" s="6"/>
      <c r="AE163" s="6"/>
      <c r="AF163" s="7"/>
    </row>
    <row r="164" spans="1:32" s="3" customFormat="1" x14ac:dyDescent="0.25">
      <c r="A164" s="137" t="str">
        <f t="shared" si="64"/>
        <v>Water Truck</v>
      </c>
      <c r="B164" s="36"/>
      <c r="C164" s="13"/>
      <c r="D164" s="1"/>
      <c r="E164" s="30">
        <f t="shared" si="65"/>
        <v>2.1585828745133337E-3</v>
      </c>
      <c r="F164" s="30">
        <f t="shared" si="65"/>
        <v>6.673141269758839E-3</v>
      </c>
      <c r="G164" s="30">
        <f t="shared" si="65"/>
        <v>1.6986292158078755E-2</v>
      </c>
      <c r="H164" s="30">
        <f t="shared" si="65"/>
        <v>3.3730584350641467E-5</v>
      </c>
      <c r="I164" s="30">
        <f t="shared" si="65"/>
        <v>5.6233871342822016E-4</v>
      </c>
      <c r="J164" s="30">
        <f t="shared" si="65"/>
        <v>5.0048145495111605E-4</v>
      </c>
      <c r="K164" s="30">
        <f t="shared" si="65"/>
        <v>2.9978171070203135</v>
      </c>
      <c r="L164" s="30">
        <f t="shared" si="65"/>
        <v>2.0326185753965072E-4</v>
      </c>
      <c r="M164" s="30">
        <f t="shared" si="65"/>
        <v>1.6136977550174818E-3</v>
      </c>
      <c r="O164" s="562"/>
      <c r="P164" s="562"/>
      <c r="Q164" s="4"/>
      <c r="R164" s="4"/>
      <c r="S164" s="4"/>
      <c r="T164" s="4"/>
      <c r="U164" s="4"/>
      <c r="V164" s="4"/>
      <c r="W164" s="5"/>
      <c r="X164" s="4"/>
      <c r="Y164" s="4"/>
      <c r="Z164" s="6"/>
      <c r="AA164" s="6"/>
      <c r="AB164" s="6"/>
      <c r="AC164" s="6"/>
      <c r="AD164" s="6"/>
      <c r="AE164" s="6"/>
      <c r="AF164" s="7"/>
    </row>
    <row r="165" spans="1:32" s="3" customFormat="1" x14ac:dyDescent="0.25">
      <c r="A165" s="137" t="str">
        <f t="shared" si="64"/>
        <v>Air Compressor</v>
      </c>
      <c r="B165" s="36"/>
      <c r="C165" s="13"/>
      <c r="D165" s="1"/>
      <c r="E165" s="30">
        <f t="shared" si="65"/>
        <v>5.9785371347305198E-5</v>
      </c>
      <c r="F165" s="30">
        <f t="shared" si="65"/>
        <v>1.9562979563042245E-4</v>
      </c>
      <c r="G165" s="30">
        <f t="shared" si="65"/>
        <v>1.7844364351503612E-4</v>
      </c>
      <c r="H165" s="30">
        <f t="shared" si="65"/>
        <v>2.3032944157074823E-7</v>
      </c>
      <c r="I165" s="30">
        <f t="shared" si="65"/>
        <v>1.477601994335713E-5</v>
      </c>
      <c r="J165" s="30">
        <f t="shared" si="65"/>
        <v>1.3150657749587846E-5</v>
      </c>
      <c r="K165" s="30">
        <f t="shared" si="65"/>
        <v>1.7817009208078272E-2</v>
      </c>
      <c r="L165" s="30">
        <f t="shared" si="65"/>
        <v>5.394337941977629E-6</v>
      </c>
      <c r="M165" s="30">
        <f t="shared" si="65"/>
        <v>1.6952146133928431E-5</v>
      </c>
      <c r="O165" s="562"/>
      <c r="P165" s="562"/>
      <c r="Q165" s="4"/>
      <c r="R165" s="4"/>
      <c r="S165" s="4"/>
      <c r="T165" s="4"/>
      <c r="U165" s="4"/>
      <c r="V165" s="4"/>
      <c r="W165" s="5"/>
      <c r="X165" s="4"/>
      <c r="Y165" s="4"/>
      <c r="Z165" s="6"/>
      <c r="AA165" s="6"/>
      <c r="AB165" s="6"/>
      <c r="AC165" s="6"/>
      <c r="AD165" s="6"/>
      <c r="AE165" s="6"/>
      <c r="AF165" s="7"/>
    </row>
    <row r="166" spans="1:32" s="3" customFormat="1" x14ac:dyDescent="0.25">
      <c r="A166" s="137" t="str">
        <f t="shared" si="64"/>
        <v>Compactor</v>
      </c>
      <c r="B166" s="36"/>
      <c r="C166" s="13"/>
      <c r="D166" s="1"/>
      <c r="E166" s="30">
        <f t="shared" si="65"/>
        <v>4.2637440788464802E-4</v>
      </c>
      <c r="F166" s="30">
        <f t="shared" si="65"/>
        <v>1.4674527789890403E-3</v>
      </c>
      <c r="G166" s="30">
        <f t="shared" si="65"/>
        <v>4.2230067241212487E-3</v>
      </c>
      <c r="H166" s="30">
        <f t="shared" si="65"/>
        <v>6.8900939955804325E-6</v>
      </c>
      <c r="I166" s="30">
        <f t="shared" si="65"/>
        <v>1.4052776490375006E-4</v>
      </c>
      <c r="J166" s="30">
        <f t="shared" si="65"/>
        <v>1.2506971076433753E-4</v>
      </c>
      <c r="K166" s="30">
        <f t="shared" si="65"/>
        <v>0.61235914290724358</v>
      </c>
      <c r="L166" s="30">
        <f t="shared" si="65"/>
        <v>3.9938910804600817E-5</v>
      </c>
      <c r="M166" s="30">
        <f t="shared" si="65"/>
        <v>4.0118563879151863E-4</v>
      </c>
      <c r="O166" s="562"/>
      <c r="P166" s="562"/>
      <c r="Q166" s="4"/>
      <c r="R166" s="4"/>
      <c r="S166" s="4"/>
      <c r="T166" s="4"/>
      <c r="U166" s="4"/>
      <c r="V166" s="4"/>
      <c r="W166" s="5"/>
      <c r="X166" s="4"/>
      <c r="Y166" s="4"/>
      <c r="Z166" s="6"/>
      <c r="AA166" s="6"/>
      <c r="AB166" s="6"/>
      <c r="AC166" s="6"/>
      <c r="AD166" s="6"/>
      <c r="AE166" s="6"/>
      <c r="AF166" s="7"/>
    </row>
    <row r="167" spans="1:32" s="3" customFormat="1" x14ac:dyDescent="0.25">
      <c r="A167" s="137" t="str">
        <f t="shared" si="64"/>
        <v>Handheld compactor</v>
      </c>
      <c r="B167" s="36"/>
      <c r="C167" s="13"/>
      <c r="D167" s="1"/>
      <c r="E167" s="30">
        <f t="shared" si="65"/>
        <v>1.1765479299563907E-5</v>
      </c>
      <c r="F167" s="30">
        <f t="shared" si="65"/>
        <v>5.8628979815285508E-5</v>
      </c>
      <c r="G167" s="30">
        <f t="shared" si="65"/>
        <v>6.9995902894833643E-5</v>
      </c>
      <c r="H167" s="30">
        <f t="shared" si="65"/>
        <v>1.5727914391920021E-7</v>
      </c>
      <c r="I167" s="30">
        <f t="shared" si="65"/>
        <v>2.7335443440029156E-6</v>
      </c>
      <c r="J167" s="30">
        <f t="shared" si="65"/>
        <v>2.432854466162595E-6</v>
      </c>
      <c r="K167" s="30">
        <f t="shared" si="65"/>
        <v>1.0107340281314988E-2</v>
      </c>
      <c r="L167" s="30">
        <f t="shared" si="65"/>
        <v>1.0615801987134305E-6</v>
      </c>
      <c r="M167" s="30">
        <f t="shared" si="65"/>
        <v>6.6496107750091959E-6</v>
      </c>
      <c r="O167" s="562"/>
      <c r="P167" s="562"/>
      <c r="Q167" s="4"/>
      <c r="R167" s="4"/>
      <c r="S167" s="4"/>
      <c r="T167" s="4"/>
      <c r="U167" s="4"/>
      <c r="V167" s="4"/>
      <c r="W167" s="5"/>
      <c r="X167" s="4"/>
      <c r="Y167" s="4"/>
      <c r="Z167" s="6"/>
      <c r="AA167" s="6"/>
      <c r="AB167" s="6"/>
      <c r="AC167" s="6"/>
      <c r="AD167" s="6"/>
      <c r="AE167" s="6"/>
      <c r="AF167" s="7"/>
    </row>
    <row r="168" spans="1:32" s="3" customFormat="1" x14ac:dyDescent="0.25">
      <c r="A168" s="137" t="str">
        <f t="shared" si="64"/>
        <v>Sprayer</v>
      </c>
      <c r="B168" s="36"/>
      <c r="C168" s="13"/>
      <c r="D168" s="1"/>
      <c r="E168" s="30">
        <f t="shared" si="65"/>
        <v>8.3557909444994071E-5</v>
      </c>
      <c r="F168" s="30">
        <f t="shared" si="65"/>
        <v>4.8027506625173495E-4</v>
      </c>
      <c r="G168" s="30">
        <f t="shared" si="65"/>
        <v>5.5987249313174138E-4</v>
      </c>
      <c r="H168" s="30">
        <f t="shared" si="65"/>
        <v>8.8025899780622722E-7</v>
      </c>
      <c r="I168" s="30">
        <f t="shared" si="65"/>
        <v>4.4270434389604658E-5</v>
      </c>
      <c r="J168" s="30">
        <f t="shared" si="65"/>
        <v>3.9400686606748151E-5</v>
      </c>
      <c r="K168" s="30">
        <f t="shared" si="65"/>
        <v>7.5040106767621961E-2</v>
      </c>
      <c r="L168" s="30">
        <f t="shared" si="65"/>
        <v>7.9361010948412893E-6</v>
      </c>
      <c r="M168" s="30">
        <f t="shared" si="65"/>
        <v>5.3187886847515432E-5</v>
      </c>
      <c r="O168" s="562"/>
      <c r="P168" s="562"/>
      <c r="Q168" s="4"/>
      <c r="R168" s="4"/>
      <c r="S168" s="4"/>
      <c r="T168" s="4"/>
      <c r="U168" s="4"/>
      <c r="V168" s="4"/>
      <c r="W168" s="5"/>
      <c r="X168" s="4"/>
      <c r="Y168" s="4"/>
      <c r="Z168" s="6"/>
      <c r="AA168" s="6"/>
      <c r="AB168" s="6"/>
      <c r="AC168" s="6"/>
      <c r="AD168" s="6"/>
      <c r="AE168" s="6"/>
      <c r="AF168" s="7"/>
    </row>
    <row r="169" spans="1:32" s="3" customFormat="1" x14ac:dyDescent="0.25">
      <c r="A169" s="137" t="str">
        <f t="shared" si="64"/>
        <v>Grinder</v>
      </c>
      <c r="B169" s="36"/>
      <c r="C169" s="13"/>
      <c r="D169" s="1"/>
      <c r="E169" s="30">
        <f t="shared" si="65"/>
        <v>3.3254801839840368E-4</v>
      </c>
      <c r="F169" s="30">
        <f t="shared" si="65"/>
        <v>1.609189196644725E-3</v>
      </c>
      <c r="G169" s="30">
        <f t="shared" si="65"/>
        <v>2.1015465489316243E-3</v>
      </c>
      <c r="H169" s="30">
        <f t="shared" si="65"/>
        <v>2.9258605342500479E-6</v>
      </c>
      <c r="I169" s="30">
        <f t="shared" si="65"/>
        <v>1.7933023643538199E-4</v>
      </c>
      <c r="J169" s="30">
        <f t="shared" si="65"/>
        <v>1.5960391042748999E-4</v>
      </c>
      <c r="K169" s="30">
        <f t="shared" si="65"/>
        <v>0.24942305387468303</v>
      </c>
      <c r="L169" s="30">
        <f t="shared" si="65"/>
        <v>3.1584500082303856E-5</v>
      </c>
      <c r="M169" s="30">
        <f t="shared" si="65"/>
        <v>1.9964692214850428E-4</v>
      </c>
      <c r="O169" s="562"/>
      <c r="P169" s="562"/>
      <c r="Q169" s="4"/>
      <c r="R169" s="4"/>
      <c r="S169" s="4"/>
      <c r="T169" s="4"/>
      <c r="U169" s="4"/>
      <c r="V169" s="4"/>
      <c r="W169" s="5"/>
      <c r="X169" s="4"/>
      <c r="Y169" s="4"/>
      <c r="Z169" s="6"/>
      <c r="AA169" s="6"/>
      <c r="AB169" s="6"/>
      <c r="AC169" s="6"/>
      <c r="AD169" s="6"/>
      <c r="AE169" s="6"/>
      <c r="AF169" s="7"/>
    </row>
    <row r="170" spans="1:32" s="3" customFormat="1" x14ac:dyDescent="0.25">
      <c r="A170" s="137" t="str">
        <f t="shared" si="64"/>
        <v>Spreader</v>
      </c>
      <c r="B170" s="36"/>
      <c r="C170" s="13"/>
      <c r="D170" s="1"/>
      <c r="E170" s="30">
        <f t="shared" si="65"/>
        <v>1.8406956956098483E-4</v>
      </c>
      <c r="F170" s="30">
        <f t="shared" si="65"/>
        <v>7.3934274727777431E-4</v>
      </c>
      <c r="G170" s="30">
        <f t="shared" si="65"/>
        <v>1.1160693213058523E-3</v>
      </c>
      <c r="H170" s="30">
        <f t="shared" si="65"/>
        <v>1.2786114476733084E-6</v>
      </c>
      <c r="I170" s="30">
        <f t="shared" si="65"/>
        <v>9.5495244864800358E-5</v>
      </c>
      <c r="J170" s="30">
        <f t="shared" si="65"/>
        <v>8.4990767929672323E-5</v>
      </c>
      <c r="K170" s="30">
        <f t="shared" si="65"/>
        <v>0.10899876094102234</v>
      </c>
      <c r="L170" s="30">
        <f t="shared" si="65"/>
        <v>1.7482419959517536E-5</v>
      </c>
      <c r="M170" s="30">
        <f t="shared" si="65"/>
        <v>1.0602658552405598E-4</v>
      </c>
      <c r="O170" s="562"/>
      <c r="P170" s="562"/>
      <c r="Q170" s="4"/>
      <c r="R170" s="4"/>
      <c r="S170" s="4"/>
      <c r="T170" s="4"/>
      <c r="U170" s="4"/>
      <c r="V170" s="4"/>
      <c r="W170" s="5"/>
      <c r="X170" s="4"/>
      <c r="Y170" s="4"/>
      <c r="Z170" s="6"/>
      <c r="AA170" s="6"/>
      <c r="AB170" s="6"/>
      <c r="AC170" s="6"/>
      <c r="AD170" s="6"/>
      <c r="AE170" s="6"/>
      <c r="AF170" s="7"/>
    </row>
    <row r="171" spans="1:32" s="3" customFormat="1" x14ac:dyDescent="0.25">
      <c r="A171" s="137" t="str">
        <f t="shared" si="64"/>
        <v>Signal Board</v>
      </c>
      <c r="B171" s="36"/>
      <c r="C171" s="13"/>
      <c r="D171" s="1"/>
      <c r="E171" s="30">
        <f t="shared" si="65"/>
        <v>1.1491052217287392E-4</v>
      </c>
      <c r="F171" s="30">
        <f t="shared" si="65"/>
        <v>5.7261463561896549E-4</v>
      </c>
      <c r="G171" s="30">
        <f t="shared" si="65"/>
        <v>6.8363270566896856E-4</v>
      </c>
      <c r="H171" s="30">
        <f t="shared" si="65"/>
        <v>1.5361064088595539E-6</v>
      </c>
      <c r="I171" s="30">
        <f t="shared" si="65"/>
        <v>2.6713222657700396E-5</v>
      </c>
      <c r="J171" s="30">
        <f t="shared" si="65"/>
        <v>2.3774768165353354E-5</v>
      </c>
      <c r="K171" s="30">
        <f t="shared" si="65"/>
        <v>9.8715896651887028E-2</v>
      </c>
      <c r="L171" s="30">
        <f t="shared" si="65"/>
        <v>1.0368190540317212E-5</v>
      </c>
      <c r="M171" s="30">
        <f t="shared" si="65"/>
        <v>6.4945107038552022E-5</v>
      </c>
      <c r="O171" s="562"/>
      <c r="P171" s="562"/>
      <c r="Q171" s="4"/>
      <c r="R171" s="4"/>
      <c r="S171" s="4"/>
      <c r="T171" s="4"/>
      <c r="U171" s="4"/>
      <c r="V171" s="4"/>
      <c r="W171" s="5"/>
      <c r="X171" s="4"/>
      <c r="Y171" s="4"/>
      <c r="Z171" s="6"/>
      <c r="AA171" s="6"/>
      <c r="AB171" s="6"/>
      <c r="AC171" s="6"/>
      <c r="AD171" s="6"/>
      <c r="AE171" s="6"/>
      <c r="AF171" s="7"/>
    </row>
    <row r="172" spans="1:32" s="3" customFormat="1" x14ac:dyDescent="0.25">
      <c r="A172" s="12" t="str">
        <f t="shared" si="64"/>
        <v>Subtotal</v>
      </c>
      <c r="B172" s="36"/>
      <c r="C172" s="13"/>
      <c r="D172" s="1"/>
      <c r="E172" s="24">
        <f>SUM(E160:E171)</f>
        <v>7.184762487849077E-3</v>
      </c>
      <c r="F172" s="24">
        <f t="shared" ref="F172:M172" si="66">SUM(F160:F171)</f>
        <v>2.7195761111669044E-2</v>
      </c>
      <c r="G172" s="24">
        <f t="shared" si="66"/>
        <v>5.3736380930325227E-2</v>
      </c>
      <c r="H172" s="24">
        <f t="shared" si="66"/>
        <v>9.643221772909368E-5</v>
      </c>
      <c r="I172" s="24">
        <f t="shared" si="66"/>
        <v>2.4723508201038367E-3</v>
      </c>
      <c r="J172" s="24">
        <f t="shared" si="66"/>
        <v>2.2003922298924152E-3</v>
      </c>
      <c r="K172" s="24">
        <f t="shared" si="66"/>
        <v>8.447785345748791</v>
      </c>
      <c r="L172" s="24">
        <f t="shared" si="66"/>
        <v>6.7506510904156861E-4</v>
      </c>
      <c r="M172" s="24">
        <f t="shared" si="66"/>
        <v>5.1049561883808967E-3</v>
      </c>
      <c r="O172" s="562"/>
      <c r="P172" s="562"/>
      <c r="Q172" s="4"/>
      <c r="R172" s="4"/>
      <c r="S172" s="4"/>
      <c r="T172" s="4"/>
      <c r="U172" s="4"/>
      <c r="V172" s="4"/>
      <c r="W172" s="5"/>
      <c r="X172" s="4"/>
      <c r="Y172" s="4"/>
      <c r="Z172" s="6"/>
      <c r="AA172" s="6"/>
      <c r="AB172" s="6"/>
      <c r="AC172" s="6"/>
      <c r="AD172" s="6"/>
      <c r="AE172" s="6"/>
      <c r="AF172" s="7"/>
    </row>
    <row r="173" spans="1:32" s="3" customFormat="1" x14ac:dyDescent="0.25">
      <c r="A173" s="137"/>
      <c r="B173" s="36"/>
      <c r="C173" s="13"/>
      <c r="D173" s="1"/>
      <c r="E173" s="30"/>
      <c r="F173" s="30"/>
      <c r="G173" s="30"/>
      <c r="H173" s="30"/>
      <c r="I173" s="30"/>
      <c r="J173" s="30"/>
      <c r="K173" s="30"/>
      <c r="L173" s="30"/>
      <c r="M173" s="30"/>
      <c r="O173" s="562"/>
      <c r="P173" s="562"/>
      <c r="Q173" s="4"/>
      <c r="R173" s="4"/>
      <c r="S173" s="4"/>
      <c r="T173" s="4"/>
      <c r="U173" s="4"/>
      <c r="V173" s="4"/>
      <c r="W173" s="5"/>
      <c r="X173" s="4"/>
      <c r="Y173" s="4"/>
      <c r="Z173" s="6"/>
      <c r="AA173" s="6"/>
      <c r="AB173" s="6"/>
      <c r="AC173" s="6"/>
      <c r="AD173" s="6"/>
      <c r="AE173" s="6"/>
      <c r="AF173" s="7"/>
    </row>
    <row r="174" spans="1:32" s="3" customFormat="1" x14ac:dyDescent="0.25">
      <c r="A174" s="12" t="str">
        <f>A86</f>
        <v>Conductor Pulling (UG) - Talega</v>
      </c>
      <c r="B174" s="36"/>
      <c r="C174" s="13"/>
      <c r="D174" s="1"/>
      <c r="E174" s="30"/>
      <c r="F174" s="30"/>
      <c r="G174" s="30"/>
      <c r="H174" s="30"/>
      <c r="I174" s="30"/>
      <c r="J174" s="30"/>
      <c r="K174" s="30"/>
      <c r="L174" s="30"/>
      <c r="M174" s="30"/>
      <c r="O174" s="562"/>
      <c r="P174" s="562"/>
      <c r="Q174" s="4"/>
      <c r="R174" s="4"/>
      <c r="S174" s="4"/>
      <c r="T174" s="4"/>
      <c r="U174" s="4"/>
      <c r="V174" s="4"/>
      <c r="W174" s="5"/>
      <c r="X174" s="4"/>
      <c r="Y174" s="4"/>
      <c r="Z174" s="6"/>
      <c r="AA174" s="6"/>
      <c r="AB174" s="6"/>
      <c r="AC174" s="6"/>
      <c r="AD174" s="6"/>
      <c r="AE174" s="6"/>
      <c r="AF174" s="7"/>
    </row>
    <row r="175" spans="1:32" s="3" customFormat="1" x14ac:dyDescent="0.25">
      <c r="A175" s="137" t="str">
        <f>A87</f>
        <v>Boom Truck</v>
      </c>
      <c r="B175" s="36"/>
      <c r="C175" s="13"/>
      <c r="D175" s="1"/>
      <c r="E175" s="30">
        <f t="shared" ref="E175:M177" si="67">(E87*$P87)/2000</f>
        <v>2.1649162078466668E-3</v>
      </c>
      <c r="F175" s="30">
        <f t="shared" si="67"/>
        <v>6.7907603173778851E-3</v>
      </c>
      <c r="G175" s="30">
        <f t="shared" si="67"/>
        <v>1.7054149300935899E-2</v>
      </c>
      <c r="H175" s="30">
        <f t="shared" si="67"/>
        <v>3.3730584350641467E-5</v>
      </c>
      <c r="I175" s="30">
        <f t="shared" si="67"/>
        <v>5.6301728485679155E-4</v>
      </c>
      <c r="J175" s="30">
        <f t="shared" si="67"/>
        <v>5.0108538352254463E-4</v>
      </c>
      <c r="K175" s="30">
        <f t="shared" si="67"/>
        <v>2.9978171070203135</v>
      </c>
      <c r="L175" s="30">
        <f t="shared" si="67"/>
        <v>2.0326185753965072E-4</v>
      </c>
      <c r="M175" s="30">
        <f t="shared" si="67"/>
        <v>1.6201441835889104E-3</v>
      </c>
      <c r="O175" s="562"/>
      <c r="P175" s="562"/>
      <c r="Q175" s="4"/>
      <c r="R175" s="4"/>
      <c r="S175" s="4"/>
      <c r="T175" s="4"/>
      <c r="U175" s="4"/>
      <c r="V175" s="4"/>
      <c r="W175" s="5"/>
      <c r="X175" s="4"/>
      <c r="Y175" s="4"/>
      <c r="Z175" s="6"/>
      <c r="AA175" s="6"/>
      <c r="AB175" s="6"/>
      <c r="AC175" s="6"/>
      <c r="AD175" s="6"/>
      <c r="AE175" s="6"/>
      <c r="AF175" s="7"/>
    </row>
    <row r="176" spans="1:32" s="3" customFormat="1" x14ac:dyDescent="0.25">
      <c r="A176" s="137" t="str">
        <f>A88</f>
        <v>Reel Trailer</v>
      </c>
      <c r="B176" s="36"/>
      <c r="C176" s="13"/>
      <c r="D176" s="1"/>
      <c r="E176" s="30">
        <f t="shared" si="67"/>
        <v>1.0107888306441332E-3</v>
      </c>
      <c r="F176" s="30">
        <f t="shared" si="67"/>
        <v>4.0606991345117568E-3</v>
      </c>
      <c r="G176" s="30">
        <f t="shared" si="67"/>
        <v>9.1852076379562563E-3</v>
      </c>
      <c r="H176" s="30">
        <f t="shared" si="67"/>
        <v>1.9963477005646948E-5</v>
      </c>
      <c r="I176" s="30">
        <f t="shared" si="67"/>
        <v>3.0091086512704123E-4</v>
      </c>
      <c r="J176" s="30">
        <f t="shared" si="67"/>
        <v>2.6781066996306669E-4</v>
      </c>
      <c r="K176" s="30">
        <f t="shared" si="67"/>
        <v>2.0339083657108046</v>
      </c>
      <c r="L176" s="30">
        <f t="shared" si="67"/>
        <v>9.4524512188449834E-5</v>
      </c>
      <c r="M176" s="30">
        <f t="shared" si="67"/>
        <v>8.7259472560584437E-4</v>
      </c>
      <c r="O176" s="562"/>
      <c r="P176" s="562"/>
      <c r="Q176" s="4"/>
      <c r="R176" s="4"/>
      <c r="S176" s="4"/>
      <c r="T176" s="4"/>
      <c r="U176" s="4"/>
      <c r="V176" s="4"/>
      <c r="W176" s="5"/>
      <c r="X176" s="4"/>
      <c r="Y176" s="4"/>
      <c r="Z176" s="6"/>
      <c r="AA176" s="6"/>
      <c r="AB176" s="6"/>
      <c r="AC176" s="6"/>
      <c r="AD176" s="6"/>
      <c r="AE176" s="6"/>
      <c r="AF176" s="7"/>
    </row>
    <row r="177" spans="1:32" s="3" customFormat="1" x14ac:dyDescent="0.25">
      <c r="A177" s="137" t="str">
        <f>A89</f>
        <v>Signal Board</v>
      </c>
      <c r="B177" s="36"/>
      <c r="C177" s="13"/>
      <c r="D177" s="1"/>
      <c r="E177" s="30">
        <f t="shared" si="67"/>
        <v>5.745526108643696E-5</v>
      </c>
      <c r="F177" s="30">
        <f t="shared" si="67"/>
        <v>2.8630731780948275E-4</v>
      </c>
      <c r="G177" s="30">
        <f t="shared" si="67"/>
        <v>3.4181635283448428E-4</v>
      </c>
      <c r="H177" s="30">
        <f t="shared" si="67"/>
        <v>7.6805320442977697E-7</v>
      </c>
      <c r="I177" s="30">
        <f t="shared" si="67"/>
        <v>1.3356611328850198E-5</v>
      </c>
      <c r="J177" s="30">
        <f t="shared" si="67"/>
        <v>1.1887384082676677E-5</v>
      </c>
      <c r="K177" s="30">
        <f t="shared" si="67"/>
        <v>4.9357948325943514E-2</v>
      </c>
      <c r="L177" s="30">
        <f t="shared" si="67"/>
        <v>5.1840952701586061E-6</v>
      </c>
      <c r="M177" s="30">
        <f t="shared" si="67"/>
        <v>3.2472553519276011E-5</v>
      </c>
      <c r="O177" s="562"/>
      <c r="P177" s="562"/>
      <c r="Q177" s="4"/>
      <c r="R177" s="4"/>
      <c r="S177" s="4"/>
      <c r="T177" s="4"/>
      <c r="U177" s="4"/>
      <c r="V177" s="4"/>
      <c r="W177" s="5"/>
      <c r="X177" s="4"/>
      <c r="Y177" s="4"/>
      <c r="Z177" s="6"/>
      <c r="AA177" s="6"/>
      <c r="AB177" s="6"/>
      <c r="AC177" s="6"/>
      <c r="AD177" s="6"/>
      <c r="AE177" s="6"/>
      <c r="AF177" s="7"/>
    </row>
    <row r="178" spans="1:32" s="3" customFormat="1" x14ac:dyDescent="0.25">
      <c r="A178" s="12" t="str">
        <f>A90</f>
        <v>Subtotal</v>
      </c>
      <c r="B178" s="36"/>
      <c r="C178" s="13"/>
      <c r="D178" s="1"/>
      <c r="E178" s="24">
        <f t="shared" ref="E178:M178" si="68">SUM(E175:E177)</f>
        <v>3.2331602995772368E-3</v>
      </c>
      <c r="F178" s="24">
        <f t="shared" si="68"/>
        <v>1.1137766769699124E-2</v>
      </c>
      <c r="G178" s="24">
        <f t="shared" si="68"/>
        <v>2.6581173291726642E-2</v>
      </c>
      <c r="H178" s="24">
        <f t="shared" si="68"/>
        <v>5.4462114560718193E-5</v>
      </c>
      <c r="I178" s="24">
        <f t="shared" si="68"/>
        <v>8.7728476131268302E-4</v>
      </c>
      <c r="J178" s="24">
        <f t="shared" si="68"/>
        <v>7.8078343756828809E-4</v>
      </c>
      <c r="K178" s="24">
        <f t="shared" si="68"/>
        <v>5.0810834210570617</v>
      </c>
      <c r="L178" s="24">
        <f t="shared" si="68"/>
        <v>3.0297046499825914E-4</v>
      </c>
      <c r="M178" s="24">
        <f t="shared" si="68"/>
        <v>2.5252114627140306E-3</v>
      </c>
      <c r="O178" s="562"/>
      <c r="P178" s="562"/>
      <c r="Q178" s="4"/>
      <c r="R178" s="4"/>
      <c r="S178" s="4"/>
      <c r="T178" s="4"/>
      <c r="U178" s="4"/>
      <c r="V178" s="4"/>
      <c r="W178" s="5"/>
      <c r="X178" s="4"/>
      <c r="Y178" s="4"/>
      <c r="Z178" s="6"/>
      <c r="AA178" s="6"/>
      <c r="AB178" s="6"/>
      <c r="AC178" s="6"/>
      <c r="AD178" s="6"/>
      <c r="AE178" s="6"/>
      <c r="AF178" s="7"/>
    </row>
    <row r="179" spans="1:32" s="3" customFormat="1" x14ac:dyDescent="0.25">
      <c r="A179" s="137"/>
      <c r="B179" s="36"/>
      <c r="C179" s="13"/>
      <c r="D179" s="1"/>
      <c r="E179" s="30"/>
      <c r="F179" s="30"/>
      <c r="G179" s="30"/>
      <c r="H179" s="30"/>
      <c r="I179" s="30"/>
      <c r="J179" s="30"/>
      <c r="K179" s="30"/>
      <c r="L179" s="30"/>
      <c r="M179" s="30"/>
      <c r="O179" s="562"/>
      <c r="P179" s="562"/>
      <c r="Q179" s="4"/>
      <c r="R179" s="4"/>
      <c r="S179" s="4"/>
      <c r="T179" s="4"/>
      <c r="U179" s="4"/>
      <c r="V179" s="4"/>
      <c r="W179" s="5"/>
      <c r="X179" s="4"/>
      <c r="Y179" s="4"/>
      <c r="Z179" s="6"/>
      <c r="AA179" s="6"/>
      <c r="AB179" s="6"/>
      <c r="AC179" s="6"/>
      <c r="AD179" s="6"/>
      <c r="AE179" s="6"/>
      <c r="AF179" s="7"/>
    </row>
    <row r="180" spans="1:32" x14ac:dyDescent="0.25">
      <c r="A180" s="19" t="s">
        <v>117</v>
      </c>
      <c r="B180" s="560"/>
      <c r="C180" s="576"/>
      <c r="D180" s="560"/>
      <c r="E180" s="22">
        <f>E108+E114+E120+E126+E136+E143+E149+E157+E172+E178</f>
        <v>0.20318439764097404</v>
      </c>
      <c r="F180" s="22">
        <f t="shared" ref="F180:M180" si="69">F108+F114+F120+F126+F136+F143+F149+F157+F172+F178</f>
        <v>0.91861206967902931</v>
      </c>
      <c r="G180" s="22">
        <f t="shared" si="69"/>
        <v>1.4810609339842902</v>
      </c>
      <c r="H180" s="22">
        <f t="shared" si="69"/>
        <v>2.4752914229240011E-3</v>
      </c>
      <c r="I180" s="22">
        <f t="shared" si="69"/>
        <v>8.3664068724272345E-2</v>
      </c>
      <c r="J180" s="22">
        <f t="shared" si="69"/>
        <v>7.4461021164602403E-2</v>
      </c>
      <c r="K180" s="22">
        <f t="shared" si="69"/>
        <v>217.37604196702125</v>
      </c>
      <c r="L180" s="22">
        <f t="shared" si="69"/>
        <v>1.9065787697757505E-2</v>
      </c>
      <c r="M180" s="22">
        <f t="shared" si="69"/>
        <v>0.14070078872850755</v>
      </c>
    </row>
  </sheetData>
  <mergeCells count="3">
    <mergeCell ref="E3:L3"/>
    <mergeCell ref="Q3:X3"/>
    <mergeCell ref="E93:L93"/>
  </mergeCells>
  <pageMargins left="0.75" right="0.75" top="1" bottom="1" header="0.5" footer="0.5"/>
  <pageSetup scale="20" orientation="landscape" r:id="rId1"/>
  <headerFooter alignWithMargins="0">
    <oddHeader xml:space="preserve">&amp;CTable A-3
Construction Heavy Equipment Emissions
South Orange County Reliability Project
Construct 12kV Distribution Circuits </oddHeader>
    <oddFooter>&amp;CA-3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19"/>
  <sheetViews>
    <sheetView topLeftCell="A16" zoomScale="85" zoomScaleNormal="85" workbookViewId="0">
      <selection activeCell="A22" sqref="A22"/>
    </sheetView>
  </sheetViews>
  <sheetFormatPr defaultColWidth="9.109375" defaultRowHeight="13.2" x14ac:dyDescent="0.25"/>
  <cols>
    <col min="1" max="1" width="33" style="41" customWidth="1"/>
    <col min="2" max="3" width="22.44140625" style="41" customWidth="1"/>
    <col min="4" max="4" width="11.109375" style="41" customWidth="1"/>
    <col min="5" max="5" width="10.109375" style="41" bestFit="1" customWidth="1"/>
    <col min="6" max="29" width="9.109375" style="41"/>
    <col min="30" max="30" width="11.5546875" style="41" bestFit="1" customWidth="1"/>
    <col min="31" max="31" width="9.109375" style="41"/>
    <col min="32" max="32" width="11.5546875" style="41" bestFit="1" customWidth="1"/>
    <col min="33" max="43" width="9.109375" style="41"/>
    <col min="44" max="44" width="12.5546875" style="41" customWidth="1"/>
    <col min="45" max="45" width="10.6640625" style="41" customWidth="1"/>
    <col min="46" max="46" width="9.109375" style="41"/>
    <col min="47" max="50" width="10.6640625" style="41" customWidth="1"/>
    <col min="51" max="52" width="9.109375" style="41"/>
    <col min="53" max="53" width="9.109375" style="43"/>
    <col min="54" max="16384" width="9.109375" style="41"/>
  </cols>
  <sheetData>
    <row r="1" spans="1:32" x14ac:dyDescent="0.25">
      <c r="A1" s="40"/>
      <c r="E1" s="42"/>
      <c r="F1" s="42"/>
    </row>
    <row r="2" spans="1:32" ht="26.25" customHeight="1" x14ac:dyDescent="0.35">
      <c r="A2" s="713" t="s">
        <v>132</v>
      </c>
      <c r="B2" s="713" t="s">
        <v>63</v>
      </c>
      <c r="C2" s="44" t="s">
        <v>115</v>
      </c>
      <c r="D2" s="44"/>
      <c r="E2" s="44" t="s">
        <v>64</v>
      </c>
      <c r="F2" s="44" t="s">
        <v>65</v>
      </c>
      <c r="G2" s="722" t="s">
        <v>66</v>
      </c>
      <c r="H2" s="723"/>
      <c r="I2" s="722" t="s">
        <v>67</v>
      </c>
      <c r="J2" s="723"/>
      <c r="K2" s="720" t="s">
        <v>68</v>
      </c>
      <c r="L2" s="720"/>
      <c r="M2" s="720"/>
      <c r="N2" s="720"/>
      <c r="O2" s="720"/>
      <c r="P2" s="720"/>
      <c r="Q2" s="722" t="s">
        <v>69</v>
      </c>
      <c r="R2" s="723"/>
      <c r="S2" s="720" t="s">
        <v>70</v>
      </c>
      <c r="T2" s="721"/>
      <c r="U2" s="721"/>
      <c r="V2" s="721"/>
      <c r="W2" s="720" t="s">
        <v>71</v>
      </c>
      <c r="X2" s="721"/>
      <c r="Y2" s="721"/>
      <c r="Z2" s="721"/>
      <c r="AA2" s="722" t="s">
        <v>72</v>
      </c>
      <c r="AB2" s="723"/>
      <c r="AC2" s="720" t="s">
        <v>73</v>
      </c>
      <c r="AD2" s="720"/>
      <c r="AE2" s="720" t="s">
        <v>74</v>
      </c>
      <c r="AF2" s="720"/>
    </row>
    <row r="3" spans="1:32" ht="66" x14ac:dyDescent="0.25">
      <c r="A3" s="714"/>
      <c r="B3" s="714"/>
      <c r="C3" s="50" t="s">
        <v>77</v>
      </c>
      <c r="D3" s="50" t="s">
        <v>575</v>
      </c>
      <c r="E3" s="50" t="s">
        <v>78</v>
      </c>
      <c r="F3" s="50" t="s">
        <v>79</v>
      </c>
      <c r="G3" s="556" t="s">
        <v>80</v>
      </c>
      <c r="H3" s="51" t="s">
        <v>180</v>
      </c>
      <c r="I3" s="50" t="s">
        <v>80</v>
      </c>
      <c r="J3" s="51" t="s">
        <v>180</v>
      </c>
      <c r="K3" s="50" t="s">
        <v>80</v>
      </c>
      <c r="L3" s="51" t="s">
        <v>180</v>
      </c>
      <c r="M3" s="51" t="s">
        <v>177</v>
      </c>
      <c r="N3" s="51" t="s">
        <v>179</v>
      </c>
      <c r="O3" s="51" t="s">
        <v>81</v>
      </c>
      <c r="P3" s="51" t="s">
        <v>178</v>
      </c>
      <c r="Q3" s="50" t="s">
        <v>80</v>
      </c>
      <c r="R3" s="51" t="s">
        <v>180</v>
      </c>
      <c r="S3" s="557" t="s">
        <v>80</v>
      </c>
      <c r="T3" s="51" t="s">
        <v>180</v>
      </c>
      <c r="U3" s="557" t="s">
        <v>82</v>
      </c>
      <c r="V3" s="557" t="s">
        <v>83</v>
      </c>
      <c r="W3" s="557" t="s">
        <v>80</v>
      </c>
      <c r="X3" s="51" t="s">
        <v>180</v>
      </c>
      <c r="Y3" s="557" t="s">
        <v>82</v>
      </c>
      <c r="Z3" s="557" t="s">
        <v>83</v>
      </c>
      <c r="AA3" s="50" t="s">
        <v>80</v>
      </c>
      <c r="AB3" s="51" t="s">
        <v>180</v>
      </c>
      <c r="AC3" s="557" t="s">
        <v>80</v>
      </c>
      <c r="AD3" s="51" t="s">
        <v>180</v>
      </c>
      <c r="AE3" s="557" t="s">
        <v>80</v>
      </c>
      <c r="AF3" s="51" t="s">
        <v>180</v>
      </c>
    </row>
    <row r="4" spans="1:32" x14ac:dyDescent="0.25">
      <c r="A4" s="53" t="s">
        <v>602</v>
      </c>
      <c r="B4" s="54" t="s">
        <v>116</v>
      </c>
      <c r="C4" s="55">
        <v>15</v>
      </c>
      <c r="D4" s="55">
        <v>2015</v>
      </c>
      <c r="E4" s="55">
        <v>35</v>
      </c>
      <c r="F4" s="55">
        <v>80</v>
      </c>
      <c r="G4" s="56">
        <v>3.0540067443121601</v>
      </c>
      <c r="H4" s="57">
        <v>32.183029189999999</v>
      </c>
      <c r="I4" s="57">
        <v>0.28811046660249001</v>
      </c>
      <c r="J4" s="57">
        <v>1.9003883589999999</v>
      </c>
      <c r="K4" s="56">
        <v>8.2025139740216704E-2</v>
      </c>
      <c r="L4" s="57">
        <v>2.492536673</v>
      </c>
      <c r="M4" s="57">
        <v>1.757790612</v>
      </c>
      <c r="N4" s="57">
        <v>0.75698741700000005</v>
      </c>
      <c r="O4" s="57">
        <v>0.18077990199999999</v>
      </c>
      <c r="P4" s="57">
        <v>0.98237260400000004</v>
      </c>
      <c r="Q4" s="57">
        <v>4.040465E-3</v>
      </c>
      <c r="R4" s="57">
        <v>5.7274889999999997E-3</v>
      </c>
      <c r="S4" s="56">
        <v>4.0699807541105604E-3</v>
      </c>
      <c r="T4" s="57">
        <v>3.0195842000000001E-2</v>
      </c>
      <c r="U4" s="57">
        <v>7.9999583995993707E-3</v>
      </c>
      <c r="V4" s="57">
        <v>3.6749815874576097E-2</v>
      </c>
      <c r="W4" s="57">
        <v>3.7351703299460101E-3</v>
      </c>
      <c r="X4" s="57">
        <v>2.7764032000000001E-2</v>
      </c>
      <c r="Y4" s="57">
        <v>1.9999896010969099E-3</v>
      </c>
      <c r="Z4" s="57">
        <v>1.57499197860352E-2</v>
      </c>
      <c r="AA4" s="57">
        <v>325.56318320819901</v>
      </c>
      <c r="AB4" s="57">
        <v>463.96295570000001</v>
      </c>
      <c r="AC4" s="56">
        <v>1.77E-2</v>
      </c>
      <c r="AD4" s="56">
        <f t="shared" ref="AD4:AD19" si="0">0.000049261*AB4</f>
        <v>2.28552791607377E-2</v>
      </c>
      <c r="AE4" s="58">
        <v>3.2599999999999997E-2</v>
      </c>
      <c r="AF4" s="56">
        <f t="shared" ref="AF4:AF19" si="1">0.000021675*AB4</f>
        <v>1.0056397064797501E-2</v>
      </c>
    </row>
    <row r="5" spans="1:32" x14ac:dyDescent="0.25">
      <c r="A5" s="53" t="s">
        <v>584</v>
      </c>
      <c r="B5" s="54" t="s">
        <v>116</v>
      </c>
      <c r="C5" s="55">
        <v>8</v>
      </c>
      <c r="D5" s="55">
        <v>2015</v>
      </c>
      <c r="E5" s="55">
        <v>35</v>
      </c>
      <c r="F5" s="55">
        <v>80</v>
      </c>
      <c r="G5" s="56">
        <v>3.0540067443121601</v>
      </c>
      <c r="H5" s="57">
        <v>32.183029189999999</v>
      </c>
      <c r="I5" s="57">
        <v>0.28811046660249001</v>
      </c>
      <c r="J5" s="57">
        <v>1.9003883589999999</v>
      </c>
      <c r="K5" s="56">
        <v>8.2025139740216704E-2</v>
      </c>
      <c r="L5" s="57">
        <v>2.492536673</v>
      </c>
      <c r="M5" s="57">
        <v>1.757790612</v>
      </c>
      <c r="N5" s="57">
        <v>0.75698741700000005</v>
      </c>
      <c r="O5" s="57">
        <v>0.18077990199999999</v>
      </c>
      <c r="P5" s="57">
        <v>0.98237260400000004</v>
      </c>
      <c r="Q5" s="57">
        <v>4.040465E-3</v>
      </c>
      <c r="R5" s="57">
        <v>5.7274889999999997E-3</v>
      </c>
      <c r="S5" s="56">
        <v>4.0699807541105604E-3</v>
      </c>
      <c r="T5" s="57">
        <v>3.0195842000000001E-2</v>
      </c>
      <c r="U5" s="57">
        <v>7.9999583995993707E-3</v>
      </c>
      <c r="V5" s="57">
        <v>3.6749815874576097E-2</v>
      </c>
      <c r="W5" s="57">
        <v>3.7351703299460101E-3</v>
      </c>
      <c r="X5" s="57">
        <v>2.7764032000000001E-2</v>
      </c>
      <c r="Y5" s="57">
        <v>1.9999896010969099E-3</v>
      </c>
      <c r="Z5" s="57">
        <v>1.57499197860352E-2</v>
      </c>
      <c r="AA5" s="57">
        <v>325.56318320819901</v>
      </c>
      <c r="AB5" s="57">
        <v>463.96295570000001</v>
      </c>
      <c r="AC5" s="56">
        <v>1.77E-2</v>
      </c>
      <c r="AD5" s="56">
        <f t="shared" si="0"/>
        <v>2.28552791607377E-2</v>
      </c>
      <c r="AE5" s="58">
        <v>3.2599999999999997E-2</v>
      </c>
      <c r="AF5" s="56">
        <f t="shared" si="1"/>
        <v>1.0056397064797501E-2</v>
      </c>
    </row>
    <row r="6" spans="1:32" x14ac:dyDescent="0.25">
      <c r="A6" s="53" t="s">
        <v>603</v>
      </c>
      <c r="B6" s="54" t="s">
        <v>116</v>
      </c>
      <c r="C6" s="55">
        <v>12</v>
      </c>
      <c r="D6" s="55">
        <v>2015</v>
      </c>
      <c r="E6" s="55">
        <v>35</v>
      </c>
      <c r="F6" s="55">
        <v>80</v>
      </c>
      <c r="G6" s="56">
        <v>3.0540067443121601</v>
      </c>
      <c r="H6" s="57">
        <v>32.183029189999999</v>
      </c>
      <c r="I6" s="57">
        <v>0.28811046660249001</v>
      </c>
      <c r="J6" s="57">
        <v>1.9003883589999999</v>
      </c>
      <c r="K6" s="56">
        <v>8.2025139740216704E-2</v>
      </c>
      <c r="L6" s="57">
        <v>2.492536673</v>
      </c>
      <c r="M6" s="57">
        <v>1.757790612</v>
      </c>
      <c r="N6" s="57">
        <v>0.75698741700000005</v>
      </c>
      <c r="O6" s="57">
        <v>0.18077990199999999</v>
      </c>
      <c r="P6" s="57">
        <v>0.98237260400000004</v>
      </c>
      <c r="Q6" s="57">
        <v>4.040465E-3</v>
      </c>
      <c r="R6" s="57">
        <v>5.7274889999999997E-3</v>
      </c>
      <c r="S6" s="56">
        <v>4.0699807541105604E-3</v>
      </c>
      <c r="T6" s="57">
        <v>3.0195842000000001E-2</v>
      </c>
      <c r="U6" s="57">
        <v>7.9999583995993707E-3</v>
      </c>
      <c r="V6" s="57">
        <v>3.6749815874576097E-2</v>
      </c>
      <c r="W6" s="57">
        <v>3.7351703299460101E-3</v>
      </c>
      <c r="X6" s="57">
        <v>2.7764032000000001E-2</v>
      </c>
      <c r="Y6" s="57">
        <v>1.9999896010969099E-3</v>
      </c>
      <c r="Z6" s="57">
        <v>1.57499197860352E-2</v>
      </c>
      <c r="AA6" s="57">
        <v>325.56318320819901</v>
      </c>
      <c r="AB6" s="57">
        <v>463.96295570000001</v>
      </c>
      <c r="AC6" s="56">
        <v>1.77E-2</v>
      </c>
      <c r="AD6" s="56">
        <f t="shared" si="0"/>
        <v>2.28552791607377E-2</v>
      </c>
      <c r="AE6" s="58">
        <v>3.2599999999999997E-2</v>
      </c>
      <c r="AF6" s="56">
        <f t="shared" si="1"/>
        <v>1.0056397064797501E-2</v>
      </c>
    </row>
    <row r="7" spans="1:32" x14ac:dyDescent="0.25">
      <c r="A7" s="53" t="s">
        <v>586</v>
      </c>
      <c r="B7" s="54" t="s">
        <v>116</v>
      </c>
      <c r="C7" s="55">
        <v>12</v>
      </c>
      <c r="D7" s="55">
        <v>2015</v>
      </c>
      <c r="E7" s="55">
        <v>35</v>
      </c>
      <c r="F7" s="55">
        <v>80</v>
      </c>
      <c r="G7" s="56">
        <v>3.0540067443121601</v>
      </c>
      <c r="H7" s="57">
        <v>32.183029189999999</v>
      </c>
      <c r="I7" s="57">
        <v>0.28811046660249001</v>
      </c>
      <c r="J7" s="57">
        <v>1.9003883589999999</v>
      </c>
      <c r="K7" s="56">
        <v>8.2025139740216704E-2</v>
      </c>
      <c r="L7" s="57">
        <v>2.492536673</v>
      </c>
      <c r="M7" s="57">
        <v>1.757790612</v>
      </c>
      <c r="N7" s="57">
        <v>0.75698741700000005</v>
      </c>
      <c r="O7" s="57">
        <v>0.18077990199999999</v>
      </c>
      <c r="P7" s="57">
        <v>0.98237260400000004</v>
      </c>
      <c r="Q7" s="57">
        <v>4.040465E-3</v>
      </c>
      <c r="R7" s="57">
        <v>5.7274889999999997E-3</v>
      </c>
      <c r="S7" s="56">
        <v>4.0699807541105604E-3</v>
      </c>
      <c r="T7" s="57">
        <v>3.0195842000000001E-2</v>
      </c>
      <c r="U7" s="57">
        <v>7.9999583995993707E-3</v>
      </c>
      <c r="V7" s="57">
        <v>3.6749815874576097E-2</v>
      </c>
      <c r="W7" s="57">
        <v>3.7351703299460101E-3</v>
      </c>
      <c r="X7" s="57">
        <v>2.7764032000000001E-2</v>
      </c>
      <c r="Y7" s="57">
        <v>1.9999896010969099E-3</v>
      </c>
      <c r="Z7" s="57">
        <v>1.57499197860352E-2</v>
      </c>
      <c r="AA7" s="57">
        <v>325.56318320819901</v>
      </c>
      <c r="AB7" s="57">
        <v>463.96295570000001</v>
      </c>
      <c r="AC7" s="56">
        <v>1.77E-2</v>
      </c>
      <c r="AD7" s="56">
        <f t="shared" si="0"/>
        <v>2.28552791607377E-2</v>
      </c>
      <c r="AE7" s="58">
        <v>3.2599999999999997E-2</v>
      </c>
      <c r="AF7" s="56">
        <f t="shared" si="1"/>
        <v>1.0056397064797501E-2</v>
      </c>
    </row>
    <row r="8" spans="1:32" x14ac:dyDescent="0.25">
      <c r="A8" s="53" t="s">
        <v>588</v>
      </c>
      <c r="B8" s="54" t="s">
        <v>116</v>
      </c>
      <c r="C8" s="55">
        <v>12</v>
      </c>
      <c r="D8" s="55">
        <v>2015</v>
      </c>
      <c r="E8" s="55">
        <v>35</v>
      </c>
      <c r="F8" s="55">
        <v>80</v>
      </c>
      <c r="G8" s="56">
        <v>3.0540067443121601</v>
      </c>
      <c r="H8" s="57">
        <v>32.183029189999999</v>
      </c>
      <c r="I8" s="57">
        <v>0.28811046660249001</v>
      </c>
      <c r="J8" s="57">
        <v>1.9003883589999999</v>
      </c>
      <c r="K8" s="56">
        <v>8.2025139740216704E-2</v>
      </c>
      <c r="L8" s="57">
        <v>2.492536673</v>
      </c>
      <c r="M8" s="57">
        <v>1.757790612</v>
      </c>
      <c r="N8" s="57">
        <v>0.75698741700000005</v>
      </c>
      <c r="O8" s="57">
        <v>0.18077990199999999</v>
      </c>
      <c r="P8" s="57">
        <v>0.98237260400000004</v>
      </c>
      <c r="Q8" s="57">
        <v>4.040465E-3</v>
      </c>
      <c r="R8" s="57">
        <v>5.7274889999999997E-3</v>
      </c>
      <c r="S8" s="56">
        <v>4.0699807541105604E-3</v>
      </c>
      <c r="T8" s="57">
        <v>3.0195842000000001E-2</v>
      </c>
      <c r="U8" s="57">
        <v>7.9999583995993707E-3</v>
      </c>
      <c r="V8" s="57">
        <v>3.6749815874576097E-2</v>
      </c>
      <c r="W8" s="57">
        <v>3.7351703299460101E-3</v>
      </c>
      <c r="X8" s="57">
        <v>2.7764032000000001E-2</v>
      </c>
      <c r="Y8" s="57">
        <v>1.9999896010969099E-3</v>
      </c>
      <c r="Z8" s="57">
        <v>1.57499197860352E-2</v>
      </c>
      <c r="AA8" s="57">
        <v>325.56318320819901</v>
      </c>
      <c r="AB8" s="57">
        <v>463.96295570000001</v>
      </c>
      <c r="AC8" s="56">
        <v>1.77E-2</v>
      </c>
      <c r="AD8" s="56">
        <f t="shared" si="0"/>
        <v>2.28552791607377E-2</v>
      </c>
      <c r="AE8" s="58">
        <v>3.2599999999999997E-2</v>
      </c>
      <c r="AF8" s="56">
        <f t="shared" si="1"/>
        <v>1.0056397064797501E-2</v>
      </c>
    </row>
    <row r="9" spans="1:32" x14ac:dyDescent="0.25">
      <c r="A9" s="53" t="s">
        <v>590</v>
      </c>
      <c r="B9" s="54" t="s">
        <v>116</v>
      </c>
      <c r="C9" s="55">
        <v>12</v>
      </c>
      <c r="D9" s="55">
        <v>2015</v>
      </c>
      <c r="E9" s="55">
        <v>35</v>
      </c>
      <c r="F9" s="55">
        <v>80</v>
      </c>
      <c r="G9" s="56">
        <v>3.0540067443121601</v>
      </c>
      <c r="H9" s="57">
        <v>32.183029189999999</v>
      </c>
      <c r="I9" s="57">
        <v>0.28811046660249001</v>
      </c>
      <c r="J9" s="57">
        <v>1.9003883589999999</v>
      </c>
      <c r="K9" s="56">
        <v>8.2025139740216704E-2</v>
      </c>
      <c r="L9" s="57">
        <v>2.492536673</v>
      </c>
      <c r="M9" s="57">
        <v>1.757790612</v>
      </c>
      <c r="N9" s="57">
        <v>0.75698741700000005</v>
      </c>
      <c r="O9" s="57">
        <v>0.18077990199999999</v>
      </c>
      <c r="P9" s="57">
        <v>0.98237260400000004</v>
      </c>
      <c r="Q9" s="57">
        <v>4.040465E-3</v>
      </c>
      <c r="R9" s="57">
        <v>5.7274889999999997E-3</v>
      </c>
      <c r="S9" s="56">
        <v>4.0699807541105604E-3</v>
      </c>
      <c r="T9" s="57">
        <v>3.0195842000000001E-2</v>
      </c>
      <c r="U9" s="57">
        <v>7.9999583995993707E-3</v>
      </c>
      <c r="V9" s="57">
        <v>3.6749815874576097E-2</v>
      </c>
      <c r="W9" s="57">
        <v>3.7351703299460101E-3</v>
      </c>
      <c r="X9" s="57">
        <v>2.7764032000000001E-2</v>
      </c>
      <c r="Y9" s="57">
        <v>1.9999896010969099E-3</v>
      </c>
      <c r="Z9" s="57">
        <v>1.57499197860352E-2</v>
      </c>
      <c r="AA9" s="57">
        <v>325.56318320819901</v>
      </c>
      <c r="AB9" s="57">
        <v>463.96295570000001</v>
      </c>
      <c r="AC9" s="56">
        <v>1.77E-2</v>
      </c>
      <c r="AD9" s="56">
        <f t="shared" si="0"/>
        <v>2.28552791607377E-2</v>
      </c>
      <c r="AE9" s="58">
        <v>3.2599999999999997E-2</v>
      </c>
      <c r="AF9" s="56">
        <f t="shared" si="1"/>
        <v>1.0056397064797501E-2</v>
      </c>
    </row>
    <row r="10" spans="1:32" x14ac:dyDescent="0.25">
      <c r="A10" s="53" t="s">
        <v>591</v>
      </c>
      <c r="B10" s="54" t="s">
        <v>116</v>
      </c>
      <c r="C10" s="55">
        <v>15</v>
      </c>
      <c r="D10" s="55">
        <v>2015</v>
      </c>
      <c r="E10" s="55">
        <v>35</v>
      </c>
      <c r="F10" s="55">
        <v>80</v>
      </c>
      <c r="G10" s="56">
        <v>3.0540067443121601</v>
      </c>
      <c r="H10" s="57">
        <v>32.183029189999999</v>
      </c>
      <c r="I10" s="57">
        <v>0.28811046660249001</v>
      </c>
      <c r="J10" s="57">
        <v>1.9003883589999999</v>
      </c>
      <c r="K10" s="56">
        <v>8.2025139740216704E-2</v>
      </c>
      <c r="L10" s="57">
        <v>2.492536673</v>
      </c>
      <c r="M10" s="57">
        <v>1.757790612</v>
      </c>
      <c r="N10" s="57">
        <v>0.75698741700000005</v>
      </c>
      <c r="O10" s="57">
        <v>0.18077990199999999</v>
      </c>
      <c r="P10" s="57">
        <v>0.98237260400000004</v>
      </c>
      <c r="Q10" s="57">
        <v>4.040465E-3</v>
      </c>
      <c r="R10" s="57">
        <v>5.7274889999999997E-3</v>
      </c>
      <c r="S10" s="56">
        <v>4.0699807541105604E-3</v>
      </c>
      <c r="T10" s="57">
        <v>3.0195842000000001E-2</v>
      </c>
      <c r="U10" s="57">
        <v>7.9999583995993707E-3</v>
      </c>
      <c r="V10" s="57">
        <v>3.6749815874576097E-2</v>
      </c>
      <c r="W10" s="57">
        <v>3.7351703299460101E-3</v>
      </c>
      <c r="X10" s="57">
        <v>2.7764032000000001E-2</v>
      </c>
      <c r="Y10" s="57">
        <v>1.9999896010969099E-3</v>
      </c>
      <c r="Z10" s="57">
        <v>1.57499197860352E-2</v>
      </c>
      <c r="AA10" s="57">
        <v>325.56318320819901</v>
      </c>
      <c r="AB10" s="57">
        <v>463.96295570000001</v>
      </c>
      <c r="AC10" s="56">
        <v>1.77E-2</v>
      </c>
      <c r="AD10" s="56">
        <f t="shared" si="0"/>
        <v>2.28552791607377E-2</v>
      </c>
      <c r="AE10" s="58">
        <v>3.2599999999999997E-2</v>
      </c>
      <c r="AF10" s="56">
        <f t="shared" si="1"/>
        <v>1.0056397064797501E-2</v>
      </c>
    </row>
    <row r="11" spans="1:32" x14ac:dyDescent="0.25">
      <c r="A11" s="53" t="s">
        <v>592</v>
      </c>
      <c r="B11" s="54" t="s">
        <v>116</v>
      </c>
      <c r="C11" s="55">
        <v>8</v>
      </c>
      <c r="D11" s="55">
        <v>2015</v>
      </c>
      <c r="E11" s="55">
        <v>35</v>
      </c>
      <c r="F11" s="55">
        <v>80</v>
      </c>
      <c r="G11" s="56">
        <v>3.0540067443121601</v>
      </c>
      <c r="H11" s="57">
        <v>32.183029189999999</v>
      </c>
      <c r="I11" s="57">
        <v>0.28811046660249001</v>
      </c>
      <c r="J11" s="57">
        <v>1.9003883589999999</v>
      </c>
      <c r="K11" s="56">
        <v>8.2025139740216704E-2</v>
      </c>
      <c r="L11" s="57">
        <v>2.492536673</v>
      </c>
      <c r="M11" s="57">
        <v>1.757790612</v>
      </c>
      <c r="N11" s="57">
        <v>0.75698741700000005</v>
      </c>
      <c r="O11" s="57">
        <v>0.18077990199999999</v>
      </c>
      <c r="P11" s="57">
        <v>0.98237260400000004</v>
      </c>
      <c r="Q11" s="57">
        <v>4.040465E-3</v>
      </c>
      <c r="R11" s="57">
        <v>5.7274889999999997E-3</v>
      </c>
      <c r="S11" s="56">
        <v>4.0699807541105604E-3</v>
      </c>
      <c r="T11" s="57">
        <v>3.0195842000000001E-2</v>
      </c>
      <c r="U11" s="57">
        <v>7.9999583995993707E-3</v>
      </c>
      <c r="V11" s="57">
        <v>3.6749815874576097E-2</v>
      </c>
      <c r="W11" s="57">
        <v>3.7351703299460101E-3</v>
      </c>
      <c r="X11" s="57">
        <v>2.7764032000000001E-2</v>
      </c>
      <c r="Y11" s="57">
        <v>1.9999896010969099E-3</v>
      </c>
      <c r="Z11" s="57">
        <v>1.57499197860352E-2</v>
      </c>
      <c r="AA11" s="57">
        <v>325.56318320819901</v>
      </c>
      <c r="AB11" s="57">
        <v>463.96295570000001</v>
      </c>
      <c r="AC11" s="56">
        <v>1.77E-2</v>
      </c>
      <c r="AD11" s="56">
        <f t="shared" si="0"/>
        <v>2.28552791607377E-2</v>
      </c>
      <c r="AE11" s="58">
        <v>3.2599999999999997E-2</v>
      </c>
      <c r="AF11" s="56">
        <f t="shared" si="1"/>
        <v>1.0056397064797501E-2</v>
      </c>
    </row>
    <row r="12" spans="1:32" x14ac:dyDescent="0.25">
      <c r="A12" s="116" t="s">
        <v>593</v>
      </c>
      <c r="B12" s="54" t="s">
        <v>116</v>
      </c>
      <c r="C12" s="55">
        <v>8</v>
      </c>
      <c r="D12" s="55">
        <v>2015</v>
      </c>
      <c r="E12" s="55">
        <v>35</v>
      </c>
      <c r="F12" s="55">
        <v>80</v>
      </c>
      <c r="G12" s="56">
        <v>3.0540067443121601</v>
      </c>
      <c r="H12" s="57">
        <v>32.183029189999999</v>
      </c>
      <c r="I12" s="57">
        <v>0.28811046660249001</v>
      </c>
      <c r="J12" s="57">
        <v>1.9003883589999999</v>
      </c>
      <c r="K12" s="56">
        <v>8.2025139740216704E-2</v>
      </c>
      <c r="L12" s="57">
        <v>2.492536673</v>
      </c>
      <c r="M12" s="57">
        <v>1.757790612</v>
      </c>
      <c r="N12" s="57">
        <v>0.75698741700000005</v>
      </c>
      <c r="O12" s="57">
        <v>0.18077990199999999</v>
      </c>
      <c r="P12" s="57">
        <v>0.98237260400000004</v>
      </c>
      <c r="Q12" s="57">
        <v>4.040465E-3</v>
      </c>
      <c r="R12" s="57">
        <v>5.7274889999999997E-3</v>
      </c>
      <c r="S12" s="56">
        <v>4.0699807541105604E-3</v>
      </c>
      <c r="T12" s="57">
        <v>3.0195842000000001E-2</v>
      </c>
      <c r="U12" s="57">
        <v>7.9999583995993707E-3</v>
      </c>
      <c r="V12" s="57">
        <v>3.6749815874576097E-2</v>
      </c>
      <c r="W12" s="57">
        <v>3.7351703299460101E-3</v>
      </c>
      <c r="X12" s="57">
        <v>2.7764032000000001E-2</v>
      </c>
      <c r="Y12" s="57">
        <v>1.9999896010969099E-3</v>
      </c>
      <c r="Z12" s="57">
        <v>1.57499197860352E-2</v>
      </c>
      <c r="AA12" s="57">
        <v>325.56318320819901</v>
      </c>
      <c r="AB12" s="57">
        <v>463.96295570000001</v>
      </c>
      <c r="AC12" s="56">
        <v>1.77E-2</v>
      </c>
      <c r="AD12" s="56">
        <f t="shared" si="0"/>
        <v>2.28552791607377E-2</v>
      </c>
      <c r="AE12" s="58">
        <v>3.2599999999999997E-2</v>
      </c>
      <c r="AF12" s="56">
        <f t="shared" si="1"/>
        <v>1.0056397064797501E-2</v>
      </c>
    </row>
    <row r="13" spans="1:32" x14ac:dyDescent="0.25">
      <c r="A13" s="116" t="s">
        <v>594</v>
      </c>
      <c r="B13" s="54" t="s">
        <v>116</v>
      </c>
      <c r="C13" s="55">
        <v>8</v>
      </c>
      <c r="D13" s="55">
        <v>2015</v>
      </c>
      <c r="E13" s="55">
        <v>35</v>
      </c>
      <c r="F13" s="55">
        <v>80</v>
      </c>
      <c r="G13" s="56">
        <v>3.0540067443121601</v>
      </c>
      <c r="H13" s="57">
        <v>32.183029189999999</v>
      </c>
      <c r="I13" s="57">
        <v>0.28811046660249001</v>
      </c>
      <c r="J13" s="57">
        <v>1.9003883589999999</v>
      </c>
      <c r="K13" s="56">
        <v>8.2025139740216704E-2</v>
      </c>
      <c r="L13" s="57">
        <v>2.492536673</v>
      </c>
      <c r="M13" s="57">
        <v>1.757790612</v>
      </c>
      <c r="N13" s="57">
        <v>0.75698741700000005</v>
      </c>
      <c r="O13" s="57">
        <v>0.18077990199999999</v>
      </c>
      <c r="P13" s="57">
        <v>0.98237260400000004</v>
      </c>
      <c r="Q13" s="57">
        <v>4.040465E-3</v>
      </c>
      <c r="R13" s="57">
        <v>5.7274889999999997E-3</v>
      </c>
      <c r="S13" s="56">
        <v>4.0699807541105604E-3</v>
      </c>
      <c r="T13" s="57">
        <v>3.0195842000000001E-2</v>
      </c>
      <c r="U13" s="57">
        <v>7.9999583995993707E-3</v>
      </c>
      <c r="V13" s="57">
        <v>3.6749815874576097E-2</v>
      </c>
      <c r="W13" s="57">
        <v>3.7351703299460101E-3</v>
      </c>
      <c r="X13" s="57">
        <v>2.7764032000000001E-2</v>
      </c>
      <c r="Y13" s="57">
        <v>1.9999896010969099E-3</v>
      </c>
      <c r="Z13" s="57">
        <v>1.57499197860352E-2</v>
      </c>
      <c r="AA13" s="57">
        <v>325.56318320819901</v>
      </c>
      <c r="AB13" s="57">
        <v>463.96295570000001</v>
      </c>
      <c r="AC13" s="56">
        <v>1.77E-2</v>
      </c>
      <c r="AD13" s="56">
        <f t="shared" si="0"/>
        <v>2.28552791607377E-2</v>
      </c>
      <c r="AE13" s="58">
        <v>3.2599999999999997E-2</v>
      </c>
      <c r="AF13" s="56">
        <f t="shared" si="1"/>
        <v>1.0056397064797501E-2</v>
      </c>
    </row>
    <row r="14" spans="1:32" x14ac:dyDescent="0.25">
      <c r="A14" s="116" t="s">
        <v>604</v>
      </c>
      <c r="B14" s="54" t="s">
        <v>116</v>
      </c>
      <c r="C14" s="55">
        <v>8</v>
      </c>
      <c r="D14" s="55">
        <v>2015</v>
      </c>
      <c r="E14" s="55">
        <v>35</v>
      </c>
      <c r="F14" s="55">
        <v>80</v>
      </c>
      <c r="G14" s="56">
        <v>3.0540067443121601</v>
      </c>
      <c r="H14" s="57">
        <v>32.183029189999999</v>
      </c>
      <c r="I14" s="57">
        <v>0.28811046660249001</v>
      </c>
      <c r="J14" s="57">
        <v>1.9003883589999999</v>
      </c>
      <c r="K14" s="56">
        <v>8.2025139740216704E-2</v>
      </c>
      <c r="L14" s="57">
        <v>2.492536673</v>
      </c>
      <c r="M14" s="57">
        <v>1.757790612</v>
      </c>
      <c r="N14" s="57">
        <v>0.75698741700000005</v>
      </c>
      <c r="O14" s="57">
        <v>0.18077990199999999</v>
      </c>
      <c r="P14" s="57">
        <v>0.98237260400000004</v>
      </c>
      <c r="Q14" s="57">
        <v>4.040465E-3</v>
      </c>
      <c r="R14" s="57">
        <v>5.7274889999999997E-3</v>
      </c>
      <c r="S14" s="56">
        <v>4.0699807541105604E-3</v>
      </c>
      <c r="T14" s="57">
        <v>3.0195842000000001E-2</v>
      </c>
      <c r="U14" s="57">
        <v>7.9999583995993707E-3</v>
      </c>
      <c r="V14" s="57">
        <v>3.6749815874576097E-2</v>
      </c>
      <c r="W14" s="57">
        <v>3.7351703299460101E-3</v>
      </c>
      <c r="X14" s="57">
        <v>2.7764032000000001E-2</v>
      </c>
      <c r="Y14" s="57">
        <v>1.9999896010969099E-3</v>
      </c>
      <c r="Z14" s="57">
        <v>1.57499197860352E-2</v>
      </c>
      <c r="AA14" s="57">
        <v>325.56318320819901</v>
      </c>
      <c r="AB14" s="57">
        <v>463.96295570000001</v>
      </c>
      <c r="AC14" s="56">
        <v>1.77E-2</v>
      </c>
      <c r="AD14" s="56">
        <f t="shared" si="0"/>
        <v>2.28552791607377E-2</v>
      </c>
      <c r="AE14" s="58">
        <v>3.2599999999999997E-2</v>
      </c>
      <c r="AF14" s="56">
        <f t="shared" si="1"/>
        <v>1.0056397064797501E-2</v>
      </c>
    </row>
    <row r="15" spans="1:32" x14ac:dyDescent="0.25">
      <c r="A15" s="116" t="s">
        <v>597</v>
      </c>
      <c r="B15" s="54" t="s">
        <v>116</v>
      </c>
      <c r="C15" s="55">
        <v>12</v>
      </c>
      <c r="D15" s="55">
        <v>2015</v>
      </c>
      <c r="E15" s="55">
        <v>35</v>
      </c>
      <c r="F15" s="55">
        <v>80</v>
      </c>
      <c r="G15" s="56">
        <v>3.0540067443121601</v>
      </c>
      <c r="H15" s="57">
        <v>32.183029189999999</v>
      </c>
      <c r="I15" s="57">
        <v>0.28811046660249001</v>
      </c>
      <c r="J15" s="57">
        <v>1.9003883589999999</v>
      </c>
      <c r="K15" s="56">
        <v>8.2025139740216704E-2</v>
      </c>
      <c r="L15" s="57">
        <v>2.492536673</v>
      </c>
      <c r="M15" s="57">
        <v>1.757790612</v>
      </c>
      <c r="N15" s="57">
        <v>0.75698741700000005</v>
      </c>
      <c r="O15" s="57">
        <v>0.18077990199999999</v>
      </c>
      <c r="P15" s="57">
        <v>0.98237260400000004</v>
      </c>
      <c r="Q15" s="57">
        <v>4.040465E-3</v>
      </c>
      <c r="R15" s="57">
        <v>5.7274889999999997E-3</v>
      </c>
      <c r="S15" s="56">
        <v>4.0699807541105604E-3</v>
      </c>
      <c r="T15" s="57">
        <v>3.0195842000000001E-2</v>
      </c>
      <c r="U15" s="57">
        <v>7.9999583995993707E-3</v>
      </c>
      <c r="V15" s="57">
        <v>3.6749815874576097E-2</v>
      </c>
      <c r="W15" s="57">
        <v>3.7351703299460101E-3</v>
      </c>
      <c r="X15" s="57">
        <v>2.7764032000000001E-2</v>
      </c>
      <c r="Y15" s="57">
        <v>1.9999896010969099E-3</v>
      </c>
      <c r="Z15" s="57">
        <v>1.57499197860352E-2</v>
      </c>
      <c r="AA15" s="57">
        <v>325.56318320819901</v>
      </c>
      <c r="AB15" s="57">
        <v>463.96295570000001</v>
      </c>
      <c r="AC15" s="56">
        <v>1.77E-2</v>
      </c>
      <c r="AD15" s="56">
        <f t="shared" si="0"/>
        <v>2.28552791607377E-2</v>
      </c>
      <c r="AE15" s="58">
        <v>3.2599999999999997E-2</v>
      </c>
      <c r="AF15" s="56">
        <f t="shared" si="1"/>
        <v>1.0056397064797501E-2</v>
      </c>
    </row>
    <row r="16" spans="1:32" x14ac:dyDescent="0.25">
      <c r="A16" s="116" t="s">
        <v>584</v>
      </c>
      <c r="B16" s="54" t="s">
        <v>116</v>
      </c>
      <c r="C16" s="55">
        <v>8</v>
      </c>
      <c r="D16" s="55">
        <v>2015</v>
      </c>
      <c r="E16" s="55">
        <v>35</v>
      </c>
      <c r="F16" s="55">
        <v>80</v>
      </c>
      <c r="G16" s="56">
        <v>3.0540067443121601</v>
      </c>
      <c r="H16" s="57">
        <v>32.183029189999999</v>
      </c>
      <c r="I16" s="57">
        <v>0.28811046660249001</v>
      </c>
      <c r="J16" s="57">
        <v>1.9003883589999999</v>
      </c>
      <c r="K16" s="56">
        <v>8.2025139740216704E-2</v>
      </c>
      <c r="L16" s="57">
        <v>2.492536673</v>
      </c>
      <c r="M16" s="57">
        <v>1.757790612</v>
      </c>
      <c r="N16" s="57">
        <v>0.75698741700000005</v>
      </c>
      <c r="O16" s="57">
        <v>0.18077990199999999</v>
      </c>
      <c r="P16" s="57">
        <v>0.98237260400000004</v>
      </c>
      <c r="Q16" s="57">
        <v>4.040465E-3</v>
      </c>
      <c r="R16" s="57">
        <v>5.7274889999999997E-3</v>
      </c>
      <c r="S16" s="56">
        <v>4.0699807541105604E-3</v>
      </c>
      <c r="T16" s="57">
        <v>3.0195842000000001E-2</v>
      </c>
      <c r="U16" s="57">
        <v>7.9999583995993707E-3</v>
      </c>
      <c r="V16" s="57">
        <v>3.6749815874576097E-2</v>
      </c>
      <c r="W16" s="57">
        <v>3.7351703299460101E-3</v>
      </c>
      <c r="X16" s="57">
        <v>2.7764032000000001E-2</v>
      </c>
      <c r="Y16" s="57">
        <v>1.9999896010969099E-3</v>
      </c>
      <c r="Z16" s="57">
        <v>1.57499197860352E-2</v>
      </c>
      <c r="AA16" s="57">
        <v>325.56318320819901</v>
      </c>
      <c r="AB16" s="57">
        <v>463.96295570000001</v>
      </c>
      <c r="AC16" s="56">
        <v>1.77E-2</v>
      </c>
      <c r="AD16" s="56">
        <f t="shared" si="0"/>
        <v>2.28552791607377E-2</v>
      </c>
      <c r="AE16" s="58">
        <v>3.2599999999999997E-2</v>
      </c>
      <c r="AF16" s="56">
        <f t="shared" si="1"/>
        <v>1.0056397064797501E-2</v>
      </c>
    </row>
    <row r="17" spans="1:68" x14ac:dyDescent="0.25">
      <c r="A17" s="116" t="s">
        <v>605</v>
      </c>
      <c r="B17" s="54" t="s">
        <v>116</v>
      </c>
      <c r="C17" s="55">
        <v>8</v>
      </c>
      <c r="D17" s="55">
        <v>2015</v>
      </c>
      <c r="E17" s="55">
        <v>35</v>
      </c>
      <c r="F17" s="55">
        <v>80</v>
      </c>
      <c r="G17" s="56">
        <v>3.0540067443121601</v>
      </c>
      <c r="H17" s="57">
        <v>32.183029189999999</v>
      </c>
      <c r="I17" s="57">
        <v>0.28811046660249001</v>
      </c>
      <c r="J17" s="57">
        <v>1.9003883589999999</v>
      </c>
      <c r="K17" s="56">
        <v>8.2025139740216704E-2</v>
      </c>
      <c r="L17" s="57">
        <v>2.492536673</v>
      </c>
      <c r="M17" s="57">
        <v>1.757790612</v>
      </c>
      <c r="N17" s="57">
        <v>0.75698741700000005</v>
      </c>
      <c r="O17" s="57">
        <v>0.18077990199999999</v>
      </c>
      <c r="P17" s="57">
        <v>0.98237260400000004</v>
      </c>
      <c r="Q17" s="57">
        <v>4.040465E-3</v>
      </c>
      <c r="R17" s="57">
        <v>5.7274889999999997E-3</v>
      </c>
      <c r="S17" s="56">
        <v>4.0699807541105604E-3</v>
      </c>
      <c r="T17" s="57">
        <v>3.0195842000000001E-2</v>
      </c>
      <c r="U17" s="57">
        <v>7.9999583995993707E-3</v>
      </c>
      <c r="V17" s="57">
        <v>3.6749815874576097E-2</v>
      </c>
      <c r="W17" s="57">
        <v>3.7351703299460101E-3</v>
      </c>
      <c r="X17" s="57">
        <v>2.7764032000000001E-2</v>
      </c>
      <c r="Y17" s="57">
        <v>1.9999896010969099E-3</v>
      </c>
      <c r="Z17" s="57">
        <v>1.57499197860352E-2</v>
      </c>
      <c r="AA17" s="57">
        <v>325.56318320819901</v>
      </c>
      <c r="AB17" s="57">
        <v>463.96295570000001</v>
      </c>
      <c r="AC17" s="56">
        <v>1.77E-2</v>
      </c>
      <c r="AD17" s="56">
        <f t="shared" si="0"/>
        <v>2.28552791607377E-2</v>
      </c>
      <c r="AE17" s="58">
        <v>3.2599999999999997E-2</v>
      </c>
      <c r="AF17" s="56">
        <f t="shared" si="1"/>
        <v>1.0056397064797501E-2</v>
      </c>
    </row>
    <row r="18" spans="1:68" x14ac:dyDescent="0.25">
      <c r="A18" s="116" t="s">
        <v>600</v>
      </c>
      <c r="B18" s="54" t="s">
        <v>116</v>
      </c>
      <c r="C18" s="55">
        <v>15</v>
      </c>
      <c r="D18" s="55">
        <v>2015</v>
      </c>
      <c r="E18" s="55">
        <v>35</v>
      </c>
      <c r="F18" s="55">
        <v>80</v>
      </c>
      <c r="G18" s="56">
        <v>3.0540067443121601</v>
      </c>
      <c r="H18" s="57">
        <v>32.183029189999999</v>
      </c>
      <c r="I18" s="57">
        <v>0.28811046660249001</v>
      </c>
      <c r="J18" s="57">
        <v>1.9003883589999999</v>
      </c>
      <c r="K18" s="56">
        <v>8.2025139740216704E-2</v>
      </c>
      <c r="L18" s="57">
        <v>2.492536673</v>
      </c>
      <c r="M18" s="57">
        <v>1.757790612</v>
      </c>
      <c r="N18" s="57">
        <v>0.75698741700000005</v>
      </c>
      <c r="O18" s="57">
        <v>0.18077990199999999</v>
      </c>
      <c r="P18" s="57">
        <v>0.98237260400000004</v>
      </c>
      <c r="Q18" s="57">
        <v>4.040465E-3</v>
      </c>
      <c r="R18" s="57">
        <v>5.7274889999999997E-3</v>
      </c>
      <c r="S18" s="56">
        <v>4.0699807541105604E-3</v>
      </c>
      <c r="T18" s="57">
        <v>3.0195842000000001E-2</v>
      </c>
      <c r="U18" s="57">
        <v>7.9999583995993707E-3</v>
      </c>
      <c r="V18" s="57">
        <v>3.6749815874576097E-2</v>
      </c>
      <c r="W18" s="57">
        <v>3.7351703299460101E-3</v>
      </c>
      <c r="X18" s="57">
        <v>2.7764032000000001E-2</v>
      </c>
      <c r="Y18" s="57">
        <v>1.9999896010969099E-3</v>
      </c>
      <c r="Z18" s="57">
        <v>1.57499197860352E-2</v>
      </c>
      <c r="AA18" s="57">
        <v>325.56318320819901</v>
      </c>
      <c r="AB18" s="57">
        <v>463.96295570000001</v>
      </c>
      <c r="AC18" s="56">
        <v>1.77E-2</v>
      </c>
      <c r="AD18" s="56">
        <f t="shared" si="0"/>
        <v>2.28552791607377E-2</v>
      </c>
      <c r="AE18" s="58">
        <v>3.2599999999999997E-2</v>
      </c>
      <c r="AF18" s="56">
        <f t="shared" si="1"/>
        <v>1.0056397064797501E-2</v>
      </c>
    </row>
    <row r="19" spans="1:68" x14ac:dyDescent="0.25">
      <c r="A19" s="116" t="s">
        <v>606</v>
      </c>
      <c r="B19" s="54" t="s">
        <v>116</v>
      </c>
      <c r="C19" s="55">
        <v>8</v>
      </c>
      <c r="D19" s="55">
        <v>2015</v>
      </c>
      <c r="E19" s="55">
        <v>35</v>
      </c>
      <c r="F19" s="55">
        <v>80</v>
      </c>
      <c r="G19" s="56">
        <v>3.0540067443121601</v>
      </c>
      <c r="H19" s="57">
        <v>32.183029189999999</v>
      </c>
      <c r="I19" s="57">
        <v>0.28811046660249001</v>
      </c>
      <c r="J19" s="57">
        <v>1.9003883589999999</v>
      </c>
      <c r="K19" s="56">
        <v>8.2025139740216704E-2</v>
      </c>
      <c r="L19" s="57">
        <v>2.492536673</v>
      </c>
      <c r="M19" s="57">
        <v>1.757790612</v>
      </c>
      <c r="N19" s="57">
        <v>0.75698741700000005</v>
      </c>
      <c r="O19" s="57">
        <v>0.18077990199999999</v>
      </c>
      <c r="P19" s="57">
        <v>0.98237260400000004</v>
      </c>
      <c r="Q19" s="57">
        <v>4.040465E-3</v>
      </c>
      <c r="R19" s="57">
        <v>5.7274889999999997E-3</v>
      </c>
      <c r="S19" s="56">
        <v>4.0699807541105604E-3</v>
      </c>
      <c r="T19" s="57">
        <v>3.0195842000000001E-2</v>
      </c>
      <c r="U19" s="57">
        <v>7.9999583995993707E-3</v>
      </c>
      <c r="V19" s="57">
        <v>3.6749815874576097E-2</v>
      </c>
      <c r="W19" s="57">
        <v>3.7351703299460101E-3</v>
      </c>
      <c r="X19" s="57">
        <v>2.7764032000000001E-2</v>
      </c>
      <c r="Y19" s="57">
        <v>1.9999896010969099E-3</v>
      </c>
      <c r="Z19" s="57">
        <v>1.57499197860352E-2</v>
      </c>
      <c r="AA19" s="57">
        <v>325.56318320819901</v>
      </c>
      <c r="AB19" s="57">
        <v>463.96295570000001</v>
      </c>
      <c r="AC19" s="56">
        <v>1.77E-2</v>
      </c>
      <c r="AD19" s="56">
        <f t="shared" si="0"/>
        <v>2.28552791607377E-2</v>
      </c>
      <c r="AE19" s="58">
        <v>3.2599999999999997E-2</v>
      </c>
      <c r="AF19" s="56">
        <f t="shared" si="1"/>
        <v>1.0056397064797501E-2</v>
      </c>
    </row>
    <row r="20" spans="1:68" x14ac:dyDescent="0.25">
      <c r="A20" s="65"/>
      <c r="B20" s="65"/>
      <c r="C20" s="66"/>
      <c r="D20" s="66"/>
      <c r="E20" s="67"/>
      <c r="F20" s="67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</row>
    <row r="21" spans="1:68" ht="26.4" x14ac:dyDescent="0.25">
      <c r="A21" s="68" t="s">
        <v>625</v>
      </c>
      <c r="B21" s="42"/>
      <c r="C21" s="42"/>
      <c r="D21" s="42"/>
    </row>
    <row r="22" spans="1:68" x14ac:dyDescent="0.25">
      <c r="A22" s="68" t="s">
        <v>89</v>
      </c>
      <c r="B22" s="42"/>
      <c r="C22" s="42"/>
      <c r="D22" s="42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10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</row>
    <row r="23" spans="1:68" x14ac:dyDescent="0.25">
      <c r="A23" s="68" t="s">
        <v>90</v>
      </c>
      <c r="B23" s="42"/>
      <c r="C23" s="42"/>
      <c r="D23" s="42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2"/>
      <c r="AT23" s="72"/>
      <c r="AU23" s="72"/>
      <c r="AV23" s="72"/>
      <c r="AW23" s="72"/>
      <c r="AX23" s="72"/>
      <c r="AY23" s="72"/>
      <c r="AZ23" s="72"/>
      <c r="BA23" s="73"/>
      <c r="BB23" s="72"/>
    </row>
    <row r="24" spans="1:68" ht="39.6" hidden="1" x14ac:dyDescent="0.25">
      <c r="A24" s="68" t="s">
        <v>91</v>
      </c>
      <c r="B24" s="42"/>
      <c r="C24" s="42"/>
      <c r="D24" s="42"/>
      <c r="AB24" s="70"/>
      <c r="AC24" s="71" t="s">
        <v>92</v>
      </c>
      <c r="AD24" s="70"/>
      <c r="AE24" s="70"/>
      <c r="AF24" s="70"/>
      <c r="AG24" s="70" t="e">
        <f>#REF!/60</f>
        <v>#REF!</v>
      </c>
      <c r="AH24" s="70" t="e">
        <f>#REF!/60</f>
        <v>#REF!</v>
      </c>
      <c r="AI24" s="70" t="e">
        <f>#REF!/60</f>
        <v>#REF!</v>
      </c>
      <c r="AJ24" s="70" t="e">
        <f>#REF!/60</f>
        <v>#REF!</v>
      </c>
      <c r="AK24" s="70" t="e">
        <f>#REF!/60</f>
        <v>#REF!</v>
      </c>
      <c r="AL24" s="70" t="e">
        <f>#REF!/60</f>
        <v>#REF!</v>
      </c>
      <c r="AM24" s="70" t="e">
        <f>#REF!/60</f>
        <v>#REF!</v>
      </c>
      <c r="AN24" s="70" t="e">
        <f>#REF!/60</f>
        <v>#REF!</v>
      </c>
      <c r="AO24" s="70" t="e">
        <f>#REF!/60</f>
        <v>#REF!</v>
      </c>
      <c r="AP24" s="70" t="e">
        <f>#REF!/60</f>
        <v>#REF!</v>
      </c>
      <c r="AQ24" s="70"/>
      <c r="AR24" s="70"/>
      <c r="AS24" s="70" t="e">
        <f>#REF!/60</f>
        <v>#REF!</v>
      </c>
      <c r="AT24" s="70" t="e">
        <f>#REF!/60</f>
        <v>#REF!</v>
      </c>
      <c r="AU24" s="70" t="e">
        <f>#REF!/60</f>
        <v>#REF!</v>
      </c>
      <c r="AV24" s="70" t="e">
        <f>#REF!/60</f>
        <v>#REF!</v>
      </c>
      <c r="AW24" s="70" t="e">
        <f>#REF!/60</f>
        <v>#REF!</v>
      </c>
      <c r="AX24" s="70" t="e">
        <f>#REF!/60</f>
        <v>#REF!</v>
      </c>
      <c r="AY24" s="70" t="e">
        <f>#REF!/60</f>
        <v>#REF!</v>
      </c>
      <c r="AZ24" s="70" t="e">
        <f>#REF!/60</f>
        <v>#REF!</v>
      </c>
      <c r="BA24" s="70" t="e">
        <f>#REF!/60</f>
        <v>#REF!</v>
      </c>
      <c r="BB24" s="70" t="e">
        <f>#REF!/60</f>
        <v>#REF!</v>
      </c>
    </row>
    <row r="25" spans="1:68" hidden="1" x14ac:dyDescent="0.25">
      <c r="A25" s="68"/>
      <c r="B25" s="42"/>
      <c r="C25" s="42"/>
      <c r="D25" s="42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2"/>
      <c r="AT25" s="72"/>
      <c r="AU25" s="72"/>
      <c r="AV25" s="72"/>
      <c r="AW25" s="72"/>
      <c r="AX25" s="72"/>
      <c r="AY25" s="72"/>
      <c r="AZ25" s="72"/>
      <c r="BA25" s="73"/>
      <c r="BB25" s="72"/>
    </row>
    <row r="26" spans="1:68" hidden="1" x14ac:dyDescent="0.25">
      <c r="A26" s="42"/>
      <c r="B26" s="42"/>
      <c r="C26" s="42"/>
      <c r="D26" s="42"/>
      <c r="AG26" s="718" t="s">
        <v>75</v>
      </c>
      <c r="AH26" s="718"/>
      <c r="AI26" s="718"/>
      <c r="AJ26" s="718"/>
      <c r="AK26" s="718"/>
      <c r="AL26" s="719"/>
      <c r="AM26" s="719"/>
      <c r="AN26" s="719"/>
      <c r="AO26" s="719"/>
      <c r="AP26" s="719"/>
      <c r="AQ26" s="559"/>
      <c r="AR26" s="69"/>
      <c r="AS26" s="718" t="s">
        <v>76</v>
      </c>
      <c r="AT26" s="718"/>
      <c r="AU26" s="718"/>
      <c r="AV26" s="718"/>
      <c r="AW26" s="718"/>
      <c r="AX26" s="719"/>
      <c r="AY26" s="719"/>
      <c r="AZ26" s="719"/>
      <c r="BA26" s="719"/>
      <c r="BB26" s="719"/>
    </row>
    <row r="27" spans="1:68" ht="66" hidden="1" x14ac:dyDescent="0.25">
      <c r="A27" s="42"/>
      <c r="B27" s="42"/>
      <c r="C27" s="42"/>
      <c r="D27" s="42"/>
      <c r="AG27" s="74" t="s">
        <v>66</v>
      </c>
      <c r="AH27" s="74" t="s">
        <v>84</v>
      </c>
      <c r="AI27" s="74" t="s">
        <v>85</v>
      </c>
      <c r="AJ27" s="74" t="s">
        <v>69</v>
      </c>
      <c r="AK27" s="74" t="s">
        <v>70</v>
      </c>
      <c r="AL27" s="74" t="s">
        <v>71</v>
      </c>
      <c r="AM27" s="75" t="s">
        <v>86</v>
      </c>
      <c r="AN27" s="75" t="s">
        <v>87</v>
      </c>
      <c r="AO27" s="75" t="s">
        <v>72</v>
      </c>
      <c r="AP27" s="75" t="s">
        <v>73</v>
      </c>
      <c r="AQ27" s="75"/>
      <c r="AR27" s="52"/>
      <c r="AS27" s="74" t="s">
        <v>66</v>
      </c>
      <c r="AT27" s="74" t="s">
        <v>84</v>
      </c>
      <c r="AU27" s="74" t="s">
        <v>85</v>
      </c>
      <c r="AV27" s="74" t="s">
        <v>69</v>
      </c>
      <c r="AW27" s="74" t="s">
        <v>70</v>
      </c>
      <c r="AX27" s="74" t="s">
        <v>71</v>
      </c>
      <c r="AY27" s="75" t="s">
        <v>86</v>
      </c>
      <c r="AZ27" s="75" t="s">
        <v>87</v>
      </c>
      <c r="BA27" s="76" t="s">
        <v>72</v>
      </c>
      <c r="BB27" s="74" t="s">
        <v>73</v>
      </c>
    </row>
    <row r="28" spans="1:68" hidden="1" x14ac:dyDescent="0.25">
      <c r="A28" s="42" t="s">
        <v>93</v>
      </c>
      <c r="B28" s="42"/>
      <c r="C28" s="42"/>
      <c r="D28" s="42"/>
      <c r="AB28" s="77" t="s">
        <v>39</v>
      </c>
      <c r="AC28" s="78" t="s">
        <v>40</v>
      </c>
      <c r="AD28" s="78" t="s">
        <v>41</v>
      </c>
      <c r="AE28" s="78"/>
      <c r="AF28" s="78"/>
      <c r="AR28" s="43"/>
    </row>
    <row r="29" spans="1:68" hidden="1" x14ac:dyDescent="0.25">
      <c r="A29" s="42" t="s">
        <v>94</v>
      </c>
      <c r="B29" s="42"/>
      <c r="C29" s="42"/>
      <c r="D29" s="42"/>
      <c r="AB29" s="77"/>
      <c r="AC29" s="78" t="s">
        <v>42</v>
      </c>
      <c r="AD29" s="78">
        <v>13.25</v>
      </c>
      <c r="AE29" s="78"/>
      <c r="AF29" s="78"/>
      <c r="AG29" s="41" t="e">
        <f>AG$24*$AD29</f>
        <v>#REF!</v>
      </c>
      <c r="AH29" s="41" t="e">
        <f t="shared" ref="AH29:AP37" si="2">AH$24*$AD29</f>
        <v>#REF!</v>
      </c>
      <c r="AI29" s="41" t="e">
        <f t="shared" si="2"/>
        <v>#REF!</v>
      </c>
      <c r="AJ29" s="41" t="e">
        <f t="shared" si="2"/>
        <v>#REF!</v>
      </c>
      <c r="AK29" s="41" t="e">
        <f t="shared" si="2"/>
        <v>#REF!</v>
      </c>
      <c r="AL29" s="41" t="e">
        <f t="shared" si="2"/>
        <v>#REF!</v>
      </c>
      <c r="AM29" s="41" t="e">
        <f t="shared" si="2"/>
        <v>#REF!</v>
      </c>
      <c r="AN29" s="41" t="e">
        <f t="shared" si="2"/>
        <v>#REF!</v>
      </c>
      <c r="AO29" s="41" t="e">
        <f t="shared" si="2"/>
        <v>#REF!</v>
      </c>
      <c r="AP29" s="41" t="e">
        <f t="shared" si="2"/>
        <v>#REF!</v>
      </c>
      <c r="AR29" s="43"/>
      <c r="AS29" s="41" t="e">
        <f>AS$24*$AD29</f>
        <v>#REF!</v>
      </c>
      <c r="AT29" s="41" t="e">
        <f t="shared" ref="AT29:BB37" si="3">AT$24*$AD29</f>
        <v>#REF!</v>
      </c>
      <c r="AU29" s="41" t="e">
        <f t="shared" si="3"/>
        <v>#REF!</v>
      </c>
      <c r="AV29" s="41" t="e">
        <f t="shared" si="3"/>
        <v>#REF!</v>
      </c>
      <c r="AW29" s="41" t="e">
        <f t="shared" si="3"/>
        <v>#REF!</v>
      </c>
      <c r="AX29" s="41" t="e">
        <f t="shared" si="3"/>
        <v>#REF!</v>
      </c>
      <c r="AY29" s="41" t="e">
        <f t="shared" si="3"/>
        <v>#REF!</v>
      </c>
      <c r="AZ29" s="41" t="e">
        <f t="shared" si="3"/>
        <v>#REF!</v>
      </c>
      <c r="BA29" s="41" t="e">
        <f t="shared" si="3"/>
        <v>#REF!</v>
      </c>
      <c r="BB29" s="41" t="e">
        <f t="shared" si="3"/>
        <v>#REF!</v>
      </c>
    </row>
    <row r="30" spans="1:68" hidden="1" x14ac:dyDescent="0.25">
      <c r="A30" s="42" t="s">
        <v>95</v>
      </c>
      <c r="B30" s="42"/>
      <c r="C30" s="42"/>
      <c r="D30" s="42"/>
      <c r="AB30" s="77"/>
      <c r="AC30" s="78" t="s">
        <v>43</v>
      </c>
      <c r="AD30" s="78">
        <v>20.298999999999999</v>
      </c>
      <c r="AE30" s="78"/>
      <c r="AF30" s="78"/>
      <c r="AG30" s="41" t="e">
        <f t="shared" ref="AG30:AG37" si="4">AG$24*$AD30</f>
        <v>#REF!</v>
      </c>
      <c r="AH30" s="41" t="e">
        <f t="shared" si="2"/>
        <v>#REF!</v>
      </c>
      <c r="AI30" s="41" t="e">
        <f t="shared" si="2"/>
        <v>#REF!</v>
      </c>
      <c r="AJ30" s="41" t="e">
        <f t="shared" si="2"/>
        <v>#REF!</v>
      </c>
      <c r="AK30" s="41" t="e">
        <f t="shared" si="2"/>
        <v>#REF!</v>
      </c>
      <c r="AL30" s="41" t="e">
        <f t="shared" si="2"/>
        <v>#REF!</v>
      </c>
      <c r="AM30" s="41" t="e">
        <f t="shared" si="2"/>
        <v>#REF!</v>
      </c>
      <c r="AN30" s="41" t="e">
        <f t="shared" si="2"/>
        <v>#REF!</v>
      </c>
      <c r="AO30" s="41" t="e">
        <f t="shared" si="2"/>
        <v>#REF!</v>
      </c>
      <c r="AP30" s="41" t="e">
        <f t="shared" si="2"/>
        <v>#REF!</v>
      </c>
      <c r="AR30" s="43"/>
      <c r="AS30" s="41" t="e">
        <f t="shared" ref="AS30:AS37" si="5">AS$24*$AD30</f>
        <v>#REF!</v>
      </c>
      <c r="AT30" s="41" t="e">
        <f t="shared" si="3"/>
        <v>#REF!</v>
      </c>
      <c r="AU30" s="41" t="e">
        <f t="shared" si="3"/>
        <v>#REF!</v>
      </c>
      <c r="AV30" s="41" t="e">
        <f t="shared" si="3"/>
        <v>#REF!</v>
      </c>
      <c r="AW30" s="41" t="e">
        <f t="shared" si="3"/>
        <v>#REF!</v>
      </c>
      <c r="AX30" s="41" t="e">
        <f t="shared" si="3"/>
        <v>#REF!</v>
      </c>
      <c r="AY30" s="41" t="e">
        <f t="shared" si="3"/>
        <v>#REF!</v>
      </c>
      <c r="AZ30" s="41" t="e">
        <f t="shared" si="3"/>
        <v>#REF!</v>
      </c>
      <c r="BA30" s="41" t="e">
        <f t="shared" si="3"/>
        <v>#REF!</v>
      </c>
      <c r="BB30" s="41" t="e">
        <f t="shared" si="3"/>
        <v>#REF!</v>
      </c>
    </row>
    <row r="31" spans="1:68" hidden="1" x14ac:dyDescent="0.25">
      <c r="A31" s="42" t="s">
        <v>96</v>
      </c>
      <c r="B31" s="42"/>
      <c r="C31" s="42"/>
      <c r="D31" s="42"/>
      <c r="AB31" s="77"/>
      <c r="AC31" s="78" t="s">
        <v>44</v>
      </c>
      <c r="AD31" s="78">
        <v>21.68</v>
      </c>
      <c r="AE31" s="78"/>
      <c r="AF31" s="78"/>
      <c r="AG31" s="41" t="e">
        <f t="shared" si="4"/>
        <v>#REF!</v>
      </c>
      <c r="AH31" s="41" t="e">
        <f t="shared" si="2"/>
        <v>#REF!</v>
      </c>
      <c r="AI31" s="41" t="e">
        <f t="shared" si="2"/>
        <v>#REF!</v>
      </c>
      <c r="AJ31" s="41" t="e">
        <f t="shared" si="2"/>
        <v>#REF!</v>
      </c>
      <c r="AK31" s="41" t="e">
        <f t="shared" si="2"/>
        <v>#REF!</v>
      </c>
      <c r="AL31" s="41" t="e">
        <f t="shared" si="2"/>
        <v>#REF!</v>
      </c>
      <c r="AM31" s="41" t="e">
        <f t="shared" si="2"/>
        <v>#REF!</v>
      </c>
      <c r="AN31" s="41" t="e">
        <f t="shared" si="2"/>
        <v>#REF!</v>
      </c>
      <c r="AO31" s="41" t="e">
        <f t="shared" si="2"/>
        <v>#REF!</v>
      </c>
      <c r="AP31" s="41" t="e">
        <f t="shared" si="2"/>
        <v>#REF!</v>
      </c>
      <c r="AR31" s="43"/>
      <c r="AS31" s="41" t="e">
        <f t="shared" si="5"/>
        <v>#REF!</v>
      </c>
      <c r="AT31" s="41" t="e">
        <f t="shared" si="3"/>
        <v>#REF!</v>
      </c>
      <c r="AU31" s="41" t="e">
        <f t="shared" si="3"/>
        <v>#REF!</v>
      </c>
      <c r="AV31" s="41" t="e">
        <f t="shared" si="3"/>
        <v>#REF!</v>
      </c>
      <c r="AW31" s="41" t="e">
        <f t="shared" si="3"/>
        <v>#REF!</v>
      </c>
      <c r="AX31" s="41" t="e">
        <f t="shared" si="3"/>
        <v>#REF!</v>
      </c>
      <c r="AY31" s="41" t="e">
        <f t="shared" si="3"/>
        <v>#REF!</v>
      </c>
      <c r="AZ31" s="41" t="e">
        <f t="shared" si="3"/>
        <v>#REF!</v>
      </c>
      <c r="BA31" s="41" t="e">
        <f t="shared" si="3"/>
        <v>#REF!</v>
      </c>
      <c r="BB31" s="41" t="e">
        <f t="shared" si="3"/>
        <v>#REF!</v>
      </c>
    </row>
    <row r="32" spans="1:68" hidden="1" x14ac:dyDescent="0.25">
      <c r="A32" s="42" t="s">
        <v>97</v>
      </c>
      <c r="B32" s="42"/>
      <c r="C32" s="42"/>
      <c r="D32" s="42"/>
      <c r="AB32" s="77"/>
      <c r="AC32" s="78" t="s">
        <v>45</v>
      </c>
      <c r="AD32" s="78">
        <v>9.3046500000000005</v>
      </c>
      <c r="AE32" s="78"/>
      <c r="AF32" s="78"/>
      <c r="AG32" s="41" t="e">
        <f t="shared" si="4"/>
        <v>#REF!</v>
      </c>
      <c r="AH32" s="41" t="e">
        <f t="shared" si="2"/>
        <v>#REF!</v>
      </c>
      <c r="AI32" s="41" t="e">
        <f t="shared" si="2"/>
        <v>#REF!</v>
      </c>
      <c r="AJ32" s="41" t="e">
        <f t="shared" si="2"/>
        <v>#REF!</v>
      </c>
      <c r="AK32" s="41" t="e">
        <f t="shared" si="2"/>
        <v>#REF!</v>
      </c>
      <c r="AL32" s="41" t="e">
        <f t="shared" si="2"/>
        <v>#REF!</v>
      </c>
      <c r="AM32" s="41" t="e">
        <f t="shared" si="2"/>
        <v>#REF!</v>
      </c>
      <c r="AN32" s="41" t="e">
        <f t="shared" si="2"/>
        <v>#REF!</v>
      </c>
      <c r="AO32" s="41" t="e">
        <f t="shared" si="2"/>
        <v>#REF!</v>
      </c>
      <c r="AP32" s="41" t="e">
        <f t="shared" si="2"/>
        <v>#REF!</v>
      </c>
      <c r="AR32" s="43"/>
      <c r="AS32" s="41" t="e">
        <f t="shared" si="5"/>
        <v>#REF!</v>
      </c>
      <c r="AT32" s="41" t="e">
        <f t="shared" si="3"/>
        <v>#REF!</v>
      </c>
      <c r="AU32" s="41" t="e">
        <f t="shared" si="3"/>
        <v>#REF!</v>
      </c>
      <c r="AV32" s="41" t="e">
        <f t="shared" si="3"/>
        <v>#REF!</v>
      </c>
      <c r="AW32" s="41" t="e">
        <f t="shared" si="3"/>
        <v>#REF!</v>
      </c>
      <c r="AX32" s="41" t="e">
        <f t="shared" si="3"/>
        <v>#REF!</v>
      </c>
      <c r="AY32" s="41" t="e">
        <f t="shared" si="3"/>
        <v>#REF!</v>
      </c>
      <c r="AZ32" s="41" t="e">
        <f t="shared" si="3"/>
        <v>#REF!</v>
      </c>
      <c r="BA32" s="41" t="e">
        <f t="shared" si="3"/>
        <v>#REF!</v>
      </c>
      <c r="BB32" s="41" t="e">
        <f t="shared" si="3"/>
        <v>#REF!</v>
      </c>
    </row>
    <row r="33" spans="1:54" hidden="1" x14ac:dyDescent="0.25">
      <c r="A33" s="42" t="s">
        <v>98</v>
      </c>
      <c r="B33" s="42"/>
      <c r="C33" s="42"/>
      <c r="D33" s="42"/>
      <c r="AB33" s="77"/>
      <c r="AC33" s="78" t="s">
        <v>46</v>
      </c>
      <c r="AD33" s="78">
        <v>5.0347999999999997</v>
      </c>
      <c r="AE33" s="78"/>
      <c r="AF33" s="78"/>
      <c r="AG33" s="41" t="e">
        <f t="shared" si="4"/>
        <v>#REF!</v>
      </c>
      <c r="AH33" s="41" t="e">
        <f t="shared" si="2"/>
        <v>#REF!</v>
      </c>
      <c r="AI33" s="41" t="e">
        <f t="shared" si="2"/>
        <v>#REF!</v>
      </c>
      <c r="AJ33" s="41" t="e">
        <f t="shared" si="2"/>
        <v>#REF!</v>
      </c>
      <c r="AK33" s="41" t="e">
        <f t="shared" si="2"/>
        <v>#REF!</v>
      </c>
      <c r="AL33" s="41" t="e">
        <f t="shared" si="2"/>
        <v>#REF!</v>
      </c>
      <c r="AM33" s="41" t="e">
        <f t="shared" si="2"/>
        <v>#REF!</v>
      </c>
      <c r="AN33" s="41" t="e">
        <f t="shared" si="2"/>
        <v>#REF!</v>
      </c>
      <c r="AO33" s="41" t="e">
        <f t="shared" si="2"/>
        <v>#REF!</v>
      </c>
      <c r="AP33" s="41" t="e">
        <f t="shared" si="2"/>
        <v>#REF!</v>
      </c>
      <c r="AR33" s="43"/>
      <c r="AS33" s="41" t="e">
        <f t="shared" si="5"/>
        <v>#REF!</v>
      </c>
      <c r="AT33" s="41" t="e">
        <f t="shared" si="3"/>
        <v>#REF!</v>
      </c>
      <c r="AU33" s="41" t="e">
        <f t="shared" si="3"/>
        <v>#REF!</v>
      </c>
      <c r="AV33" s="41" t="e">
        <f t="shared" si="3"/>
        <v>#REF!</v>
      </c>
      <c r="AW33" s="41" t="e">
        <f t="shared" si="3"/>
        <v>#REF!</v>
      </c>
      <c r="AX33" s="41" t="e">
        <f t="shared" si="3"/>
        <v>#REF!</v>
      </c>
      <c r="AY33" s="41" t="e">
        <f t="shared" si="3"/>
        <v>#REF!</v>
      </c>
      <c r="AZ33" s="41" t="e">
        <f t="shared" si="3"/>
        <v>#REF!</v>
      </c>
      <c r="BA33" s="41" t="e">
        <f t="shared" si="3"/>
        <v>#REF!</v>
      </c>
      <c r="BB33" s="41" t="e">
        <f t="shared" si="3"/>
        <v>#REF!</v>
      </c>
    </row>
    <row r="34" spans="1:54" hidden="1" x14ac:dyDescent="0.25">
      <c r="A34" s="42" t="s">
        <v>99</v>
      </c>
      <c r="B34" s="42"/>
      <c r="C34" s="42"/>
      <c r="D34" s="42"/>
      <c r="AB34" s="77"/>
      <c r="AC34" s="78" t="s">
        <v>47</v>
      </c>
      <c r="AD34" s="78">
        <v>0</v>
      </c>
      <c r="AE34" s="78"/>
      <c r="AF34" s="78"/>
      <c r="AG34" s="41" t="e">
        <f t="shared" si="4"/>
        <v>#REF!</v>
      </c>
      <c r="AH34" s="41" t="e">
        <f t="shared" si="2"/>
        <v>#REF!</v>
      </c>
      <c r="AI34" s="41" t="e">
        <f t="shared" si="2"/>
        <v>#REF!</v>
      </c>
      <c r="AJ34" s="41" t="e">
        <f t="shared" si="2"/>
        <v>#REF!</v>
      </c>
      <c r="AK34" s="41" t="e">
        <f t="shared" si="2"/>
        <v>#REF!</v>
      </c>
      <c r="AL34" s="41" t="e">
        <f t="shared" si="2"/>
        <v>#REF!</v>
      </c>
      <c r="AM34" s="41" t="e">
        <f t="shared" si="2"/>
        <v>#REF!</v>
      </c>
      <c r="AN34" s="41" t="e">
        <f t="shared" si="2"/>
        <v>#REF!</v>
      </c>
      <c r="AO34" s="41" t="e">
        <f t="shared" si="2"/>
        <v>#REF!</v>
      </c>
      <c r="AP34" s="41" t="e">
        <f t="shared" si="2"/>
        <v>#REF!</v>
      </c>
      <c r="AR34" s="43"/>
      <c r="AS34" s="41" t="e">
        <f t="shared" si="5"/>
        <v>#REF!</v>
      </c>
      <c r="AT34" s="41" t="e">
        <f t="shared" si="3"/>
        <v>#REF!</v>
      </c>
      <c r="AU34" s="41" t="e">
        <f t="shared" si="3"/>
        <v>#REF!</v>
      </c>
      <c r="AV34" s="41" t="e">
        <f t="shared" si="3"/>
        <v>#REF!</v>
      </c>
      <c r="AW34" s="41" t="e">
        <f t="shared" si="3"/>
        <v>#REF!</v>
      </c>
      <c r="AX34" s="41" t="e">
        <f t="shared" si="3"/>
        <v>#REF!</v>
      </c>
      <c r="AY34" s="41" t="e">
        <f t="shared" si="3"/>
        <v>#REF!</v>
      </c>
      <c r="AZ34" s="41" t="e">
        <f t="shared" si="3"/>
        <v>#REF!</v>
      </c>
      <c r="BA34" s="41" t="e">
        <f t="shared" si="3"/>
        <v>#REF!</v>
      </c>
      <c r="BB34" s="41" t="e">
        <f t="shared" si="3"/>
        <v>#REF!</v>
      </c>
    </row>
    <row r="35" spans="1:54" hidden="1" x14ac:dyDescent="0.25">
      <c r="A35" s="42" t="s">
        <v>0</v>
      </c>
      <c r="B35" s="42"/>
      <c r="C35" s="42"/>
      <c r="D35" s="42"/>
      <c r="AB35" s="77"/>
      <c r="AC35" s="78" t="s">
        <v>48</v>
      </c>
      <c r="AD35" s="78">
        <v>0</v>
      </c>
      <c r="AE35" s="78"/>
      <c r="AF35" s="78"/>
      <c r="AG35" s="41" t="e">
        <f t="shared" si="4"/>
        <v>#REF!</v>
      </c>
      <c r="AH35" s="41" t="e">
        <f t="shared" si="2"/>
        <v>#REF!</v>
      </c>
      <c r="AI35" s="41" t="e">
        <f t="shared" si="2"/>
        <v>#REF!</v>
      </c>
      <c r="AJ35" s="41" t="e">
        <f t="shared" si="2"/>
        <v>#REF!</v>
      </c>
      <c r="AK35" s="41" t="e">
        <f t="shared" si="2"/>
        <v>#REF!</v>
      </c>
      <c r="AL35" s="41" t="e">
        <f t="shared" si="2"/>
        <v>#REF!</v>
      </c>
      <c r="AM35" s="41" t="e">
        <f t="shared" si="2"/>
        <v>#REF!</v>
      </c>
      <c r="AN35" s="41" t="e">
        <f t="shared" si="2"/>
        <v>#REF!</v>
      </c>
      <c r="AO35" s="41" t="e">
        <f t="shared" si="2"/>
        <v>#REF!</v>
      </c>
      <c r="AP35" s="41" t="e">
        <f t="shared" si="2"/>
        <v>#REF!</v>
      </c>
      <c r="AR35" s="43"/>
      <c r="AS35" s="41" t="e">
        <f t="shared" si="5"/>
        <v>#REF!</v>
      </c>
      <c r="AT35" s="41" t="e">
        <f t="shared" si="3"/>
        <v>#REF!</v>
      </c>
      <c r="AU35" s="41" t="e">
        <f t="shared" si="3"/>
        <v>#REF!</v>
      </c>
      <c r="AV35" s="41" t="e">
        <f t="shared" si="3"/>
        <v>#REF!</v>
      </c>
      <c r="AW35" s="41" t="e">
        <f t="shared" si="3"/>
        <v>#REF!</v>
      </c>
      <c r="AX35" s="41" t="e">
        <f t="shared" si="3"/>
        <v>#REF!</v>
      </c>
      <c r="AY35" s="41" t="e">
        <f t="shared" si="3"/>
        <v>#REF!</v>
      </c>
      <c r="AZ35" s="41" t="e">
        <f t="shared" si="3"/>
        <v>#REF!</v>
      </c>
      <c r="BA35" s="41" t="e">
        <f t="shared" si="3"/>
        <v>#REF!</v>
      </c>
      <c r="BB35" s="41" t="e">
        <f t="shared" si="3"/>
        <v>#REF!</v>
      </c>
    </row>
    <row r="36" spans="1:54" hidden="1" x14ac:dyDescent="0.25">
      <c r="A36" s="42" t="s">
        <v>70</v>
      </c>
      <c r="B36" s="42">
        <f>(0.016*(0.03/2)^0.65*(2/3)^1.5)-0.00047</f>
        <v>9.8123053326417428E-5</v>
      </c>
      <c r="C36" s="42"/>
      <c r="D36" s="42"/>
      <c r="AB36" s="77"/>
      <c r="AC36" s="78" t="s">
        <v>49</v>
      </c>
      <c r="AD36" s="78">
        <v>0</v>
      </c>
      <c r="AE36" s="78"/>
      <c r="AF36" s="78"/>
      <c r="AG36" s="41" t="e">
        <f t="shared" si="4"/>
        <v>#REF!</v>
      </c>
      <c r="AH36" s="41" t="e">
        <f t="shared" si="2"/>
        <v>#REF!</v>
      </c>
      <c r="AI36" s="41" t="e">
        <f t="shared" si="2"/>
        <v>#REF!</v>
      </c>
      <c r="AJ36" s="41" t="e">
        <f t="shared" si="2"/>
        <v>#REF!</v>
      </c>
      <c r="AK36" s="41" t="e">
        <f t="shared" si="2"/>
        <v>#REF!</v>
      </c>
      <c r="AL36" s="41" t="e">
        <f t="shared" si="2"/>
        <v>#REF!</v>
      </c>
      <c r="AM36" s="41" t="e">
        <f t="shared" si="2"/>
        <v>#REF!</v>
      </c>
      <c r="AN36" s="41" t="e">
        <f t="shared" si="2"/>
        <v>#REF!</v>
      </c>
      <c r="AO36" s="41" t="e">
        <f t="shared" si="2"/>
        <v>#REF!</v>
      </c>
      <c r="AP36" s="41" t="e">
        <f t="shared" si="2"/>
        <v>#REF!</v>
      </c>
      <c r="AR36" s="43"/>
      <c r="AS36" s="41" t="e">
        <f t="shared" si="5"/>
        <v>#REF!</v>
      </c>
      <c r="AT36" s="41" t="e">
        <f t="shared" si="3"/>
        <v>#REF!</v>
      </c>
      <c r="AU36" s="41" t="e">
        <f t="shared" si="3"/>
        <v>#REF!</v>
      </c>
      <c r="AV36" s="41" t="e">
        <f t="shared" si="3"/>
        <v>#REF!</v>
      </c>
      <c r="AW36" s="41" t="e">
        <f t="shared" si="3"/>
        <v>#REF!</v>
      </c>
      <c r="AX36" s="41" t="e">
        <f t="shared" si="3"/>
        <v>#REF!</v>
      </c>
      <c r="AY36" s="41" t="e">
        <f t="shared" si="3"/>
        <v>#REF!</v>
      </c>
      <c r="AZ36" s="41" t="e">
        <f t="shared" si="3"/>
        <v>#REF!</v>
      </c>
      <c r="BA36" s="41" t="e">
        <f t="shared" si="3"/>
        <v>#REF!</v>
      </c>
      <c r="BB36" s="41" t="e">
        <f t="shared" si="3"/>
        <v>#REF!</v>
      </c>
    </row>
    <row r="37" spans="1:54" hidden="1" x14ac:dyDescent="0.25">
      <c r="A37" s="42"/>
      <c r="B37" s="42"/>
      <c r="C37" s="42"/>
      <c r="D37" s="42"/>
      <c r="AB37" s="77"/>
      <c r="AC37" s="78" t="s">
        <v>50</v>
      </c>
      <c r="AD37" s="78">
        <v>0</v>
      </c>
      <c r="AE37" s="78"/>
      <c r="AF37" s="78"/>
      <c r="AG37" s="41" t="e">
        <f t="shared" si="4"/>
        <v>#REF!</v>
      </c>
      <c r="AH37" s="41" t="e">
        <f t="shared" si="2"/>
        <v>#REF!</v>
      </c>
      <c r="AI37" s="41" t="e">
        <f t="shared" si="2"/>
        <v>#REF!</v>
      </c>
      <c r="AJ37" s="41" t="e">
        <f t="shared" si="2"/>
        <v>#REF!</v>
      </c>
      <c r="AK37" s="41" t="e">
        <f t="shared" si="2"/>
        <v>#REF!</v>
      </c>
      <c r="AL37" s="41" t="e">
        <f t="shared" si="2"/>
        <v>#REF!</v>
      </c>
      <c r="AM37" s="41" t="e">
        <f t="shared" si="2"/>
        <v>#REF!</v>
      </c>
      <c r="AN37" s="41" t="e">
        <f t="shared" si="2"/>
        <v>#REF!</v>
      </c>
      <c r="AO37" s="41" t="e">
        <f t="shared" si="2"/>
        <v>#REF!</v>
      </c>
      <c r="AP37" s="41" t="e">
        <f t="shared" si="2"/>
        <v>#REF!</v>
      </c>
      <c r="AR37" s="43"/>
      <c r="AS37" s="41" t="e">
        <f t="shared" si="5"/>
        <v>#REF!</v>
      </c>
      <c r="AT37" s="41" t="e">
        <f t="shared" si="3"/>
        <v>#REF!</v>
      </c>
      <c r="AU37" s="41" t="e">
        <f t="shared" si="3"/>
        <v>#REF!</v>
      </c>
      <c r="AV37" s="41" t="e">
        <f t="shared" si="3"/>
        <v>#REF!</v>
      </c>
      <c r="AW37" s="41" t="e">
        <f t="shared" si="3"/>
        <v>#REF!</v>
      </c>
      <c r="AX37" s="41" t="e">
        <f t="shared" si="3"/>
        <v>#REF!</v>
      </c>
      <c r="AY37" s="41" t="e">
        <f t="shared" si="3"/>
        <v>#REF!</v>
      </c>
      <c r="AZ37" s="41" t="e">
        <f t="shared" si="3"/>
        <v>#REF!</v>
      </c>
      <c r="BA37" s="41" t="e">
        <f t="shared" si="3"/>
        <v>#REF!</v>
      </c>
      <c r="BB37" s="41" t="e">
        <f t="shared" si="3"/>
        <v>#REF!</v>
      </c>
    </row>
    <row r="38" spans="1:54" hidden="1" x14ac:dyDescent="0.25">
      <c r="A38" s="42"/>
      <c r="B38" s="42"/>
      <c r="C38" s="42"/>
      <c r="D38" s="42"/>
      <c r="AB38" s="77"/>
      <c r="AC38" s="78"/>
      <c r="AD38" s="78"/>
      <c r="AE38" s="78"/>
      <c r="AF38" s="78"/>
      <c r="AR38" s="43"/>
    </row>
    <row r="39" spans="1:54" hidden="1" x14ac:dyDescent="0.25">
      <c r="A39" s="42"/>
      <c r="B39" s="42"/>
      <c r="C39" s="42"/>
      <c r="D39" s="42"/>
      <c r="AB39" s="77" t="s">
        <v>51</v>
      </c>
      <c r="AC39" s="78" t="s">
        <v>40</v>
      </c>
      <c r="AD39" s="78" t="s">
        <v>41</v>
      </c>
      <c r="AE39" s="78"/>
      <c r="AF39" s="78"/>
      <c r="AR39" s="43"/>
    </row>
    <row r="40" spans="1:54" hidden="1" x14ac:dyDescent="0.25">
      <c r="A40" s="42" t="s">
        <v>100</v>
      </c>
      <c r="B40" s="42"/>
      <c r="C40" s="42"/>
      <c r="D40" s="42"/>
      <c r="AB40" s="77"/>
      <c r="AC40" s="78" t="s">
        <v>42</v>
      </c>
      <c r="AD40" s="78">
        <v>0</v>
      </c>
      <c r="AE40" s="78"/>
      <c r="AF40" s="78"/>
      <c r="AG40" s="41" t="e">
        <f t="shared" ref="AG40:AP48" si="6">AG$24*$AD40</f>
        <v>#REF!</v>
      </c>
      <c r="AH40" s="41" t="e">
        <f t="shared" si="6"/>
        <v>#REF!</v>
      </c>
      <c r="AI40" s="41" t="e">
        <f t="shared" si="6"/>
        <v>#REF!</v>
      </c>
      <c r="AJ40" s="41" t="e">
        <f t="shared" si="6"/>
        <v>#REF!</v>
      </c>
      <c r="AK40" s="41" t="e">
        <f t="shared" si="6"/>
        <v>#REF!</v>
      </c>
      <c r="AL40" s="41" t="e">
        <f t="shared" si="6"/>
        <v>#REF!</v>
      </c>
      <c r="AM40" s="41" t="e">
        <f t="shared" si="6"/>
        <v>#REF!</v>
      </c>
      <c r="AN40" s="41" t="e">
        <f t="shared" si="6"/>
        <v>#REF!</v>
      </c>
      <c r="AO40" s="41" t="e">
        <f t="shared" si="6"/>
        <v>#REF!</v>
      </c>
      <c r="AP40" s="41" t="e">
        <f t="shared" si="6"/>
        <v>#REF!</v>
      </c>
      <c r="AR40" s="43"/>
      <c r="AS40" s="41" t="e">
        <f t="shared" ref="AS40:BB48" si="7">AS$24*$AD40</f>
        <v>#REF!</v>
      </c>
      <c r="AT40" s="41" t="e">
        <f t="shared" si="7"/>
        <v>#REF!</v>
      </c>
      <c r="AU40" s="41" t="e">
        <f t="shared" si="7"/>
        <v>#REF!</v>
      </c>
      <c r="AV40" s="41" t="e">
        <f t="shared" si="7"/>
        <v>#REF!</v>
      </c>
      <c r="AW40" s="41" t="e">
        <f t="shared" si="7"/>
        <v>#REF!</v>
      </c>
      <c r="AX40" s="41" t="e">
        <f t="shared" si="7"/>
        <v>#REF!</v>
      </c>
      <c r="AY40" s="41" t="e">
        <f t="shared" si="7"/>
        <v>#REF!</v>
      </c>
      <c r="AZ40" s="41" t="e">
        <f t="shared" si="7"/>
        <v>#REF!</v>
      </c>
      <c r="BA40" s="41" t="e">
        <f t="shared" si="7"/>
        <v>#REF!</v>
      </c>
      <c r="BB40" s="41" t="e">
        <f t="shared" si="7"/>
        <v>#REF!</v>
      </c>
    </row>
    <row r="41" spans="1:54" hidden="1" x14ac:dyDescent="0.25">
      <c r="A41" s="42" t="s">
        <v>101</v>
      </c>
      <c r="B41" s="42"/>
      <c r="C41" s="42"/>
      <c r="D41" s="42"/>
      <c r="AB41" s="77"/>
      <c r="AC41" s="78" t="s">
        <v>43</v>
      </c>
      <c r="AD41" s="78">
        <v>6.2010000000000005</v>
      </c>
      <c r="AE41" s="78"/>
      <c r="AF41" s="78"/>
      <c r="AG41" s="41" t="e">
        <f t="shared" si="6"/>
        <v>#REF!</v>
      </c>
      <c r="AH41" s="41" t="e">
        <f t="shared" si="6"/>
        <v>#REF!</v>
      </c>
      <c r="AI41" s="41" t="e">
        <f t="shared" si="6"/>
        <v>#REF!</v>
      </c>
      <c r="AJ41" s="41" t="e">
        <f t="shared" si="6"/>
        <v>#REF!</v>
      </c>
      <c r="AK41" s="41" t="e">
        <f t="shared" si="6"/>
        <v>#REF!</v>
      </c>
      <c r="AL41" s="41" t="e">
        <f t="shared" si="6"/>
        <v>#REF!</v>
      </c>
      <c r="AM41" s="41" t="e">
        <f t="shared" si="6"/>
        <v>#REF!</v>
      </c>
      <c r="AN41" s="41" t="e">
        <f t="shared" si="6"/>
        <v>#REF!</v>
      </c>
      <c r="AO41" s="41" t="e">
        <f t="shared" si="6"/>
        <v>#REF!</v>
      </c>
      <c r="AP41" s="41" t="e">
        <f t="shared" si="6"/>
        <v>#REF!</v>
      </c>
      <c r="AR41" s="43"/>
      <c r="AS41" s="41" t="e">
        <f t="shared" si="7"/>
        <v>#REF!</v>
      </c>
      <c r="AT41" s="41" t="e">
        <f t="shared" si="7"/>
        <v>#REF!</v>
      </c>
      <c r="AU41" s="41" t="e">
        <f t="shared" si="7"/>
        <v>#REF!</v>
      </c>
      <c r="AV41" s="41" t="e">
        <f t="shared" si="7"/>
        <v>#REF!</v>
      </c>
      <c r="AW41" s="41" t="e">
        <f t="shared" si="7"/>
        <v>#REF!</v>
      </c>
      <c r="AX41" s="41" t="e">
        <f t="shared" si="7"/>
        <v>#REF!</v>
      </c>
      <c r="AY41" s="41" t="e">
        <f t="shared" si="7"/>
        <v>#REF!</v>
      </c>
      <c r="AZ41" s="41" t="e">
        <f t="shared" si="7"/>
        <v>#REF!</v>
      </c>
      <c r="BA41" s="41" t="e">
        <f t="shared" si="7"/>
        <v>#REF!</v>
      </c>
      <c r="BB41" s="41" t="e">
        <f t="shared" si="7"/>
        <v>#REF!</v>
      </c>
    </row>
    <row r="42" spans="1:54" hidden="1" x14ac:dyDescent="0.25">
      <c r="A42" s="42" t="s">
        <v>102</v>
      </c>
      <c r="B42" s="42"/>
      <c r="C42" s="42"/>
      <c r="D42" s="42"/>
      <c r="AB42" s="77"/>
      <c r="AC42" s="78" t="s">
        <v>44</v>
      </c>
      <c r="AD42" s="78">
        <v>0</v>
      </c>
      <c r="AE42" s="78"/>
      <c r="AF42" s="78"/>
      <c r="AG42" s="41" t="e">
        <f t="shared" si="6"/>
        <v>#REF!</v>
      </c>
      <c r="AH42" s="41" t="e">
        <f t="shared" si="6"/>
        <v>#REF!</v>
      </c>
      <c r="AI42" s="41" t="e">
        <f t="shared" si="6"/>
        <v>#REF!</v>
      </c>
      <c r="AJ42" s="41" t="e">
        <f t="shared" si="6"/>
        <v>#REF!</v>
      </c>
      <c r="AK42" s="41" t="e">
        <f t="shared" si="6"/>
        <v>#REF!</v>
      </c>
      <c r="AL42" s="41" t="e">
        <f t="shared" si="6"/>
        <v>#REF!</v>
      </c>
      <c r="AM42" s="41" t="e">
        <f t="shared" si="6"/>
        <v>#REF!</v>
      </c>
      <c r="AN42" s="41" t="e">
        <f t="shared" si="6"/>
        <v>#REF!</v>
      </c>
      <c r="AO42" s="41" t="e">
        <f t="shared" si="6"/>
        <v>#REF!</v>
      </c>
      <c r="AP42" s="41" t="e">
        <f t="shared" si="6"/>
        <v>#REF!</v>
      </c>
      <c r="AR42" s="43"/>
      <c r="AS42" s="41" t="e">
        <f t="shared" si="7"/>
        <v>#REF!</v>
      </c>
      <c r="AT42" s="41" t="e">
        <f t="shared" si="7"/>
        <v>#REF!</v>
      </c>
      <c r="AU42" s="41" t="e">
        <f t="shared" si="7"/>
        <v>#REF!</v>
      </c>
      <c r="AV42" s="41" t="e">
        <f t="shared" si="7"/>
        <v>#REF!</v>
      </c>
      <c r="AW42" s="41" t="e">
        <f t="shared" si="7"/>
        <v>#REF!</v>
      </c>
      <c r="AX42" s="41" t="e">
        <f t="shared" si="7"/>
        <v>#REF!</v>
      </c>
      <c r="AY42" s="41" t="e">
        <f t="shared" si="7"/>
        <v>#REF!</v>
      </c>
      <c r="AZ42" s="41" t="e">
        <f t="shared" si="7"/>
        <v>#REF!</v>
      </c>
      <c r="BA42" s="41" t="e">
        <f t="shared" si="7"/>
        <v>#REF!</v>
      </c>
      <c r="BB42" s="41" t="e">
        <f t="shared" si="7"/>
        <v>#REF!</v>
      </c>
    </row>
    <row r="43" spans="1:54" hidden="1" x14ac:dyDescent="0.25">
      <c r="A43" s="42" t="s">
        <v>103</v>
      </c>
      <c r="B43" s="42"/>
      <c r="C43" s="42"/>
      <c r="D43" s="42"/>
      <c r="AB43" s="77"/>
      <c r="AC43" s="78" t="s">
        <v>45</v>
      </c>
      <c r="AD43" s="78">
        <v>9.8037500000000009</v>
      </c>
      <c r="AE43" s="78"/>
      <c r="AF43" s="78"/>
      <c r="AG43" s="41" t="e">
        <f t="shared" si="6"/>
        <v>#REF!</v>
      </c>
      <c r="AH43" s="41" t="e">
        <f t="shared" si="6"/>
        <v>#REF!</v>
      </c>
      <c r="AI43" s="41" t="e">
        <f t="shared" si="6"/>
        <v>#REF!</v>
      </c>
      <c r="AJ43" s="41" t="e">
        <f t="shared" si="6"/>
        <v>#REF!</v>
      </c>
      <c r="AK43" s="41" t="e">
        <f t="shared" si="6"/>
        <v>#REF!</v>
      </c>
      <c r="AL43" s="41" t="e">
        <f t="shared" si="6"/>
        <v>#REF!</v>
      </c>
      <c r="AM43" s="41" t="e">
        <f t="shared" si="6"/>
        <v>#REF!</v>
      </c>
      <c r="AN43" s="41" t="e">
        <f t="shared" si="6"/>
        <v>#REF!</v>
      </c>
      <c r="AO43" s="41" t="e">
        <f t="shared" si="6"/>
        <v>#REF!</v>
      </c>
      <c r="AP43" s="41" t="e">
        <f t="shared" si="6"/>
        <v>#REF!</v>
      </c>
      <c r="AR43" s="43"/>
      <c r="AS43" s="41" t="e">
        <f t="shared" si="7"/>
        <v>#REF!</v>
      </c>
      <c r="AT43" s="41" t="e">
        <f t="shared" si="7"/>
        <v>#REF!</v>
      </c>
      <c r="AU43" s="41" t="e">
        <f t="shared" si="7"/>
        <v>#REF!</v>
      </c>
      <c r="AV43" s="41" t="e">
        <f t="shared" si="7"/>
        <v>#REF!</v>
      </c>
      <c r="AW43" s="41" t="e">
        <f t="shared" si="7"/>
        <v>#REF!</v>
      </c>
      <c r="AX43" s="41" t="e">
        <f t="shared" si="7"/>
        <v>#REF!</v>
      </c>
      <c r="AY43" s="41" t="e">
        <f t="shared" si="7"/>
        <v>#REF!</v>
      </c>
      <c r="AZ43" s="41" t="e">
        <f t="shared" si="7"/>
        <v>#REF!</v>
      </c>
      <c r="BA43" s="41" t="e">
        <f t="shared" si="7"/>
        <v>#REF!</v>
      </c>
      <c r="BB43" s="41" t="e">
        <f t="shared" si="7"/>
        <v>#REF!</v>
      </c>
    </row>
    <row r="44" spans="1:54" hidden="1" x14ac:dyDescent="0.25">
      <c r="A44" s="42" t="s">
        <v>104</v>
      </c>
      <c r="B44" s="42"/>
      <c r="C44" s="42"/>
      <c r="D44" s="42"/>
      <c r="AB44" s="77"/>
      <c r="AC44" s="78" t="s">
        <v>46</v>
      </c>
      <c r="AD44" s="78">
        <v>7.2451999999999996</v>
      </c>
      <c r="AE44" s="78"/>
      <c r="AF44" s="78"/>
      <c r="AG44" s="41" t="e">
        <f t="shared" si="6"/>
        <v>#REF!</v>
      </c>
      <c r="AH44" s="41" t="e">
        <f t="shared" si="6"/>
        <v>#REF!</v>
      </c>
      <c r="AI44" s="41" t="e">
        <f t="shared" si="6"/>
        <v>#REF!</v>
      </c>
      <c r="AJ44" s="41" t="e">
        <f t="shared" si="6"/>
        <v>#REF!</v>
      </c>
      <c r="AK44" s="41" t="e">
        <f t="shared" si="6"/>
        <v>#REF!</v>
      </c>
      <c r="AL44" s="41" t="e">
        <f t="shared" si="6"/>
        <v>#REF!</v>
      </c>
      <c r="AM44" s="41" t="e">
        <f t="shared" si="6"/>
        <v>#REF!</v>
      </c>
      <c r="AN44" s="41" t="e">
        <f t="shared" si="6"/>
        <v>#REF!</v>
      </c>
      <c r="AO44" s="41" t="e">
        <f t="shared" si="6"/>
        <v>#REF!</v>
      </c>
      <c r="AP44" s="41" t="e">
        <f t="shared" si="6"/>
        <v>#REF!</v>
      </c>
      <c r="AR44" s="43"/>
      <c r="AS44" s="41" t="e">
        <f t="shared" si="7"/>
        <v>#REF!</v>
      </c>
      <c r="AT44" s="41" t="e">
        <f t="shared" si="7"/>
        <v>#REF!</v>
      </c>
      <c r="AU44" s="41" t="e">
        <f t="shared" si="7"/>
        <v>#REF!</v>
      </c>
      <c r="AV44" s="41" t="e">
        <f t="shared" si="7"/>
        <v>#REF!</v>
      </c>
      <c r="AW44" s="41" t="e">
        <f t="shared" si="7"/>
        <v>#REF!</v>
      </c>
      <c r="AX44" s="41" t="e">
        <f t="shared" si="7"/>
        <v>#REF!</v>
      </c>
      <c r="AY44" s="41" t="e">
        <f t="shared" si="7"/>
        <v>#REF!</v>
      </c>
      <c r="AZ44" s="41" t="e">
        <f t="shared" si="7"/>
        <v>#REF!</v>
      </c>
      <c r="BA44" s="41" t="e">
        <f t="shared" si="7"/>
        <v>#REF!</v>
      </c>
      <c r="BB44" s="41" t="e">
        <f t="shared" si="7"/>
        <v>#REF!</v>
      </c>
    </row>
    <row r="45" spans="1:54" hidden="1" x14ac:dyDescent="0.25">
      <c r="A45" s="42" t="s">
        <v>96</v>
      </c>
      <c r="B45" s="42"/>
      <c r="C45" s="42"/>
      <c r="D45" s="42"/>
      <c r="AB45" s="77"/>
      <c r="AC45" s="78" t="s">
        <v>47</v>
      </c>
      <c r="AD45" s="78">
        <v>3.6</v>
      </c>
      <c r="AE45" s="78"/>
      <c r="AF45" s="78"/>
      <c r="AG45" s="41" t="e">
        <f t="shared" si="6"/>
        <v>#REF!</v>
      </c>
      <c r="AH45" s="41" t="e">
        <f t="shared" si="6"/>
        <v>#REF!</v>
      </c>
      <c r="AI45" s="41" t="e">
        <f t="shared" si="6"/>
        <v>#REF!</v>
      </c>
      <c r="AJ45" s="41" t="e">
        <f t="shared" si="6"/>
        <v>#REF!</v>
      </c>
      <c r="AK45" s="41" t="e">
        <f t="shared" si="6"/>
        <v>#REF!</v>
      </c>
      <c r="AL45" s="41" t="e">
        <f t="shared" si="6"/>
        <v>#REF!</v>
      </c>
      <c r="AM45" s="41" t="e">
        <f t="shared" si="6"/>
        <v>#REF!</v>
      </c>
      <c r="AN45" s="41" t="e">
        <f t="shared" si="6"/>
        <v>#REF!</v>
      </c>
      <c r="AO45" s="41" t="e">
        <f t="shared" si="6"/>
        <v>#REF!</v>
      </c>
      <c r="AP45" s="41" t="e">
        <f t="shared" si="6"/>
        <v>#REF!</v>
      </c>
      <c r="AR45" s="43"/>
      <c r="AS45" s="41" t="e">
        <f t="shared" si="7"/>
        <v>#REF!</v>
      </c>
      <c r="AT45" s="41" t="e">
        <f t="shared" si="7"/>
        <v>#REF!</v>
      </c>
      <c r="AU45" s="41" t="e">
        <f t="shared" si="7"/>
        <v>#REF!</v>
      </c>
      <c r="AV45" s="41" t="e">
        <f t="shared" si="7"/>
        <v>#REF!</v>
      </c>
      <c r="AW45" s="41" t="e">
        <f t="shared" si="7"/>
        <v>#REF!</v>
      </c>
      <c r="AX45" s="41" t="e">
        <f t="shared" si="7"/>
        <v>#REF!</v>
      </c>
      <c r="AY45" s="41" t="e">
        <f t="shared" si="7"/>
        <v>#REF!</v>
      </c>
      <c r="AZ45" s="41" t="e">
        <f t="shared" si="7"/>
        <v>#REF!</v>
      </c>
      <c r="BA45" s="41" t="e">
        <f t="shared" si="7"/>
        <v>#REF!</v>
      </c>
      <c r="BB45" s="41" t="e">
        <f t="shared" si="7"/>
        <v>#REF!</v>
      </c>
    </row>
    <row r="46" spans="1:54" hidden="1" x14ac:dyDescent="0.25">
      <c r="A46" s="42" t="s">
        <v>105</v>
      </c>
      <c r="B46" s="42"/>
      <c r="C46" s="42"/>
      <c r="D46" s="42"/>
      <c r="AB46" s="77"/>
      <c r="AC46" s="78" t="s">
        <v>48</v>
      </c>
      <c r="AD46" s="78">
        <v>6.1984000000000004</v>
      </c>
      <c r="AE46" s="78"/>
      <c r="AF46" s="78"/>
      <c r="AG46" s="41" t="e">
        <f t="shared" si="6"/>
        <v>#REF!</v>
      </c>
      <c r="AH46" s="41" t="e">
        <f t="shared" si="6"/>
        <v>#REF!</v>
      </c>
      <c r="AI46" s="41" t="e">
        <f t="shared" si="6"/>
        <v>#REF!</v>
      </c>
      <c r="AJ46" s="41" t="e">
        <f t="shared" si="6"/>
        <v>#REF!</v>
      </c>
      <c r="AK46" s="41" t="e">
        <f t="shared" si="6"/>
        <v>#REF!</v>
      </c>
      <c r="AL46" s="41" t="e">
        <f t="shared" si="6"/>
        <v>#REF!</v>
      </c>
      <c r="AM46" s="41" t="e">
        <f t="shared" si="6"/>
        <v>#REF!</v>
      </c>
      <c r="AN46" s="41" t="e">
        <f t="shared" si="6"/>
        <v>#REF!</v>
      </c>
      <c r="AO46" s="41" t="e">
        <f t="shared" si="6"/>
        <v>#REF!</v>
      </c>
      <c r="AP46" s="41" t="e">
        <f t="shared" si="6"/>
        <v>#REF!</v>
      </c>
      <c r="AR46" s="43"/>
      <c r="AS46" s="41" t="e">
        <f t="shared" si="7"/>
        <v>#REF!</v>
      </c>
      <c r="AT46" s="41" t="e">
        <f t="shared" si="7"/>
        <v>#REF!</v>
      </c>
      <c r="AU46" s="41" t="e">
        <f t="shared" si="7"/>
        <v>#REF!</v>
      </c>
      <c r="AV46" s="41" t="e">
        <f t="shared" si="7"/>
        <v>#REF!</v>
      </c>
      <c r="AW46" s="41" t="e">
        <f t="shared" si="7"/>
        <v>#REF!</v>
      </c>
      <c r="AX46" s="41" t="e">
        <f t="shared" si="7"/>
        <v>#REF!</v>
      </c>
      <c r="AY46" s="41" t="e">
        <f t="shared" si="7"/>
        <v>#REF!</v>
      </c>
      <c r="AZ46" s="41" t="e">
        <f t="shared" si="7"/>
        <v>#REF!</v>
      </c>
      <c r="BA46" s="41" t="e">
        <f t="shared" si="7"/>
        <v>#REF!</v>
      </c>
      <c r="BB46" s="41" t="e">
        <f t="shared" si="7"/>
        <v>#REF!</v>
      </c>
    </row>
    <row r="47" spans="1:54" hidden="1" x14ac:dyDescent="0.25">
      <c r="A47" s="42" t="s">
        <v>106</v>
      </c>
      <c r="B47" s="42"/>
      <c r="C47" s="42"/>
      <c r="D47" s="42"/>
      <c r="AB47" s="77"/>
      <c r="AC47" s="78" t="s">
        <v>49</v>
      </c>
      <c r="AD47" s="78">
        <v>5.1995100000000001</v>
      </c>
      <c r="AE47" s="78"/>
      <c r="AF47" s="78"/>
      <c r="AG47" s="41" t="e">
        <f t="shared" si="6"/>
        <v>#REF!</v>
      </c>
      <c r="AH47" s="41" t="e">
        <f t="shared" si="6"/>
        <v>#REF!</v>
      </c>
      <c r="AI47" s="41" t="e">
        <f t="shared" si="6"/>
        <v>#REF!</v>
      </c>
      <c r="AJ47" s="41" t="e">
        <f t="shared" si="6"/>
        <v>#REF!</v>
      </c>
      <c r="AK47" s="41" t="e">
        <f t="shared" si="6"/>
        <v>#REF!</v>
      </c>
      <c r="AL47" s="41" t="e">
        <f t="shared" si="6"/>
        <v>#REF!</v>
      </c>
      <c r="AM47" s="41" t="e">
        <f t="shared" si="6"/>
        <v>#REF!</v>
      </c>
      <c r="AN47" s="41" t="e">
        <f t="shared" si="6"/>
        <v>#REF!</v>
      </c>
      <c r="AO47" s="41" t="e">
        <f t="shared" si="6"/>
        <v>#REF!</v>
      </c>
      <c r="AP47" s="41" t="e">
        <f t="shared" si="6"/>
        <v>#REF!</v>
      </c>
      <c r="AR47" s="43"/>
      <c r="AS47" s="41" t="e">
        <f t="shared" si="7"/>
        <v>#REF!</v>
      </c>
      <c r="AT47" s="41" t="e">
        <f t="shared" si="7"/>
        <v>#REF!</v>
      </c>
      <c r="AU47" s="41" t="e">
        <f t="shared" si="7"/>
        <v>#REF!</v>
      </c>
      <c r="AV47" s="41" t="e">
        <f t="shared" si="7"/>
        <v>#REF!</v>
      </c>
      <c r="AW47" s="41" t="e">
        <f t="shared" si="7"/>
        <v>#REF!</v>
      </c>
      <c r="AX47" s="41" t="e">
        <f t="shared" si="7"/>
        <v>#REF!</v>
      </c>
      <c r="AY47" s="41" t="e">
        <f t="shared" si="7"/>
        <v>#REF!</v>
      </c>
      <c r="AZ47" s="41" t="e">
        <f t="shared" si="7"/>
        <v>#REF!</v>
      </c>
      <c r="BA47" s="41" t="e">
        <f t="shared" si="7"/>
        <v>#REF!</v>
      </c>
      <c r="BB47" s="41" t="e">
        <f t="shared" si="7"/>
        <v>#REF!</v>
      </c>
    </row>
    <row r="48" spans="1:54" hidden="1" x14ac:dyDescent="0.25">
      <c r="A48" s="42" t="s">
        <v>0</v>
      </c>
      <c r="B48" s="42"/>
      <c r="C48" s="42"/>
      <c r="D48" s="42"/>
      <c r="AB48" s="77"/>
      <c r="AC48" s="78" t="s">
        <v>50</v>
      </c>
      <c r="AD48" s="78">
        <v>17.71416</v>
      </c>
      <c r="AE48" s="78"/>
      <c r="AF48" s="78"/>
      <c r="AG48" s="41" t="e">
        <f t="shared" si="6"/>
        <v>#REF!</v>
      </c>
      <c r="AH48" s="41" t="e">
        <f t="shared" si="6"/>
        <v>#REF!</v>
      </c>
      <c r="AI48" s="41" t="e">
        <f t="shared" si="6"/>
        <v>#REF!</v>
      </c>
      <c r="AJ48" s="41" t="e">
        <f t="shared" si="6"/>
        <v>#REF!</v>
      </c>
      <c r="AK48" s="41" t="e">
        <f t="shared" si="6"/>
        <v>#REF!</v>
      </c>
      <c r="AL48" s="41" t="e">
        <f t="shared" si="6"/>
        <v>#REF!</v>
      </c>
      <c r="AM48" s="41" t="e">
        <f t="shared" si="6"/>
        <v>#REF!</v>
      </c>
      <c r="AN48" s="41" t="e">
        <f t="shared" si="6"/>
        <v>#REF!</v>
      </c>
      <c r="AO48" s="41" t="e">
        <f t="shared" si="6"/>
        <v>#REF!</v>
      </c>
      <c r="AP48" s="41" t="e">
        <f t="shared" si="6"/>
        <v>#REF!</v>
      </c>
      <c r="AR48" s="43"/>
      <c r="AS48" s="41" t="e">
        <f t="shared" si="7"/>
        <v>#REF!</v>
      </c>
      <c r="AT48" s="41" t="e">
        <f t="shared" si="7"/>
        <v>#REF!</v>
      </c>
      <c r="AU48" s="41" t="e">
        <f t="shared" si="7"/>
        <v>#REF!</v>
      </c>
      <c r="AV48" s="41" t="e">
        <f t="shared" si="7"/>
        <v>#REF!</v>
      </c>
      <c r="AW48" s="41" t="e">
        <f t="shared" si="7"/>
        <v>#REF!</v>
      </c>
      <c r="AX48" s="41" t="e">
        <f t="shared" si="7"/>
        <v>#REF!</v>
      </c>
      <c r="AY48" s="41" t="e">
        <f t="shared" si="7"/>
        <v>#REF!</v>
      </c>
      <c r="AZ48" s="41" t="e">
        <f t="shared" si="7"/>
        <v>#REF!</v>
      </c>
      <c r="BA48" s="41" t="e">
        <f t="shared" si="7"/>
        <v>#REF!</v>
      </c>
      <c r="BB48" s="41" t="e">
        <f t="shared" si="7"/>
        <v>#REF!</v>
      </c>
    </row>
    <row r="49" spans="1:54" hidden="1" x14ac:dyDescent="0.25">
      <c r="A49" s="42" t="s">
        <v>70</v>
      </c>
      <c r="B49" s="42">
        <f>0.39*1.5*(8.5/12)^0.9*(2/3)^0.45</f>
        <v>0.35737873826145539</v>
      </c>
      <c r="C49" s="42"/>
      <c r="D49" s="42"/>
      <c r="AB49" s="77"/>
      <c r="AC49" s="78"/>
      <c r="AD49" s="78"/>
      <c r="AE49" s="78"/>
      <c r="AF49" s="78"/>
      <c r="AR49" s="43"/>
    </row>
    <row r="50" spans="1:54" hidden="1" x14ac:dyDescent="0.25">
      <c r="A50" s="42" t="s">
        <v>71</v>
      </c>
      <c r="B50" s="42">
        <f>0.39*0.15*(8.5/12)^0.9*(2/3)^0.45</f>
        <v>3.5737873826145544E-2</v>
      </c>
      <c r="C50" s="42"/>
      <c r="D50" s="42"/>
      <c r="AB50" s="77" t="s">
        <v>52</v>
      </c>
      <c r="AC50" s="78" t="s">
        <v>40</v>
      </c>
      <c r="AD50" s="78" t="s">
        <v>41</v>
      </c>
      <c r="AE50" s="78"/>
      <c r="AF50" s="78"/>
      <c r="AR50" s="43"/>
    </row>
    <row r="51" spans="1:54" hidden="1" x14ac:dyDescent="0.25">
      <c r="AB51" s="77"/>
      <c r="AC51" s="78" t="s">
        <v>42</v>
      </c>
      <c r="AD51" s="78">
        <v>0</v>
      </c>
      <c r="AE51" s="78"/>
      <c r="AF51" s="78"/>
      <c r="AG51" s="41" t="e">
        <f t="shared" ref="AG51:AP59" si="8">AG$24*$AD51</f>
        <v>#REF!</v>
      </c>
      <c r="AH51" s="41" t="e">
        <f t="shared" si="8"/>
        <v>#REF!</v>
      </c>
      <c r="AI51" s="41" t="e">
        <f t="shared" si="8"/>
        <v>#REF!</v>
      </c>
      <c r="AJ51" s="41" t="e">
        <f t="shared" si="8"/>
        <v>#REF!</v>
      </c>
      <c r="AK51" s="41" t="e">
        <f t="shared" si="8"/>
        <v>#REF!</v>
      </c>
      <c r="AL51" s="41" t="e">
        <f t="shared" si="8"/>
        <v>#REF!</v>
      </c>
      <c r="AM51" s="41" t="e">
        <f t="shared" si="8"/>
        <v>#REF!</v>
      </c>
      <c r="AN51" s="41" t="e">
        <f t="shared" si="8"/>
        <v>#REF!</v>
      </c>
      <c r="AO51" s="41" t="e">
        <f t="shared" si="8"/>
        <v>#REF!</v>
      </c>
      <c r="AP51" s="41" t="e">
        <f t="shared" si="8"/>
        <v>#REF!</v>
      </c>
      <c r="AR51" s="43"/>
      <c r="AS51" s="41" t="e">
        <f t="shared" ref="AS51:BB59" si="9">AS$24*$AD51</f>
        <v>#REF!</v>
      </c>
      <c r="AT51" s="41" t="e">
        <f t="shared" si="9"/>
        <v>#REF!</v>
      </c>
      <c r="AU51" s="41" t="e">
        <f t="shared" si="9"/>
        <v>#REF!</v>
      </c>
      <c r="AV51" s="41" t="e">
        <f t="shared" si="9"/>
        <v>#REF!</v>
      </c>
      <c r="AW51" s="41" t="e">
        <f t="shared" si="9"/>
        <v>#REF!</v>
      </c>
      <c r="AX51" s="41" t="e">
        <f t="shared" si="9"/>
        <v>#REF!</v>
      </c>
      <c r="AY51" s="41" t="e">
        <f t="shared" si="9"/>
        <v>#REF!</v>
      </c>
      <c r="AZ51" s="41" t="e">
        <f t="shared" si="9"/>
        <v>#REF!</v>
      </c>
      <c r="BA51" s="41" t="e">
        <f t="shared" si="9"/>
        <v>#REF!</v>
      </c>
      <c r="BB51" s="41" t="e">
        <f t="shared" si="9"/>
        <v>#REF!</v>
      </c>
    </row>
    <row r="52" spans="1:54" hidden="1" x14ac:dyDescent="0.25">
      <c r="AB52" s="77"/>
      <c r="AC52" s="78" t="s">
        <v>43</v>
      </c>
      <c r="AD52" s="78">
        <v>0</v>
      </c>
      <c r="AE52" s="78"/>
      <c r="AF52" s="78"/>
      <c r="AG52" s="41" t="e">
        <f t="shared" si="8"/>
        <v>#REF!</v>
      </c>
      <c r="AH52" s="41" t="e">
        <f t="shared" si="8"/>
        <v>#REF!</v>
      </c>
      <c r="AI52" s="41" t="e">
        <f t="shared" si="8"/>
        <v>#REF!</v>
      </c>
      <c r="AJ52" s="41" t="e">
        <f t="shared" si="8"/>
        <v>#REF!</v>
      </c>
      <c r="AK52" s="41" t="e">
        <f t="shared" si="8"/>
        <v>#REF!</v>
      </c>
      <c r="AL52" s="41" t="e">
        <f t="shared" si="8"/>
        <v>#REF!</v>
      </c>
      <c r="AM52" s="41" t="e">
        <f t="shared" si="8"/>
        <v>#REF!</v>
      </c>
      <c r="AN52" s="41" t="e">
        <f t="shared" si="8"/>
        <v>#REF!</v>
      </c>
      <c r="AO52" s="41" t="e">
        <f t="shared" si="8"/>
        <v>#REF!</v>
      </c>
      <c r="AP52" s="41" t="e">
        <f t="shared" si="8"/>
        <v>#REF!</v>
      </c>
      <c r="AR52" s="43"/>
      <c r="AS52" s="41" t="e">
        <f t="shared" si="9"/>
        <v>#REF!</v>
      </c>
      <c r="AT52" s="41" t="e">
        <f t="shared" si="9"/>
        <v>#REF!</v>
      </c>
      <c r="AU52" s="41" t="e">
        <f t="shared" si="9"/>
        <v>#REF!</v>
      </c>
      <c r="AV52" s="41" t="e">
        <f t="shared" si="9"/>
        <v>#REF!</v>
      </c>
      <c r="AW52" s="41" t="e">
        <f t="shared" si="9"/>
        <v>#REF!</v>
      </c>
      <c r="AX52" s="41" t="e">
        <f t="shared" si="9"/>
        <v>#REF!</v>
      </c>
      <c r="AY52" s="41" t="e">
        <f t="shared" si="9"/>
        <v>#REF!</v>
      </c>
      <c r="AZ52" s="41" t="e">
        <f t="shared" si="9"/>
        <v>#REF!</v>
      </c>
      <c r="BA52" s="41" t="e">
        <f t="shared" si="9"/>
        <v>#REF!</v>
      </c>
      <c r="BB52" s="41" t="e">
        <f t="shared" si="9"/>
        <v>#REF!</v>
      </c>
    </row>
    <row r="53" spans="1:54" hidden="1" x14ac:dyDescent="0.25">
      <c r="AB53" s="77"/>
      <c r="AC53" s="78" t="s">
        <v>44</v>
      </c>
      <c r="AD53" s="78">
        <v>0</v>
      </c>
      <c r="AE53" s="78"/>
      <c r="AF53" s="78"/>
      <c r="AG53" s="41" t="e">
        <f t="shared" si="8"/>
        <v>#REF!</v>
      </c>
      <c r="AH53" s="41" t="e">
        <f t="shared" si="8"/>
        <v>#REF!</v>
      </c>
      <c r="AI53" s="41" t="e">
        <f t="shared" si="8"/>
        <v>#REF!</v>
      </c>
      <c r="AJ53" s="41" t="e">
        <f t="shared" si="8"/>
        <v>#REF!</v>
      </c>
      <c r="AK53" s="41" t="e">
        <f t="shared" si="8"/>
        <v>#REF!</v>
      </c>
      <c r="AL53" s="41" t="e">
        <f t="shared" si="8"/>
        <v>#REF!</v>
      </c>
      <c r="AM53" s="41" t="e">
        <f t="shared" si="8"/>
        <v>#REF!</v>
      </c>
      <c r="AN53" s="41" t="e">
        <f t="shared" si="8"/>
        <v>#REF!</v>
      </c>
      <c r="AO53" s="41" t="e">
        <f t="shared" si="8"/>
        <v>#REF!</v>
      </c>
      <c r="AP53" s="41" t="e">
        <f t="shared" si="8"/>
        <v>#REF!</v>
      </c>
      <c r="AR53" s="43"/>
      <c r="AS53" s="41" t="e">
        <f t="shared" si="9"/>
        <v>#REF!</v>
      </c>
      <c r="AT53" s="41" t="e">
        <f t="shared" si="9"/>
        <v>#REF!</v>
      </c>
      <c r="AU53" s="41" t="e">
        <f t="shared" si="9"/>
        <v>#REF!</v>
      </c>
      <c r="AV53" s="41" t="e">
        <f t="shared" si="9"/>
        <v>#REF!</v>
      </c>
      <c r="AW53" s="41" t="e">
        <f t="shared" si="9"/>
        <v>#REF!</v>
      </c>
      <c r="AX53" s="41" t="e">
        <f t="shared" si="9"/>
        <v>#REF!</v>
      </c>
      <c r="AY53" s="41" t="e">
        <f t="shared" si="9"/>
        <v>#REF!</v>
      </c>
      <c r="AZ53" s="41" t="e">
        <f t="shared" si="9"/>
        <v>#REF!</v>
      </c>
      <c r="BA53" s="41" t="e">
        <f t="shared" si="9"/>
        <v>#REF!</v>
      </c>
      <c r="BB53" s="41" t="e">
        <f t="shared" si="9"/>
        <v>#REF!</v>
      </c>
    </row>
    <row r="54" spans="1:54" hidden="1" x14ac:dyDescent="0.25">
      <c r="AB54" s="77"/>
      <c r="AC54" s="78" t="s">
        <v>45</v>
      </c>
      <c r="AD54" s="78">
        <v>16.541599999999999</v>
      </c>
      <c r="AE54" s="78"/>
      <c r="AF54" s="78"/>
      <c r="AG54" s="41" t="e">
        <f t="shared" si="8"/>
        <v>#REF!</v>
      </c>
      <c r="AH54" s="41" t="e">
        <f t="shared" si="8"/>
        <v>#REF!</v>
      </c>
      <c r="AI54" s="41" t="e">
        <f t="shared" si="8"/>
        <v>#REF!</v>
      </c>
      <c r="AJ54" s="41" t="e">
        <f t="shared" si="8"/>
        <v>#REF!</v>
      </c>
      <c r="AK54" s="41" t="e">
        <f t="shared" si="8"/>
        <v>#REF!</v>
      </c>
      <c r="AL54" s="41" t="e">
        <f t="shared" si="8"/>
        <v>#REF!</v>
      </c>
      <c r="AM54" s="41" t="e">
        <f t="shared" si="8"/>
        <v>#REF!</v>
      </c>
      <c r="AN54" s="41" t="e">
        <f t="shared" si="8"/>
        <v>#REF!</v>
      </c>
      <c r="AO54" s="41" t="e">
        <f t="shared" si="8"/>
        <v>#REF!</v>
      </c>
      <c r="AP54" s="41" t="e">
        <f t="shared" si="8"/>
        <v>#REF!</v>
      </c>
      <c r="AR54" s="43"/>
      <c r="AS54" s="41" t="e">
        <f t="shared" si="9"/>
        <v>#REF!</v>
      </c>
      <c r="AT54" s="41" t="e">
        <f t="shared" si="9"/>
        <v>#REF!</v>
      </c>
      <c r="AU54" s="41" t="e">
        <f t="shared" si="9"/>
        <v>#REF!</v>
      </c>
      <c r="AV54" s="41" t="e">
        <f t="shared" si="9"/>
        <v>#REF!</v>
      </c>
      <c r="AW54" s="41" t="e">
        <f t="shared" si="9"/>
        <v>#REF!</v>
      </c>
      <c r="AX54" s="41" t="e">
        <f t="shared" si="9"/>
        <v>#REF!</v>
      </c>
      <c r="AY54" s="41" t="e">
        <f t="shared" si="9"/>
        <v>#REF!</v>
      </c>
      <c r="AZ54" s="41" t="e">
        <f t="shared" si="9"/>
        <v>#REF!</v>
      </c>
      <c r="BA54" s="41" t="e">
        <f t="shared" si="9"/>
        <v>#REF!</v>
      </c>
      <c r="BB54" s="41" t="e">
        <f t="shared" si="9"/>
        <v>#REF!</v>
      </c>
    </row>
    <row r="55" spans="1:54" hidden="1" x14ac:dyDescent="0.25">
      <c r="AB55" s="77"/>
      <c r="AC55" s="78" t="s">
        <v>46</v>
      </c>
      <c r="AD55" s="78">
        <v>0</v>
      </c>
      <c r="AE55" s="78"/>
      <c r="AF55" s="78"/>
      <c r="AG55" s="41" t="e">
        <f t="shared" si="8"/>
        <v>#REF!</v>
      </c>
      <c r="AH55" s="41" t="e">
        <f t="shared" si="8"/>
        <v>#REF!</v>
      </c>
      <c r="AI55" s="41" t="e">
        <f t="shared" si="8"/>
        <v>#REF!</v>
      </c>
      <c r="AJ55" s="41" t="e">
        <f t="shared" si="8"/>
        <v>#REF!</v>
      </c>
      <c r="AK55" s="41" t="e">
        <f t="shared" si="8"/>
        <v>#REF!</v>
      </c>
      <c r="AL55" s="41" t="e">
        <f t="shared" si="8"/>
        <v>#REF!</v>
      </c>
      <c r="AM55" s="41" t="e">
        <f t="shared" si="8"/>
        <v>#REF!</v>
      </c>
      <c r="AN55" s="41" t="e">
        <f t="shared" si="8"/>
        <v>#REF!</v>
      </c>
      <c r="AO55" s="41" t="e">
        <f t="shared" si="8"/>
        <v>#REF!</v>
      </c>
      <c r="AP55" s="41" t="e">
        <f t="shared" si="8"/>
        <v>#REF!</v>
      </c>
      <c r="AR55" s="43"/>
      <c r="AS55" s="41" t="e">
        <f t="shared" si="9"/>
        <v>#REF!</v>
      </c>
      <c r="AT55" s="41" t="e">
        <f t="shared" si="9"/>
        <v>#REF!</v>
      </c>
      <c r="AU55" s="41" t="e">
        <f t="shared" si="9"/>
        <v>#REF!</v>
      </c>
      <c r="AV55" s="41" t="e">
        <f t="shared" si="9"/>
        <v>#REF!</v>
      </c>
      <c r="AW55" s="41" t="e">
        <f t="shared" si="9"/>
        <v>#REF!</v>
      </c>
      <c r="AX55" s="41" t="e">
        <f t="shared" si="9"/>
        <v>#REF!</v>
      </c>
      <c r="AY55" s="41" t="e">
        <f t="shared" si="9"/>
        <v>#REF!</v>
      </c>
      <c r="AZ55" s="41" t="e">
        <f t="shared" si="9"/>
        <v>#REF!</v>
      </c>
      <c r="BA55" s="41" t="e">
        <f t="shared" si="9"/>
        <v>#REF!</v>
      </c>
      <c r="BB55" s="41" t="e">
        <f t="shared" si="9"/>
        <v>#REF!</v>
      </c>
    </row>
    <row r="56" spans="1:54" hidden="1" x14ac:dyDescent="0.25">
      <c r="AB56" s="77"/>
      <c r="AC56" s="78" t="s">
        <v>47</v>
      </c>
      <c r="AD56" s="78">
        <v>0</v>
      </c>
      <c r="AE56" s="78"/>
      <c r="AF56" s="78"/>
      <c r="AG56" s="41" t="e">
        <f t="shared" si="8"/>
        <v>#REF!</v>
      </c>
      <c r="AH56" s="41" t="e">
        <f t="shared" si="8"/>
        <v>#REF!</v>
      </c>
      <c r="AI56" s="41" t="e">
        <f t="shared" si="8"/>
        <v>#REF!</v>
      </c>
      <c r="AJ56" s="41" t="e">
        <f t="shared" si="8"/>
        <v>#REF!</v>
      </c>
      <c r="AK56" s="41" t="e">
        <f t="shared" si="8"/>
        <v>#REF!</v>
      </c>
      <c r="AL56" s="41" t="e">
        <f t="shared" si="8"/>
        <v>#REF!</v>
      </c>
      <c r="AM56" s="41" t="e">
        <f t="shared" si="8"/>
        <v>#REF!</v>
      </c>
      <c r="AN56" s="41" t="e">
        <f t="shared" si="8"/>
        <v>#REF!</v>
      </c>
      <c r="AO56" s="41" t="e">
        <f t="shared" si="8"/>
        <v>#REF!</v>
      </c>
      <c r="AP56" s="41" t="e">
        <f t="shared" si="8"/>
        <v>#REF!</v>
      </c>
      <c r="AR56" s="43"/>
      <c r="AS56" s="41" t="e">
        <f t="shared" si="9"/>
        <v>#REF!</v>
      </c>
      <c r="AT56" s="41" t="e">
        <f t="shared" si="9"/>
        <v>#REF!</v>
      </c>
      <c r="AU56" s="41" t="e">
        <f t="shared" si="9"/>
        <v>#REF!</v>
      </c>
      <c r="AV56" s="41" t="e">
        <f t="shared" si="9"/>
        <v>#REF!</v>
      </c>
      <c r="AW56" s="41" t="e">
        <f t="shared" si="9"/>
        <v>#REF!</v>
      </c>
      <c r="AX56" s="41" t="e">
        <f t="shared" si="9"/>
        <v>#REF!</v>
      </c>
      <c r="AY56" s="41" t="e">
        <f t="shared" si="9"/>
        <v>#REF!</v>
      </c>
      <c r="AZ56" s="41" t="e">
        <f t="shared" si="9"/>
        <v>#REF!</v>
      </c>
      <c r="BA56" s="41" t="e">
        <f t="shared" si="9"/>
        <v>#REF!</v>
      </c>
      <c r="BB56" s="41" t="e">
        <f t="shared" si="9"/>
        <v>#REF!</v>
      </c>
    </row>
    <row r="57" spans="1:54" hidden="1" x14ac:dyDescent="0.25">
      <c r="AB57" s="77"/>
      <c r="AC57" s="78" t="s">
        <v>48</v>
      </c>
      <c r="AD57" s="78">
        <v>14.601599999999999</v>
      </c>
      <c r="AE57" s="78"/>
      <c r="AF57" s="78"/>
      <c r="AG57" s="41" t="e">
        <f t="shared" si="8"/>
        <v>#REF!</v>
      </c>
      <c r="AH57" s="41" t="e">
        <f t="shared" si="8"/>
        <v>#REF!</v>
      </c>
      <c r="AI57" s="41" t="e">
        <f t="shared" si="8"/>
        <v>#REF!</v>
      </c>
      <c r="AJ57" s="41" t="e">
        <f t="shared" si="8"/>
        <v>#REF!</v>
      </c>
      <c r="AK57" s="41" t="e">
        <f t="shared" si="8"/>
        <v>#REF!</v>
      </c>
      <c r="AL57" s="41" t="e">
        <f t="shared" si="8"/>
        <v>#REF!</v>
      </c>
      <c r="AM57" s="41" t="e">
        <f t="shared" si="8"/>
        <v>#REF!</v>
      </c>
      <c r="AN57" s="41" t="e">
        <f t="shared" si="8"/>
        <v>#REF!</v>
      </c>
      <c r="AO57" s="41" t="e">
        <f t="shared" si="8"/>
        <v>#REF!</v>
      </c>
      <c r="AP57" s="41" t="e">
        <f t="shared" si="8"/>
        <v>#REF!</v>
      </c>
      <c r="AR57" s="43"/>
      <c r="AS57" s="41" t="e">
        <f t="shared" si="9"/>
        <v>#REF!</v>
      </c>
      <c r="AT57" s="41" t="e">
        <f t="shared" si="9"/>
        <v>#REF!</v>
      </c>
      <c r="AU57" s="41" t="e">
        <f t="shared" si="9"/>
        <v>#REF!</v>
      </c>
      <c r="AV57" s="41" t="e">
        <f t="shared" si="9"/>
        <v>#REF!</v>
      </c>
      <c r="AW57" s="41" t="e">
        <f t="shared" si="9"/>
        <v>#REF!</v>
      </c>
      <c r="AX57" s="41" t="e">
        <f t="shared" si="9"/>
        <v>#REF!</v>
      </c>
      <c r="AY57" s="41" t="e">
        <f t="shared" si="9"/>
        <v>#REF!</v>
      </c>
      <c r="AZ57" s="41" t="e">
        <f t="shared" si="9"/>
        <v>#REF!</v>
      </c>
      <c r="BA57" s="41" t="e">
        <f t="shared" si="9"/>
        <v>#REF!</v>
      </c>
      <c r="BB57" s="41" t="e">
        <f t="shared" si="9"/>
        <v>#REF!</v>
      </c>
    </row>
    <row r="58" spans="1:54" hidden="1" x14ac:dyDescent="0.25">
      <c r="AB58" s="77"/>
      <c r="AC58" s="78" t="s">
        <v>49</v>
      </c>
      <c r="AD58" s="78">
        <v>14.570489999999999</v>
      </c>
      <c r="AE58" s="78"/>
      <c r="AF58" s="78"/>
      <c r="AG58" s="41" t="e">
        <f t="shared" si="8"/>
        <v>#REF!</v>
      </c>
      <c r="AH58" s="41" t="e">
        <f t="shared" si="8"/>
        <v>#REF!</v>
      </c>
      <c r="AI58" s="41" t="e">
        <f t="shared" si="8"/>
        <v>#REF!</v>
      </c>
      <c r="AJ58" s="41" t="e">
        <f t="shared" si="8"/>
        <v>#REF!</v>
      </c>
      <c r="AK58" s="41" t="e">
        <f t="shared" si="8"/>
        <v>#REF!</v>
      </c>
      <c r="AL58" s="41" t="e">
        <f t="shared" si="8"/>
        <v>#REF!</v>
      </c>
      <c r="AM58" s="41" t="e">
        <f t="shared" si="8"/>
        <v>#REF!</v>
      </c>
      <c r="AN58" s="41" t="e">
        <f t="shared" si="8"/>
        <v>#REF!</v>
      </c>
      <c r="AO58" s="41" t="e">
        <f t="shared" si="8"/>
        <v>#REF!</v>
      </c>
      <c r="AP58" s="41" t="e">
        <f t="shared" si="8"/>
        <v>#REF!</v>
      </c>
      <c r="AR58" s="43"/>
      <c r="AS58" s="41" t="e">
        <f t="shared" si="9"/>
        <v>#REF!</v>
      </c>
      <c r="AT58" s="41" t="e">
        <f t="shared" si="9"/>
        <v>#REF!</v>
      </c>
      <c r="AU58" s="41" t="e">
        <f t="shared" si="9"/>
        <v>#REF!</v>
      </c>
      <c r="AV58" s="41" t="e">
        <f t="shared" si="9"/>
        <v>#REF!</v>
      </c>
      <c r="AW58" s="41" t="e">
        <f t="shared" si="9"/>
        <v>#REF!</v>
      </c>
      <c r="AX58" s="41" t="e">
        <f t="shared" si="9"/>
        <v>#REF!</v>
      </c>
      <c r="AY58" s="41" t="e">
        <f t="shared" si="9"/>
        <v>#REF!</v>
      </c>
      <c r="AZ58" s="41" t="e">
        <f t="shared" si="9"/>
        <v>#REF!</v>
      </c>
      <c r="BA58" s="41" t="e">
        <f t="shared" si="9"/>
        <v>#REF!</v>
      </c>
      <c r="BB58" s="41" t="e">
        <f t="shared" si="9"/>
        <v>#REF!</v>
      </c>
    </row>
    <row r="59" spans="1:54" hidden="1" x14ac:dyDescent="0.25">
      <c r="AB59" s="77"/>
      <c r="AC59" s="78" t="s">
        <v>50</v>
      </c>
      <c r="AD59" s="78">
        <v>14.14584</v>
      </c>
      <c r="AE59" s="78"/>
      <c r="AF59" s="78"/>
      <c r="AG59" s="41" t="e">
        <f t="shared" si="8"/>
        <v>#REF!</v>
      </c>
      <c r="AH59" s="41" t="e">
        <f t="shared" si="8"/>
        <v>#REF!</v>
      </c>
      <c r="AI59" s="41" t="e">
        <f t="shared" si="8"/>
        <v>#REF!</v>
      </c>
      <c r="AJ59" s="41" t="e">
        <f t="shared" si="8"/>
        <v>#REF!</v>
      </c>
      <c r="AK59" s="41" t="e">
        <f t="shared" si="8"/>
        <v>#REF!</v>
      </c>
      <c r="AL59" s="41" t="e">
        <f t="shared" si="8"/>
        <v>#REF!</v>
      </c>
      <c r="AM59" s="41" t="e">
        <f t="shared" si="8"/>
        <v>#REF!</v>
      </c>
      <c r="AN59" s="41" t="e">
        <f t="shared" si="8"/>
        <v>#REF!</v>
      </c>
      <c r="AO59" s="41" t="e">
        <f t="shared" si="8"/>
        <v>#REF!</v>
      </c>
      <c r="AP59" s="41" t="e">
        <f t="shared" si="8"/>
        <v>#REF!</v>
      </c>
      <c r="AR59" s="43"/>
      <c r="AS59" s="41" t="e">
        <f t="shared" si="9"/>
        <v>#REF!</v>
      </c>
      <c r="AT59" s="41" t="e">
        <f t="shared" si="9"/>
        <v>#REF!</v>
      </c>
      <c r="AU59" s="41" t="e">
        <f t="shared" si="9"/>
        <v>#REF!</v>
      </c>
      <c r="AV59" s="41" t="e">
        <f t="shared" si="9"/>
        <v>#REF!</v>
      </c>
      <c r="AW59" s="41" t="e">
        <f t="shared" si="9"/>
        <v>#REF!</v>
      </c>
      <c r="AX59" s="41" t="e">
        <f t="shared" si="9"/>
        <v>#REF!</v>
      </c>
      <c r="AY59" s="41" t="e">
        <f t="shared" si="9"/>
        <v>#REF!</v>
      </c>
      <c r="AZ59" s="41" t="e">
        <f t="shared" si="9"/>
        <v>#REF!</v>
      </c>
      <c r="BA59" s="41" t="e">
        <f t="shared" si="9"/>
        <v>#REF!</v>
      </c>
      <c r="BB59" s="41" t="e">
        <f t="shared" si="9"/>
        <v>#REF!</v>
      </c>
    </row>
    <row r="60" spans="1:54" hidden="1" x14ac:dyDescent="0.25">
      <c r="AR60" s="43"/>
    </row>
    <row r="61" spans="1:54" hidden="1" x14ac:dyDescent="0.25">
      <c r="AR61" s="43"/>
    </row>
    <row r="62" spans="1:54" ht="66" hidden="1" x14ac:dyDescent="0.25">
      <c r="AB62" s="79" t="s">
        <v>53</v>
      </c>
      <c r="AC62" s="80"/>
      <c r="AD62" s="81"/>
      <c r="AE62" s="81"/>
      <c r="AF62" s="81"/>
      <c r="AG62" s="74" t="s">
        <v>66</v>
      </c>
      <c r="AH62" s="74" t="s">
        <v>84</v>
      </c>
      <c r="AI62" s="74" t="s">
        <v>68</v>
      </c>
      <c r="AJ62" s="74" t="s">
        <v>69</v>
      </c>
      <c r="AK62" s="74" t="s">
        <v>70</v>
      </c>
      <c r="AL62" s="74" t="s">
        <v>71</v>
      </c>
      <c r="AM62" s="75" t="s">
        <v>86</v>
      </c>
      <c r="AN62" s="75" t="s">
        <v>87</v>
      </c>
      <c r="AO62" s="75" t="s">
        <v>72</v>
      </c>
      <c r="AP62" s="75" t="s">
        <v>73</v>
      </c>
      <c r="AQ62" s="75"/>
      <c r="AR62" s="52"/>
      <c r="AS62" s="74" t="s">
        <v>66</v>
      </c>
      <c r="AT62" s="74" t="s">
        <v>84</v>
      </c>
      <c r="AU62" s="74" t="s">
        <v>85</v>
      </c>
      <c r="AV62" s="74" t="s">
        <v>69</v>
      </c>
      <c r="AW62" s="74" t="s">
        <v>70</v>
      </c>
      <c r="AX62" s="74" t="s">
        <v>71</v>
      </c>
      <c r="AY62" s="75" t="s">
        <v>86</v>
      </c>
      <c r="AZ62" s="75" t="s">
        <v>87</v>
      </c>
      <c r="BA62" s="76" t="s">
        <v>72</v>
      </c>
      <c r="BB62" s="74" t="s">
        <v>73</v>
      </c>
    </row>
    <row r="63" spans="1:54" hidden="1" x14ac:dyDescent="0.25">
      <c r="AB63" s="82" t="s">
        <v>54</v>
      </c>
      <c r="AC63" s="40"/>
      <c r="AH63" s="83"/>
      <c r="AR63" s="43"/>
    </row>
    <row r="64" spans="1:54" hidden="1" x14ac:dyDescent="0.25">
      <c r="AB64" s="84" t="s">
        <v>39</v>
      </c>
      <c r="AC64" s="40"/>
      <c r="AG64" s="83" t="e">
        <f t="shared" ref="AG64:AP64" si="10">AG29+AG31+AG32</f>
        <v>#REF!</v>
      </c>
      <c r="AH64" s="83" t="e">
        <f t="shared" si="10"/>
        <v>#REF!</v>
      </c>
      <c r="AI64" s="83" t="e">
        <f t="shared" si="10"/>
        <v>#REF!</v>
      </c>
      <c r="AJ64" s="83" t="e">
        <f t="shared" si="10"/>
        <v>#REF!</v>
      </c>
      <c r="AK64" s="83" t="e">
        <f t="shared" si="10"/>
        <v>#REF!</v>
      </c>
      <c r="AL64" s="83" t="e">
        <f t="shared" si="10"/>
        <v>#REF!</v>
      </c>
      <c r="AM64" s="83" t="e">
        <f t="shared" si="10"/>
        <v>#REF!</v>
      </c>
      <c r="AN64" s="83" t="e">
        <f t="shared" si="10"/>
        <v>#REF!</v>
      </c>
      <c r="AO64" s="83" t="e">
        <f t="shared" si="10"/>
        <v>#REF!</v>
      </c>
      <c r="AP64" s="83" t="e">
        <f t="shared" si="10"/>
        <v>#REF!</v>
      </c>
      <c r="AQ64" s="83"/>
      <c r="AR64" s="83"/>
      <c r="AS64" s="83" t="e">
        <f t="shared" ref="AS64:BB64" si="11">AS29+AS31+AS32</f>
        <v>#REF!</v>
      </c>
      <c r="AT64" s="83" t="e">
        <f t="shared" si="11"/>
        <v>#REF!</v>
      </c>
      <c r="AU64" s="83" t="e">
        <f t="shared" si="11"/>
        <v>#REF!</v>
      </c>
      <c r="AV64" s="83" t="e">
        <f t="shared" si="11"/>
        <v>#REF!</v>
      </c>
      <c r="AW64" s="83" t="e">
        <f t="shared" si="11"/>
        <v>#REF!</v>
      </c>
      <c r="AX64" s="83" t="e">
        <f t="shared" si="11"/>
        <v>#REF!</v>
      </c>
      <c r="AY64" s="83" t="e">
        <f t="shared" si="11"/>
        <v>#REF!</v>
      </c>
      <c r="AZ64" s="83" t="e">
        <f t="shared" si="11"/>
        <v>#REF!</v>
      </c>
      <c r="BA64" s="83" t="e">
        <f t="shared" si="11"/>
        <v>#REF!</v>
      </c>
      <c r="BB64" s="83" t="e">
        <f t="shared" si="11"/>
        <v>#REF!</v>
      </c>
    </row>
    <row r="65" spans="28:54" hidden="1" x14ac:dyDescent="0.25">
      <c r="AB65" s="84" t="s">
        <v>51</v>
      </c>
      <c r="AC65" s="40"/>
      <c r="AG65" s="83" t="e">
        <f t="shared" ref="AG65:AP65" si="12">AG40+AG42+AG43</f>
        <v>#REF!</v>
      </c>
      <c r="AH65" s="83" t="e">
        <f t="shared" si="12"/>
        <v>#REF!</v>
      </c>
      <c r="AI65" s="83" t="e">
        <f t="shared" si="12"/>
        <v>#REF!</v>
      </c>
      <c r="AJ65" s="83" t="e">
        <f t="shared" si="12"/>
        <v>#REF!</v>
      </c>
      <c r="AK65" s="83" t="e">
        <f t="shared" si="12"/>
        <v>#REF!</v>
      </c>
      <c r="AL65" s="83" t="e">
        <f t="shared" si="12"/>
        <v>#REF!</v>
      </c>
      <c r="AM65" s="83" t="e">
        <f t="shared" si="12"/>
        <v>#REF!</v>
      </c>
      <c r="AN65" s="83" t="e">
        <f t="shared" si="12"/>
        <v>#REF!</v>
      </c>
      <c r="AO65" s="83" t="e">
        <f t="shared" si="12"/>
        <v>#REF!</v>
      </c>
      <c r="AP65" s="83" t="e">
        <f t="shared" si="12"/>
        <v>#REF!</v>
      </c>
      <c r="AQ65" s="83"/>
      <c r="AR65" s="83"/>
      <c r="AS65" s="83" t="e">
        <f t="shared" ref="AS65:BB65" si="13">AS40+AS42+AS43</f>
        <v>#REF!</v>
      </c>
      <c r="AT65" s="83" t="e">
        <f t="shared" si="13"/>
        <v>#REF!</v>
      </c>
      <c r="AU65" s="83" t="e">
        <f t="shared" si="13"/>
        <v>#REF!</v>
      </c>
      <c r="AV65" s="83" t="e">
        <f t="shared" si="13"/>
        <v>#REF!</v>
      </c>
      <c r="AW65" s="83" t="e">
        <f t="shared" si="13"/>
        <v>#REF!</v>
      </c>
      <c r="AX65" s="83" t="e">
        <f t="shared" si="13"/>
        <v>#REF!</v>
      </c>
      <c r="AY65" s="83" t="e">
        <f t="shared" si="13"/>
        <v>#REF!</v>
      </c>
      <c r="AZ65" s="83" t="e">
        <f t="shared" si="13"/>
        <v>#REF!</v>
      </c>
      <c r="BA65" s="83" t="e">
        <f t="shared" si="13"/>
        <v>#REF!</v>
      </c>
      <c r="BB65" s="83" t="e">
        <f t="shared" si="13"/>
        <v>#REF!</v>
      </c>
    </row>
    <row r="66" spans="28:54" hidden="1" x14ac:dyDescent="0.25">
      <c r="AB66" s="84" t="s">
        <v>52</v>
      </c>
      <c r="AC66" s="40"/>
      <c r="AG66" s="83" t="e">
        <f t="shared" ref="AG66:AP66" si="14">AG51+AG53+AG54</f>
        <v>#REF!</v>
      </c>
      <c r="AH66" s="83" t="e">
        <f t="shared" si="14"/>
        <v>#REF!</v>
      </c>
      <c r="AI66" s="83" t="e">
        <f t="shared" si="14"/>
        <v>#REF!</v>
      </c>
      <c r="AJ66" s="83" t="e">
        <f t="shared" si="14"/>
        <v>#REF!</v>
      </c>
      <c r="AK66" s="83" t="e">
        <f t="shared" si="14"/>
        <v>#REF!</v>
      </c>
      <c r="AL66" s="83" t="e">
        <f t="shared" si="14"/>
        <v>#REF!</v>
      </c>
      <c r="AM66" s="83" t="e">
        <f t="shared" si="14"/>
        <v>#REF!</v>
      </c>
      <c r="AN66" s="83" t="e">
        <f t="shared" si="14"/>
        <v>#REF!</v>
      </c>
      <c r="AO66" s="83" t="e">
        <f t="shared" si="14"/>
        <v>#REF!</v>
      </c>
      <c r="AP66" s="83" t="e">
        <f t="shared" si="14"/>
        <v>#REF!</v>
      </c>
      <c r="AQ66" s="83"/>
      <c r="AR66" s="83"/>
      <c r="AS66" s="83" t="e">
        <f t="shared" ref="AS66:BB66" si="15">AS51+AS53+AS54</f>
        <v>#REF!</v>
      </c>
      <c r="AT66" s="83" t="e">
        <f t="shared" si="15"/>
        <v>#REF!</v>
      </c>
      <c r="AU66" s="83" t="e">
        <f t="shared" si="15"/>
        <v>#REF!</v>
      </c>
      <c r="AV66" s="83" t="e">
        <f t="shared" si="15"/>
        <v>#REF!</v>
      </c>
      <c r="AW66" s="83" t="e">
        <f t="shared" si="15"/>
        <v>#REF!</v>
      </c>
      <c r="AX66" s="83" t="e">
        <f t="shared" si="15"/>
        <v>#REF!</v>
      </c>
      <c r="AY66" s="83" t="e">
        <f t="shared" si="15"/>
        <v>#REF!</v>
      </c>
      <c r="AZ66" s="83" t="e">
        <f t="shared" si="15"/>
        <v>#REF!</v>
      </c>
      <c r="BA66" s="83" t="e">
        <f t="shared" si="15"/>
        <v>#REF!</v>
      </c>
      <c r="BB66" s="83" t="e">
        <f t="shared" si="15"/>
        <v>#REF!</v>
      </c>
    </row>
    <row r="67" spans="28:54" hidden="1" x14ac:dyDescent="0.25">
      <c r="AB67" s="82" t="s">
        <v>55</v>
      </c>
      <c r="AC67" s="40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</row>
    <row r="68" spans="28:54" hidden="1" x14ac:dyDescent="0.25">
      <c r="AB68" s="84" t="s">
        <v>39</v>
      </c>
      <c r="AC68" s="40"/>
      <c r="AG68" s="83" t="e">
        <f t="shared" ref="AG68:AP68" si="16">AG29+AG31+AG33+AG35</f>
        <v>#REF!</v>
      </c>
      <c r="AH68" s="83" t="e">
        <f t="shared" si="16"/>
        <v>#REF!</v>
      </c>
      <c r="AI68" s="83" t="e">
        <f t="shared" si="16"/>
        <v>#REF!</v>
      </c>
      <c r="AJ68" s="83" t="e">
        <f t="shared" si="16"/>
        <v>#REF!</v>
      </c>
      <c r="AK68" s="83" t="e">
        <f t="shared" si="16"/>
        <v>#REF!</v>
      </c>
      <c r="AL68" s="83" t="e">
        <f t="shared" si="16"/>
        <v>#REF!</v>
      </c>
      <c r="AM68" s="83" t="e">
        <f t="shared" si="16"/>
        <v>#REF!</v>
      </c>
      <c r="AN68" s="83" t="e">
        <f t="shared" si="16"/>
        <v>#REF!</v>
      </c>
      <c r="AO68" s="83" t="e">
        <f t="shared" si="16"/>
        <v>#REF!</v>
      </c>
      <c r="AP68" s="83" t="e">
        <f t="shared" si="16"/>
        <v>#REF!</v>
      </c>
      <c r="AQ68" s="83"/>
      <c r="AR68" s="83"/>
      <c r="AS68" s="83" t="e">
        <f t="shared" ref="AS68:BB68" si="17">AS29+AS31+AS33+AS35</f>
        <v>#REF!</v>
      </c>
      <c r="AT68" s="83" t="e">
        <f t="shared" si="17"/>
        <v>#REF!</v>
      </c>
      <c r="AU68" s="83" t="e">
        <f t="shared" si="17"/>
        <v>#REF!</v>
      </c>
      <c r="AV68" s="83" t="e">
        <f t="shared" si="17"/>
        <v>#REF!</v>
      </c>
      <c r="AW68" s="83" t="e">
        <f t="shared" si="17"/>
        <v>#REF!</v>
      </c>
      <c r="AX68" s="83" t="e">
        <f t="shared" si="17"/>
        <v>#REF!</v>
      </c>
      <c r="AY68" s="83" t="e">
        <f t="shared" si="17"/>
        <v>#REF!</v>
      </c>
      <c r="AZ68" s="83" t="e">
        <f t="shared" si="17"/>
        <v>#REF!</v>
      </c>
      <c r="BA68" s="83" t="e">
        <f t="shared" si="17"/>
        <v>#REF!</v>
      </c>
      <c r="BB68" s="83" t="e">
        <f t="shared" si="17"/>
        <v>#REF!</v>
      </c>
    </row>
    <row r="69" spans="28:54" hidden="1" x14ac:dyDescent="0.25">
      <c r="AB69" s="84" t="s">
        <v>51</v>
      </c>
      <c r="AC69" s="40"/>
      <c r="AG69" s="83" t="e">
        <f t="shared" ref="AG69:AP69" si="18">AG40+AG42+AG44+AG46</f>
        <v>#REF!</v>
      </c>
      <c r="AH69" s="83" t="e">
        <f t="shared" si="18"/>
        <v>#REF!</v>
      </c>
      <c r="AI69" s="83" t="e">
        <f t="shared" si="18"/>
        <v>#REF!</v>
      </c>
      <c r="AJ69" s="83" t="e">
        <f t="shared" si="18"/>
        <v>#REF!</v>
      </c>
      <c r="AK69" s="83" t="e">
        <f t="shared" si="18"/>
        <v>#REF!</v>
      </c>
      <c r="AL69" s="83" t="e">
        <f t="shared" si="18"/>
        <v>#REF!</v>
      </c>
      <c r="AM69" s="83" t="e">
        <f t="shared" si="18"/>
        <v>#REF!</v>
      </c>
      <c r="AN69" s="83" t="e">
        <f t="shared" si="18"/>
        <v>#REF!</v>
      </c>
      <c r="AO69" s="83" t="e">
        <f t="shared" si="18"/>
        <v>#REF!</v>
      </c>
      <c r="AP69" s="83" t="e">
        <f t="shared" si="18"/>
        <v>#REF!</v>
      </c>
      <c r="AQ69" s="83"/>
      <c r="AR69" s="83"/>
      <c r="AS69" s="83" t="e">
        <f t="shared" ref="AS69:BB69" si="19">AS40+AS42+AS44+AS46</f>
        <v>#REF!</v>
      </c>
      <c r="AT69" s="83" t="e">
        <f t="shared" si="19"/>
        <v>#REF!</v>
      </c>
      <c r="AU69" s="83" t="e">
        <f t="shared" si="19"/>
        <v>#REF!</v>
      </c>
      <c r="AV69" s="83" t="e">
        <f t="shared" si="19"/>
        <v>#REF!</v>
      </c>
      <c r="AW69" s="83" t="e">
        <f t="shared" si="19"/>
        <v>#REF!</v>
      </c>
      <c r="AX69" s="83" t="e">
        <f t="shared" si="19"/>
        <v>#REF!</v>
      </c>
      <c r="AY69" s="83" t="e">
        <f t="shared" si="19"/>
        <v>#REF!</v>
      </c>
      <c r="AZ69" s="83" t="e">
        <f t="shared" si="19"/>
        <v>#REF!</v>
      </c>
      <c r="BA69" s="83" t="e">
        <f t="shared" si="19"/>
        <v>#REF!</v>
      </c>
      <c r="BB69" s="83" t="e">
        <f t="shared" si="19"/>
        <v>#REF!</v>
      </c>
    </row>
    <row r="70" spans="28:54" hidden="1" x14ac:dyDescent="0.25">
      <c r="AB70" s="84" t="s">
        <v>52</v>
      </c>
      <c r="AC70" s="40"/>
      <c r="AG70" s="83" t="e">
        <f t="shared" ref="AG70:AP70" si="20">AG51+AG53+AG55+AG57</f>
        <v>#REF!</v>
      </c>
      <c r="AH70" s="83" t="e">
        <f t="shared" si="20"/>
        <v>#REF!</v>
      </c>
      <c r="AI70" s="83" t="e">
        <f t="shared" si="20"/>
        <v>#REF!</v>
      </c>
      <c r="AJ70" s="83" t="e">
        <f t="shared" si="20"/>
        <v>#REF!</v>
      </c>
      <c r="AK70" s="83" t="e">
        <f t="shared" si="20"/>
        <v>#REF!</v>
      </c>
      <c r="AL70" s="83" t="e">
        <f t="shared" si="20"/>
        <v>#REF!</v>
      </c>
      <c r="AM70" s="83" t="e">
        <f t="shared" si="20"/>
        <v>#REF!</v>
      </c>
      <c r="AN70" s="83" t="e">
        <f t="shared" si="20"/>
        <v>#REF!</v>
      </c>
      <c r="AO70" s="83" t="e">
        <f t="shared" si="20"/>
        <v>#REF!</v>
      </c>
      <c r="AP70" s="83" t="e">
        <f t="shared" si="20"/>
        <v>#REF!</v>
      </c>
      <c r="AQ70" s="83"/>
      <c r="AR70" s="83"/>
      <c r="AS70" s="83" t="e">
        <f t="shared" ref="AS70:BB70" si="21">AS51+AS53+AS55+AS57</f>
        <v>#REF!</v>
      </c>
      <c r="AT70" s="83" t="e">
        <f t="shared" si="21"/>
        <v>#REF!</v>
      </c>
      <c r="AU70" s="83" t="e">
        <f t="shared" si="21"/>
        <v>#REF!</v>
      </c>
      <c r="AV70" s="83" t="e">
        <f t="shared" si="21"/>
        <v>#REF!</v>
      </c>
      <c r="AW70" s="83" t="e">
        <f t="shared" si="21"/>
        <v>#REF!</v>
      </c>
      <c r="AX70" s="83" t="e">
        <f t="shared" si="21"/>
        <v>#REF!</v>
      </c>
      <c r="AY70" s="83" t="e">
        <f t="shared" si="21"/>
        <v>#REF!</v>
      </c>
      <c r="AZ70" s="83" t="e">
        <f t="shared" si="21"/>
        <v>#REF!</v>
      </c>
      <c r="BA70" s="83" t="e">
        <f t="shared" si="21"/>
        <v>#REF!</v>
      </c>
      <c r="BB70" s="83" t="e">
        <f t="shared" si="21"/>
        <v>#REF!</v>
      </c>
    </row>
    <row r="71" spans="28:54" hidden="1" x14ac:dyDescent="0.25">
      <c r="AB71" s="82" t="s">
        <v>56</v>
      </c>
      <c r="AC71" s="40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</row>
    <row r="72" spans="28:54" hidden="1" x14ac:dyDescent="0.25">
      <c r="AB72" s="84" t="s">
        <v>39</v>
      </c>
      <c r="AC72" s="40"/>
      <c r="AG72" s="83" t="e">
        <f t="shared" ref="AG72:AP72" si="22">AG29+AG31+AG33+AG34+AG36</f>
        <v>#REF!</v>
      </c>
      <c r="AH72" s="83" t="e">
        <f t="shared" si="22"/>
        <v>#REF!</v>
      </c>
      <c r="AI72" s="83" t="e">
        <f t="shared" si="22"/>
        <v>#REF!</v>
      </c>
      <c r="AJ72" s="83" t="e">
        <f t="shared" si="22"/>
        <v>#REF!</v>
      </c>
      <c r="AK72" s="83" t="e">
        <f t="shared" si="22"/>
        <v>#REF!</v>
      </c>
      <c r="AL72" s="83" t="e">
        <f t="shared" si="22"/>
        <v>#REF!</v>
      </c>
      <c r="AM72" s="83" t="e">
        <f t="shared" si="22"/>
        <v>#REF!</v>
      </c>
      <c r="AN72" s="83" t="e">
        <f t="shared" si="22"/>
        <v>#REF!</v>
      </c>
      <c r="AO72" s="83" t="e">
        <f t="shared" si="22"/>
        <v>#REF!</v>
      </c>
      <c r="AP72" s="83" t="e">
        <f t="shared" si="22"/>
        <v>#REF!</v>
      </c>
      <c r="AQ72" s="83"/>
      <c r="AR72" s="83"/>
      <c r="AS72" s="83" t="e">
        <f t="shared" ref="AS72:BB72" si="23">AS29+AS31+AS33+AS34+AS36</f>
        <v>#REF!</v>
      </c>
      <c r="AT72" s="83" t="e">
        <f t="shared" si="23"/>
        <v>#REF!</v>
      </c>
      <c r="AU72" s="83" t="e">
        <f t="shared" si="23"/>
        <v>#REF!</v>
      </c>
      <c r="AV72" s="83" t="e">
        <f t="shared" si="23"/>
        <v>#REF!</v>
      </c>
      <c r="AW72" s="83" t="e">
        <f t="shared" si="23"/>
        <v>#REF!</v>
      </c>
      <c r="AX72" s="83" t="e">
        <f t="shared" si="23"/>
        <v>#REF!</v>
      </c>
      <c r="AY72" s="83" t="e">
        <f t="shared" si="23"/>
        <v>#REF!</v>
      </c>
      <c r="AZ72" s="83" t="e">
        <f t="shared" si="23"/>
        <v>#REF!</v>
      </c>
      <c r="BA72" s="83" t="e">
        <f t="shared" si="23"/>
        <v>#REF!</v>
      </c>
      <c r="BB72" s="83" t="e">
        <f t="shared" si="23"/>
        <v>#REF!</v>
      </c>
    </row>
    <row r="73" spans="28:54" hidden="1" x14ac:dyDescent="0.25">
      <c r="AB73" s="84" t="s">
        <v>51</v>
      </c>
      <c r="AC73" s="40"/>
      <c r="AG73" s="83" t="e">
        <f t="shared" ref="AG73:AP73" si="24">AG40+AG42+AG44+AG45+AG47</f>
        <v>#REF!</v>
      </c>
      <c r="AH73" s="83" t="e">
        <f t="shared" si="24"/>
        <v>#REF!</v>
      </c>
      <c r="AI73" s="83" t="e">
        <f t="shared" si="24"/>
        <v>#REF!</v>
      </c>
      <c r="AJ73" s="83" t="e">
        <f t="shared" si="24"/>
        <v>#REF!</v>
      </c>
      <c r="AK73" s="83" t="e">
        <f t="shared" si="24"/>
        <v>#REF!</v>
      </c>
      <c r="AL73" s="83" t="e">
        <f t="shared" si="24"/>
        <v>#REF!</v>
      </c>
      <c r="AM73" s="83" t="e">
        <f t="shared" si="24"/>
        <v>#REF!</v>
      </c>
      <c r="AN73" s="83" t="e">
        <f t="shared" si="24"/>
        <v>#REF!</v>
      </c>
      <c r="AO73" s="83" t="e">
        <f t="shared" si="24"/>
        <v>#REF!</v>
      </c>
      <c r="AP73" s="83" t="e">
        <f t="shared" si="24"/>
        <v>#REF!</v>
      </c>
      <c r="AQ73" s="83"/>
      <c r="AR73" s="83"/>
      <c r="AS73" s="83" t="e">
        <f t="shared" ref="AS73:BB73" si="25">AS40+AS42+AS44+AS45+AS47</f>
        <v>#REF!</v>
      </c>
      <c r="AT73" s="83" t="e">
        <f t="shared" si="25"/>
        <v>#REF!</v>
      </c>
      <c r="AU73" s="83" t="e">
        <f t="shared" si="25"/>
        <v>#REF!</v>
      </c>
      <c r="AV73" s="83" t="e">
        <f t="shared" si="25"/>
        <v>#REF!</v>
      </c>
      <c r="AW73" s="83" t="e">
        <f t="shared" si="25"/>
        <v>#REF!</v>
      </c>
      <c r="AX73" s="83" t="e">
        <f t="shared" si="25"/>
        <v>#REF!</v>
      </c>
      <c r="AY73" s="83" t="e">
        <f t="shared" si="25"/>
        <v>#REF!</v>
      </c>
      <c r="AZ73" s="83" t="e">
        <f t="shared" si="25"/>
        <v>#REF!</v>
      </c>
      <c r="BA73" s="83" t="e">
        <f t="shared" si="25"/>
        <v>#REF!</v>
      </c>
      <c r="BB73" s="83" t="e">
        <f t="shared" si="25"/>
        <v>#REF!</v>
      </c>
    </row>
    <row r="74" spans="28:54" hidden="1" x14ac:dyDescent="0.25">
      <c r="AB74" s="84" t="s">
        <v>52</v>
      </c>
      <c r="AC74" s="40"/>
      <c r="AG74" s="83" t="e">
        <f t="shared" ref="AG74:AP74" si="26">AG51+AG53+AG55+AG56+AG58</f>
        <v>#REF!</v>
      </c>
      <c r="AH74" s="83" t="e">
        <f t="shared" si="26"/>
        <v>#REF!</v>
      </c>
      <c r="AI74" s="83" t="e">
        <f t="shared" si="26"/>
        <v>#REF!</v>
      </c>
      <c r="AJ74" s="83" t="e">
        <f t="shared" si="26"/>
        <v>#REF!</v>
      </c>
      <c r="AK74" s="83" t="e">
        <f t="shared" si="26"/>
        <v>#REF!</v>
      </c>
      <c r="AL74" s="83" t="e">
        <f t="shared" si="26"/>
        <v>#REF!</v>
      </c>
      <c r="AM74" s="83" t="e">
        <f t="shared" si="26"/>
        <v>#REF!</v>
      </c>
      <c r="AN74" s="83" t="e">
        <f t="shared" si="26"/>
        <v>#REF!</v>
      </c>
      <c r="AO74" s="83" t="e">
        <f t="shared" si="26"/>
        <v>#REF!</v>
      </c>
      <c r="AP74" s="83" t="e">
        <f t="shared" si="26"/>
        <v>#REF!</v>
      </c>
      <c r="AQ74" s="83"/>
      <c r="AR74" s="83"/>
      <c r="AS74" s="83" t="e">
        <f t="shared" ref="AS74:BB74" si="27">AS51+AS53+AS55+AS56+AS58</f>
        <v>#REF!</v>
      </c>
      <c r="AT74" s="83" t="e">
        <f t="shared" si="27"/>
        <v>#REF!</v>
      </c>
      <c r="AU74" s="83" t="e">
        <f t="shared" si="27"/>
        <v>#REF!</v>
      </c>
      <c r="AV74" s="83" t="e">
        <f t="shared" si="27"/>
        <v>#REF!</v>
      </c>
      <c r="AW74" s="83" t="e">
        <f t="shared" si="27"/>
        <v>#REF!</v>
      </c>
      <c r="AX74" s="83" t="e">
        <f t="shared" si="27"/>
        <v>#REF!</v>
      </c>
      <c r="AY74" s="83" t="e">
        <f t="shared" si="27"/>
        <v>#REF!</v>
      </c>
      <c r="AZ74" s="83" t="e">
        <f t="shared" si="27"/>
        <v>#REF!</v>
      </c>
      <c r="BA74" s="83" t="e">
        <f t="shared" si="27"/>
        <v>#REF!</v>
      </c>
      <c r="BB74" s="83" t="e">
        <f t="shared" si="27"/>
        <v>#REF!</v>
      </c>
    </row>
    <row r="75" spans="28:54" hidden="1" x14ac:dyDescent="0.25">
      <c r="AB75" s="82" t="s">
        <v>57</v>
      </c>
      <c r="AC75" s="40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</row>
    <row r="76" spans="28:54" hidden="1" x14ac:dyDescent="0.25">
      <c r="AB76" s="84" t="s">
        <v>39</v>
      </c>
      <c r="AC76" s="40"/>
      <c r="AG76" s="83" t="e">
        <f t="shared" ref="AG76:AP76" si="28">AG29+AG31+AG33+AG34+AG37</f>
        <v>#REF!</v>
      </c>
      <c r="AH76" s="83" t="e">
        <f t="shared" si="28"/>
        <v>#REF!</v>
      </c>
      <c r="AI76" s="83" t="e">
        <f t="shared" si="28"/>
        <v>#REF!</v>
      </c>
      <c r="AJ76" s="83" t="e">
        <f t="shared" si="28"/>
        <v>#REF!</v>
      </c>
      <c r="AK76" s="83" t="e">
        <f t="shared" si="28"/>
        <v>#REF!</v>
      </c>
      <c r="AL76" s="83" t="e">
        <f t="shared" si="28"/>
        <v>#REF!</v>
      </c>
      <c r="AM76" s="83" t="e">
        <f t="shared" si="28"/>
        <v>#REF!</v>
      </c>
      <c r="AN76" s="83" t="e">
        <f t="shared" si="28"/>
        <v>#REF!</v>
      </c>
      <c r="AO76" s="83" t="e">
        <f t="shared" si="28"/>
        <v>#REF!</v>
      </c>
      <c r="AP76" s="83" t="e">
        <f t="shared" si="28"/>
        <v>#REF!</v>
      </c>
      <c r="AQ76" s="83"/>
      <c r="AR76" s="83"/>
      <c r="AS76" s="83" t="e">
        <f t="shared" ref="AS76:BB76" si="29">AS29+AS31+AS33+AS34+AS37</f>
        <v>#REF!</v>
      </c>
      <c r="AT76" s="83" t="e">
        <f t="shared" si="29"/>
        <v>#REF!</v>
      </c>
      <c r="AU76" s="83" t="e">
        <f t="shared" si="29"/>
        <v>#REF!</v>
      </c>
      <c r="AV76" s="83" t="e">
        <f t="shared" si="29"/>
        <v>#REF!</v>
      </c>
      <c r="AW76" s="83" t="e">
        <f t="shared" si="29"/>
        <v>#REF!</v>
      </c>
      <c r="AX76" s="83" t="e">
        <f t="shared" si="29"/>
        <v>#REF!</v>
      </c>
      <c r="AY76" s="83" t="e">
        <f t="shared" si="29"/>
        <v>#REF!</v>
      </c>
      <c r="AZ76" s="83" t="e">
        <f t="shared" si="29"/>
        <v>#REF!</v>
      </c>
      <c r="BA76" s="83" t="e">
        <f t="shared" si="29"/>
        <v>#REF!</v>
      </c>
      <c r="BB76" s="83" t="e">
        <f t="shared" si="29"/>
        <v>#REF!</v>
      </c>
    </row>
    <row r="77" spans="28:54" hidden="1" x14ac:dyDescent="0.25">
      <c r="AB77" s="84" t="s">
        <v>51</v>
      </c>
      <c r="AC77" s="40"/>
      <c r="AG77" s="83" t="e">
        <f t="shared" ref="AG77:AP77" si="30">AG40+AG42+AG44+AG45+AG48</f>
        <v>#REF!</v>
      </c>
      <c r="AH77" s="83" t="e">
        <f t="shared" si="30"/>
        <v>#REF!</v>
      </c>
      <c r="AI77" s="83" t="e">
        <f t="shared" si="30"/>
        <v>#REF!</v>
      </c>
      <c r="AJ77" s="83" t="e">
        <f t="shared" si="30"/>
        <v>#REF!</v>
      </c>
      <c r="AK77" s="83" t="e">
        <f t="shared" si="30"/>
        <v>#REF!</v>
      </c>
      <c r="AL77" s="83" t="e">
        <f t="shared" si="30"/>
        <v>#REF!</v>
      </c>
      <c r="AM77" s="83" t="e">
        <f t="shared" si="30"/>
        <v>#REF!</v>
      </c>
      <c r="AN77" s="83" t="e">
        <f t="shared" si="30"/>
        <v>#REF!</v>
      </c>
      <c r="AO77" s="83" t="e">
        <f t="shared" si="30"/>
        <v>#REF!</v>
      </c>
      <c r="AP77" s="83" t="e">
        <f t="shared" si="30"/>
        <v>#REF!</v>
      </c>
      <c r="AQ77" s="83"/>
      <c r="AR77" s="83"/>
      <c r="AS77" s="83" t="e">
        <f t="shared" ref="AS77:BB77" si="31">AS40+AS42+AS44+AS45+AS48</f>
        <v>#REF!</v>
      </c>
      <c r="AT77" s="83" t="e">
        <f t="shared" si="31"/>
        <v>#REF!</v>
      </c>
      <c r="AU77" s="83" t="e">
        <f t="shared" si="31"/>
        <v>#REF!</v>
      </c>
      <c r="AV77" s="83" t="e">
        <f t="shared" si="31"/>
        <v>#REF!</v>
      </c>
      <c r="AW77" s="83" t="e">
        <f t="shared" si="31"/>
        <v>#REF!</v>
      </c>
      <c r="AX77" s="83" t="e">
        <f t="shared" si="31"/>
        <v>#REF!</v>
      </c>
      <c r="AY77" s="83" t="e">
        <f t="shared" si="31"/>
        <v>#REF!</v>
      </c>
      <c r="AZ77" s="83" t="e">
        <f t="shared" si="31"/>
        <v>#REF!</v>
      </c>
      <c r="BA77" s="83" t="e">
        <f t="shared" si="31"/>
        <v>#REF!</v>
      </c>
      <c r="BB77" s="83" t="e">
        <f t="shared" si="31"/>
        <v>#REF!</v>
      </c>
    </row>
    <row r="78" spans="28:54" hidden="1" x14ac:dyDescent="0.25">
      <c r="AB78" s="84" t="s">
        <v>52</v>
      </c>
      <c r="AC78" s="40"/>
      <c r="AG78" s="83" t="e">
        <f t="shared" ref="AG78:AP78" si="32">AG51+AG53+AG55+AG56+AG59</f>
        <v>#REF!</v>
      </c>
      <c r="AH78" s="83" t="e">
        <f t="shared" si="32"/>
        <v>#REF!</v>
      </c>
      <c r="AI78" s="83" t="e">
        <f t="shared" si="32"/>
        <v>#REF!</v>
      </c>
      <c r="AJ78" s="83" t="e">
        <f t="shared" si="32"/>
        <v>#REF!</v>
      </c>
      <c r="AK78" s="83" t="e">
        <f t="shared" si="32"/>
        <v>#REF!</v>
      </c>
      <c r="AL78" s="83" t="e">
        <f t="shared" si="32"/>
        <v>#REF!</v>
      </c>
      <c r="AM78" s="83" t="e">
        <f t="shared" si="32"/>
        <v>#REF!</v>
      </c>
      <c r="AN78" s="83" t="e">
        <f t="shared" si="32"/>
        <v>#REF!</v>
      </c>
      <c r="AO78" s="83" t="e">
        <f t="shared" si="32"/>
        <v>#REF!</v>
      </c>
      <c r="AP78" s="83" t="e">
        <f t="shared" si="32"/>
        <v>#REF!</v>
      </c>
      <c r="AQ78" s="83"/>
      <c r="AR78" s="83"/>
      <c r="AS78" s="83" t="e">
        <f t="shared" ref="AS78:BB78" si="33">AS51+AS53+AS55+AS56+AS59</f>
        <v>#REF!</v>
      </c>
      <c r="AT78" s="83" t="e">
        <f t="shared" si="33"/>
        <v>#REF!</v>
      </c>
      <c r="AU78" s="83" t="e">
        <f t="shared" si="33"/>
        <v>#REF!</v>
      </c>
      <c r="AV78" s="83" t="e">
        <f t="shared" si="33"/>
        <v>#REF!</v>
      </c>
      <c r="AW78" s="83" t="e">
        <f t="shared" si="33"/>
        <v>#REF!</v>
      </c>
      <c r="AX78" s="83" t="e">
        <f t="shared" si="33"/>
        <v>#REF!</v>
      </c>
      <c r="AY78" s="83" t="e">
        <f t="shared" si="33"/>
        <v>#REF!</v>
      </c>
      <c r="AZ78" s="83" t="e">
        <f t="shared" si="33"/>
        <v>#REF!</v>
      </c>
      <c r="BA78" s="83" t="e">
        <f t="shared" si="33"/>
        <v>#REF!</v>
      </c>
      <c r="BB78" s="83" t="e">
        <f t="shared" si="33"/>
        <v>#REF!</v>
      </c>
    </row>
    <row r="79" spans="28:54" hidden="1" x14ac:dyDescent="0.25">
      <c r="AB79" s="82" t="s">
        <v>58</v>
      </c>
      <c r="AC79" s="40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</row>
    <row r="80" spans="28:54" hidden="1" x14ac:dyDescent="0.25">
      <c r="AB80" s="84" t="s">
        <v>39</v>
      </c>
      <c r="AC80" s="40"/>
      <c r="AG80" s="83" t="e">
        <f t="shared" ref="AG80:AP80" si="34">AG29+AG30+AG35</f>
        <v>#REF!</v>
      </c>
      <c r="AH80" s="83" t="e">
        <f t="shared" si="34"/>
        <v>#REF!</v>
      </c>
      <c r="AI80" s="83" t="e">
        <f t="shared" si="34"/>
        <v>#REF!</v>
      </c>
      <c r="AJ80" s="83" t="e">
        <f t="shared" si="34"/>
        <v>#REF!</v>
      </c>
      <c r="AK80" s="83" t="e">
        <f t="shared" si="34"/>
        <v>#REF!</v>
      </c>
      <c r="AL80" s="83" t="e">
        <f t="shared" si="34"/>
        <v>#REF!</v>
      </c>
      <c r="AM80" s="83" t="e">
        <f t="shared" si="34"/>
        <v>#REF!</v>
      </c>
      <c r="AN80" s="83" t="e">
        <f t="shared" si="34"/>
        <v>#REF!</v>
      </c>
      <c r="AO80" s="83" t="e">
        <f t="shared" si="34"/>
        <v>#REF!</v>
      </c>
      <c r="AP80" s="83" t="e">
        <f t="shared" si="34"/>
        <v>#REF!</v>
      </c>
      <c r="AQ80" s="83"/>
      <c r="AR80" s="83"/>
      <c r="AS80" s="83" t="e">
        <f t="shared" ref="AS80:BB80" si="35">AS29+AS30+AS35</f>
        <v>#REF!</v>
      </c>
      <c r="AT80" s="83" t="e">
        <f t="shared" si="35"/>
        <v>#REF!</v>
      </c>
      <c r="AU80" s="83" t="e">
        <f t="shared" si="35"/>
        <v>#REF!</v>
      </c>
      <c r="AV80" s="83" t="e">
        <f t="shared" si="35"/>
        <v>#REF!</v>
      </c>
      <c r="AW80" s="83" t="e">
        <f t="shared" si="35"/>
        <v>#REF!</v>
      </c>
      <c r="AX80" s="83" t="e">
        <f t="shared" si="35"/>
        <v>#REF!</v>
      </c>
      <c r="AY80" s="83" t="e">
        <f t="shared" si="35"/>
        <v>#REF!</v>
      </c>
      <c r="AZ80" s="83" t="e">
        <f t="shared" si="35"/>
        <v>#REF!</v>
      </c>
      <c r="BA80" s="83" t="e">
        <f t="shared" si="35"/>
        <v>#REF!</v>
      </c>
      <c r="BB80" s="83" t="e">
        <f t="shared" si="35"/>
        <v>#REF!</v>
      </c>
    </row>
    <row r="81" spans="28:54" hidden="1" x14ac:dyDescent="0.25">
      <c r="AB81" s="84" t="s">
        <v>51</v>
      </c>
      <c r="AC81" s="40"/>
      <c r="AG81" s="83" t="e">
        <f t="shared" ref="AG81:AP81" si="36">AG40+AG41+AG46</f>
        <v>#REF!</v>
      </c>
      <c r="AH81" s="83" t="e">
        <f t="shared" si="36"/>
        <v>#REF!</v>
      </c>
      <c r="AI81" s="83" t="e">
        <f t="shared" si="36"/>
        <v>#REF!</v>
      </c>
      <c r="AJ81" s="83" t="e">
        <f t="shared" si="36"/>
        <v>#REF!</v>
      </c>
      <c r="AK81" s="83" t="e">
        <f t="shared" si="36"/>
        <v>#REF!</v>
      </c>
      <c r="AL81" s="83" t="e">
        <f t="shared" si="36"/>
        <v>#REF!</v>
      </c>
      <c r="AM81" s="83" t="e">
        <f t="shared" si="36"/>
        <v>#REF!</v>
      </c>
      <c r="AN81" s="83" t="e">
        <f t="shared" si="36"/>
        <v>#REF!</v>
      </c>
      <c r="AO81" s="83" t="e">
        <f t="shared" si="36"/>
        <v>#REF!</v>
      </c>
      <c r="AP81" s="83" t="e">
        <f t="shared" si="36"/>
        <v>#REF!</v>
      </c>
      <c r="AQ81" s="83"/>
      <c r="AR81" s="83"/>
      <c r="AS81" s="83" t="e">
        <f t="shared" ref="AS81:BB81" si="37">AS40+AS41+AS46</f>
        <v>#REF!</v>
      </c>
      <c r="AT81" s="83" t="e">
        <f t="shared" si="37"/>
        <v>#REF!</v>
      </c>
      <c r="AU81" s="83" t="e">
        <f t="shared" si="37"/>
        <v>#REF!</v>
      </c>
      <c r="AV81" s="83" t="e">
        <f t="shared" si="37"/>
        <v>#REF!</v>
      </c>
      <c r="AW81" s="83" t="e">
        <f t="shared" si="37"/>
        <v>#REF!</v>
      </c>
      <c r="AX81" s="83" t="e">
        <f t="shared" si="37"/>
        <v>#REF!</v>
      </c>
      <c r="AY81" s="83" t="e">
        <f t="shared" si="37"/>
        <v>#REF!</v>
      </c>
      <c r="AZ81" s="83" t="e">
        <f t="shared" si="37"/>
        <v>#REF!</v>
      </c>
      <c r="BA81" s="83" t="e">
        <f t="shared" si="37"/>
        <v>#REF!</v>
      </c>
      <c r="BB81" s="83" t="e">
        <f t="shared" si="37"/>
        <v>#REF!</v>
      </c>
    </row>
    <row r="82" spans="28:54" hidden="1" x14ac:dyDescent="0.25">
      <c r="AB82" s="84" t="s">
        <v>52</v>
      </c>
      <c r="AC82" s="40"/>
      <c r="AG82" s="83" t="e">
        <f t="shared" ref="AG82:AP82" si="38">AG51+AG52+AG57</f>
        <v>#REF!</v>
      </c>
      <c r="AH82" s="83" t="e">
        <f t="shared" si="38"/>
        <v>#REF!</v>
      </c>
      <c r="AI82" s="83" t="e">
        <f t="shared" si="38"/>
        <v>#REF!</v>
      </c>
      <c r="AJ82" s="83" t="e">
        <f t="shared" si="38"/>
        <v>#REF!</v>
      </c>
      <c r="AK82" s="83" t="e">
        <f t="shared" si="38"/>
        <v>#REF!</v>
      </c>
      <c r="AL82" s="83" t="e">
        <f t="shared" si="38"/>
        <v>#REF!</v>
      </c>
      <c r="AM82" s="83" t="e">
        <f t="shared" si="38"/>
        <v>#REF!</v>
      </c>
      <c r="AN82" s="83" t="e">
        <f t="shared" si="38"/>
        <v>#REF!</v>
      </c>
      <c r="AO82" s="83" t="e">
        <f t="shared" si="38"/>
        <v>#REF!</v>
      </c>
      <c r="AP82" s="83" t="e">
        <f t="shared" si="38"/>
        <v>#REF!</v>
      </c>
      <c r="AQ82" s="83"/>
      <c r="AR82" s="83"/>
      <c r="AS82" s="83" t="e">
        <f t="shared" ref="AS82:BB82" si="39">AS51+AS52+AS57</f>
        <v>#REF!</v>
      </c>
      <c r="AT82" s="83" t="e">
        <f t="shared" si="39"/>
        <v>#REF!</v>
      </c>
      <c r="AU82" s="83" t="e">
        <f t="shared" si="39"/>
        <v>#REF!</v>
      </c>
      <c r="AV82" s="83" t="e">
        <f t="shared" si="39"/>
        <v>#REF!</v>
      </c>
      <c r="AW82" s="83" t="e">
        <f t="shared" si="39"/>
        <v>#REF!</v>
      </c>
      <c r="AX82" s="83" t="e">
        <f t="shared" si="39"/>
        <v>#REF!</v>
      </c>
      <c r="AY82" s="83" t="e">
        <f t="shared" si="39"/>
        <v>#REF!</v>
      </c>
      <c r="AZ82" s="83" t="e">
        <f t="shared" si="39"/>
        <v>#REF!</v>
      </c>
      <c r="BA82" s="83" t="e">
        <f t="shared" si="39"/>
        <v>#REF!</v>
      </c>
      <c r="BB82" s="83" t="e">
        <f t="shared" si="39"/>
        <v>#REF!</v>
      </c>
    </row>
    <row r="83" spans="28:54" hidden="1" x14ac:dyDescent="0.25">
      <c r="AB83" s="85" t="s">
        <v>59</v>
      </c>
      <c r="AC83" s="40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</row>
    <row r="84" spans="28:54" hidden="1" x14ac:dyDescent="0.25">
      <c r="AB84" s="84" t="s">
        <v>39</v>
      </c>
      <c r="AC84" s="40"/>
      <c r="AG84" s="83" t="e">
        <f t="shared" ref="AG84:AP84" si="40">AG29+AG30+AG34+AG36</f>
        <v>#REF!</v>
      </c>
      <c r="AH84" s="83" t="e">
        <f t="shared" si="40"/>
        <v>#REF!</v>
      </c>
      <c r="AI84" s="83" t="e">
        <f t="shared" si="40"/>
        <v>#REF!</v>
      </c>
      <c r="AJ84" s="83" t="e">
        <f t="shared" si="40"/>
        <v>#REF!</v>
      </c>
      <c r="AK84" s="83" t="e">
        <f t="shared" si="40"/>
        <v>#REF!</v>
      </c>
      <c r="AL84" s="83" t="e">
        <f t="shared" si="40"/>
        <v>#REF!</v>
      </c>
      <c r="AM84" s="83" t="e">
        <f t="shared" si="40"/>
        <v>#REF!</v>
      </c>
      <c r="AN84" s="83" t="e">
        <f t="shared" si="40"/>
        <v>#REF!</v>
      </c>
      <c r="AO84" s="83" t="e">
        <f t="shared" si="40"/>
        <v>#REF!</v>
      </c>
      <c r="AP84" s="83" t="e">
        <f t="shared" si="40"/>
        <v>#REF!</v>
      </c>
      <c r="AQ84" s="83"/>
      <c r="AR84" s="83"/>
      <c r="AS84" s="83" t="e">
        <f t="shared" ref="AS84:BB84" si="41">AS29+AS30+AS34+AS36</f>
        <v>#REF!</v>
      </c>
      <c r="AT84" s="83" t="e">
        <f t="shared" si="41"/>
        <v>#REF!</v>
      </c>
      <c r="AU84" s="83" t="e">
        <f t="shared" si="41"/>
        <v>#REF!</v>
      </c>
      <c r="AV84" s="83" t="e">
        <f t="shared" si="41"/>
        <v>#REF!</v>
      </c>
      <c r="AW84" s="83" t="e">
        <f t="shared" si="41"/>
        <v>#REF!</v>
      </c>
      <c r="AX84" s="83" t="e">
        <f t="shared" si="41"/>
        <v>#REF!</v>
      </c>
      <c r="AY84" s="83" t="e">
        <f t="shared" si="41"/>
        <v>#REF!</v>
      </c>
      <c r="AZ84" s="83" t="e">
        <f t="shared" si="41"/>
        <v>#REF!</v>
      </c>
      <c r="BA84" s="83" t="e">
        <f t="shared" si="41"/>
        <v>#REF!</v>
      </c>
      <c r="BB84" s="83" t="e">
        <f t="shared" si="41"/>
        <v>#REF!</v>
      </c>
    </row>
    <row r="85" spans="28:54" hidden="1" x14ac:dyDescent="0.25">
      <c r="AB85" s="84" t="s">
        <v>51</v>
      </c>
      <c r="AC85" s="40"/>
      <c r="AG85" s="83" t="e">
        <f t="shared" ref="AG85:AP85" si="42">AG40+AG41+AG45+AG47</f>
        <v>#REF!</v>
      </c>
      <c r="AH85" s="83" t="e">
        <f t="shared" si="42"/>
        <v>#REF!</v>
      </c>
      <c r="AI85" s="83" t="e">
        <f t="shared" si="42"/>
        <v>#REF!</v>
      </c>
      <c r="AJ85" s="83" t="e">
        <f t="shared" si="42"/>
        <v>#REF!</v>
      </c>
      <c r="AK85" s="83" t="e">
        <f t="shared" si="42"/>
        <v>#REF!</v>
      </c>
      <c r="AL85" s="83" t="e">
        <f t="shared" si="42"/>
        <v>#REF!</v>
      </c>
      <c r="AM85" s="83" t="e">
        <f t="shared" si="42"/>
        <v>#REF!</v>
      </c>
      <c r="AN85" s="83" t="e">
        <f t="shared" si="42"/>
        <v>#REF!</v>
      </c>
      <c r="AO85" s="83" t="e">
        <f t="shared" si="42"/>
        <v>#REF!</v>
      </c>
      <c r="AP85" s="83" t="e">
        <f t="shared" si="42"/>
        <v>#REF!</v>
      </c>
      <c r="AQ85" s="83"/>
      <c r="AR85" s="83"/>
      <c r="AS85" s="83" t="e">
        <f t="shared" ref="AS85:BB85" si="43">AS40+AS41+AS45+AS47</f>
        <v>#REF!</v>
      </c>
      <c r="AT85" s="83" t="e">
        <f t="shared" si="43"/>
        <v>#REF!</v>
      </c>
      <c r="AU85" s="83" t="e">
        <f t="shared" si="43"/>
        <v>#REF!</v>
      </c>
      <c r="AV85" s="83" t="e">
        <f t="shared" si="43"/>
        <v>#REF!</v>
      </c>
      <c r="AW85" s="83" t="e">
        <f t="shared" si="43"/>
        <v>#REF!</v>
      </c>
      <c r="AX85" s="83" t="e">
        <f t="shared" si="43"/>
        <v>#REF!</v>
      </c>
      <c r="AY85" s="83" t="e">
        <f t="shared" si="43"/>
        <v>#REF!</v>
      </c>
      <c r="AZ85" s="83" t="e">
        <f t="shared" si="43"/>
        <v>#REF!</v>
      </c>
      <c r="BA85" s="83" t="e">
        <f t="shared" si="43"/>
        <v>#REF!</v>
      </c>
      <c r="BB85" s="83" t="e">
        <f t="shared" si="43"/>
        <v>#REF!</v>
      </c>
    </row>
    <row r="86" spans="28:54" hidden="1" x14ac:dyDescent="0.25">
      <c r="AB86" s="84" t="s">
        <v>52</v>
      </c>
      <c r="AC86" s="40"/>
      <c r="AG86" s="83" t="e">
        <f t="shared" ref="AG86:AP86" si="44">AG51+AG52+AG56+AG58</f>
        <v>#REF!</v>
      </c>
      <c r="AH86" s="83" t="e">
        <f t="shared" si="44"/>
        <v>#REF!</v>
      </c>
      <c r="AI86" s="83" t="e">
        <f t="shared" si="44"/>
        <v>#REF!</v>
      </c>
      <c r="AJ86" s="83" t="e">
        <f t="shared" si="44"/>
        <v>#REF!</v>
      </c>
      <c r="AK86" s="83" t="e">
        <f t="shared" si="44"/>
        <v>#REF!</v>
      </c>
      <c r="AL86" s="83" t="e">
        <f t="shared" si="44"/>
        <v>#REF!</v>
      </c>
      <c r="AM86" s="83" t="e">
        <f t="shared" si="44"/>
        <v>#REF!</v>
      </c>
      <c r="AN86" s="83" t="e">
        <f t="shared" si="44"/>
        <v>#REF!</v>
      </c>
      <c r="AO86" s="83" t="e">
        <f t="shared" si="44"/>
        <v>#REF!</v>
      </c>
      <c r="AP86" s="83" t="e">
        <f t="shared" si="44"/>
        <v>#REF!</v>
      </c>
      <c r="AQ86" s="83"/>
      <c r="AR86" s="83"/>
      <c r="AS86" s="83" t="e">
        <f t="shared" ref="AS86:BB86" si="45">AS51+AS52+AS56+AS58</f>
        <v>#REF!</v>
      </c>
      <c r="AT86" s="83" t="e">
        <f t="shared" si="45"/>
        <v>#REF!</v>
      </c>
      <c r="AU86" s="83" t="e">
        <f t="shared" si="45"/>
        <v>#REF!</v>
      </c>
      <c r="AV86" s="83" t="e">
        <f t="shared" si="45"/>
        <v>#REF!</v>
      </c>
      <c r="AW86" s="83" t="e">
        <f t="shared" si="45"/>
        <v>#REF!</v>
      </c>
      <c r="AX86" s="83" t="e">
        <f t="shared" si="45"/>
        <v>#REF!</v>
      </c>
      <c r="AY86" s="83" t="e">
        <f t="shared" si="45"/>
        <v>#REF!</v>
      </c>
      <c r="AZ86" s="83" t="e">
        <f t="shared" si="45"/>
        <v>#REF!</v>
      </c>
      <c r="BA86" s="83" t="e">
        <f t="shared" si="45"/>
        <v>#REF!</v>
      </c>
      <c r="BB86" s="83" t="e">
        <f t="shared" si="45"/>
        <v>#REF!</v>
      </c>
    </row>
    <row r="87" spans="28:54" hidden="1" x14ac:dyDescent="0.25">
      <c r="AB87" s="82" t="s">
        <v>60</v>
      </c>
      <c r="AC87" s="40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</row>
    <row r="88" spans="28:54" hidden="1" x14ac:dyDescent="0.25">
      <c r="AB88" s="84" t="s">
        <v>39</v>
      </c>
      <c r="AC88" s="40"/>
      <c r="AG88" s="83" t="e">
        <f t="shared" ref="AG88:AP88" si="46">AG29+AG30+AG34+AG37</f>
        <v>#REF!</v>
      </c>
      <c r="AH88" s="83" t="e">
        <f t="shared" si="46"/>
        <v>#REF!</v>
      </c>
      <c r="AI88" s="83" t="e">
        <f t="shared" si="46"/>
        <v>#REF!</v>
      </c>
      <c r="AJ88" s="83" t="e">
        <f t="shared" si="46"/>
        <v>#REF!</v>
      </c>
      <c r="AK88" s="83" t="e">
        <f t="shared" si="46"/>
        <v>#REF!</v>
      </c>
      <c r="AL88" s="83" t="e">
        <f t="shared" si="46"/>
        <v>#REF!</v>
      </c>
      <c r="AM88" s="83" t="e">
        <f t="shared" si="46"/>
        <v>#REF!</v>
      </c>
      <c r="AN88" s="83" t="e">
        <f t="shared" si="46"/>
        <v>#REF!</v>
      </c>
      <c r="AO88" s="83" t="e">
        <f t="shared" si="46"/>
        <v>#REF!</v>
      </c>
      <c r="AP88" s="83" t="e">
        <f t="shared" si="46"/>
        <v>#REF!</v>
      </c>
      <c r="AQ88" s="83"/>
      <c r="AR88" s="83"/>
      <c r="AS88" s="83" t="e">
        <f t="shared" ref="AS88:BB88" si="47">AS29+AS30+AS34+AS37</f>
        <v>#REF!</v>
      </c>
      <c r="AT88" s="83" t="e">
        <f t="shared" si="47"/>
        <v>#REF!</v>
      </c>
      <c r="AU88" s="83" t="e">
        <f t="shared" si="47"/>
        <v>#REF!</v>
      </c>
      <c r="AV88" s="83" t="e">
        <f t="shared" si="47"/>
        <v>#REF!</v>
      </c>
      <c r="AW88" s="83" t="e">
        <f t="shared" si="47"/>
        <v>#REF!</v>
      </c>
      <c r="AX88" s="83" t="e">
        <f t="shared" si="47"/>
        <v>#REF!</v>
      </c>
      <c r="AY88" s="83" t="e">
        <f t="shared" si="47"/>
        <v>#REF!</v>
      </c>
      <c r="AZ88" s="83" t="e">
        <f t="shared" si="47"/>
        <v>#REF!</v>
      </c>
      <c r="BA88" s="83" t="e">
        <f t="shared" si="47"/>
        <v>#REF!</v>
      </c>
      <c r="BB88" s="83" t="e">
        <f t="shared" si="47"/>
        <v>#REF!</v>
      </c>
    </row>
    <row r="89" spans="28:54" hidden="1" x14ac:dyDescent="0.25">
      <c r="AB89" s="84" t="s">
        <v>51</v>
      </c>
      <c r="AC89" s="40"/>
      <c r="AG89" s="83" t="e">
        <f t="shared" ref="AG89:AP89" si="48">AG40+AG41+AG45+AG48</f>
        <v>#REF!</v>
      </c>
      <c r="AH89" s="83" t="e">
        <f t="shared" si="48"/>
        <v>#REF!</v>
      </c>
      <c r="AI89" s="83" t="e">
        <f t="shared" si="48"/>
        <v>#REF!</v>
      </c>
      <c r="AJ89" s="83" t="e">
        <f t="shared" si="48"/>
        <v>#REF!</v>
      </c>
      <c r="AK89" s="83" t="e">
        <f t="shared" si="48"/>
        <v>#REF!</v>
      </c>
      <c r="AL89" s="83" t="e">
        <f t="shared" si="48"/>
        <v>#REF!</v>
      </c>
      <c r="AM89" s="83" t="e">
        <f t="shared" si="48"/>
        <v>#REF!</v>
      </c>
      <c r="AN89" s="83" t="e">
        <f t="shared" si="48"/>
        <v>#REF!</v>
      </c>
      <c r="AO89" s="83" t="e">
        <f t="shared" si="48"/>
        <v>#REF!</v>
      </c>
      <c r="AP89" s="83" t="e">
        <f t="shared" si="48"/>
        <v>#REF!</v>
      </c>
      <c r="AQ89" s="83"/>
      <c r="AR89" s="83"/>
      <c r="AS89" s="83" t="e">
        <f t="shared" ref="AS89:BB89" si="49">AS40+AS41+AS45+AS48</f>
        <v>#REF!</v>
      </c>
      <c r="AT89" s="83" t="e">
        <f t="shared" si="49"/>
        <v>#REF!</v>
      </c>
      <c r="AU89" s="83" t="e">
        <f t="shared" si="49"/>
        <v>#REF!</v>
      </c>
      <c r="AV89" s="83" t="e">
        <f t="shared" si="49"/>
        <v>#REF!</v>
      </c>
      <c r="AW89" s="83" t="e">
        <f t="shared" si="49"/>
        <v>#REF!</v>
      </c>
      <c r="AX89" s="83" t="e">
        <f t="shared" si="49"/>
        <v>#REF!</v>
      </c>
      <c r="AY89" s="83" t="e">
        <f t="shared" si="49"/>
        <v>#REF!</v>
      </c>
      <c r="AZ89" s="83" t="e">
        <f t="shared" si="49"/>
        <v>#REF!</v>
      </c>
      <c r="BA89" s="83" t="e">
        <f t="shared" si="49"/>
        <v>#REF!</v>
      </c>
      <c r="BB89" s="83" t="e">
        <f t="shared" si="49"/>
        <v>#REF!</v>
      </c>
    </row>
    <row r="90" spans="28:54" hidden="1" x14ac:dyDescent="0.25">
      <c r="AB90" s="84" t="s">
        <v>52</v>
      </c>
      <c r="AC90" s="40"/>
      <c r="AG90" s="83" t="e">
        <f t="shared" ref="AG90:AP90" si="50">AG51+AG52+AG56+AG59</f>
        <v>#REF!</v>
      </c>
      <c r="AH90" s="83" t="e">
        <f t="shared" si="50"/>
        <v>#REF!</v>
      </c>
      <c r="AI90" s="83" t="e">
        <f t="shared" si="50"/>
        <v>#REF!</v>
      </c>
      <c r="AJ90" s="83" t="e">
        <f t="shared" si="50"/>
        <v>#REF!</v>
      </c>
      <c r="AK90" s="83" t="e">
        <f t="shared" si="50"/>
        <v>#REF!</v>
      </c>
      <c r="AL90" s="83" t="e">
        <f t="shared" si="50"/>
        <v>#REF!</v>
      </c>
      <c r="AM90" s="83" t="e">
        <f t="shared" si="50"/>
        <v>#REF!</v>
      </c>
      <c r="AN90" s="83" t="e">
        <f t="shared" si="50"/>
        <v>#REF!</v>
      </c>
      <c r="AO90" s="83" t="e">
        <f t="shared" si="50"/>
        <v>#REF!</v>
      </c>
      <c r="AP90" s="83" t="e">
        <f t="shared" si="50"/>
        <v>#REF!</v>
      </c>
      <c r="AQ90" s="83"/>
      <c r="AR90" s="83"/>
      <c r="AS90" s="83" t="e">
        <f t="shared" ref="AS90:BB90" si="51">AS51+AS52+AS56+AS59</f>
        <v>#REF!</v>
      </c>
      <c r="AT90" s="83" t="e">
        <f t="shared" si="51"/>
        <v>#REF!</v>
      </c>
      <c r="AU90" s="83" t="e">
        <f t="shared" si="51"/>
        <v>#REF!</v>
      </c>
      <c r="AV90" s="83" t="e">
        <f t="shared" si="51"/>
        <v>#REF!</v>
      </c>
      <c r="AW90" s="83" t="e">
        <f t="shared" si="51"/>
        <v>#REF!</v>
      </c>
      <c r="AX90" s="83" t="e">
        <f t="shared" si="51"/>
        <v>#REF!</v>
      </c>
      <c r="AY90" s="83" t="e">
        <f t="shared" si="51"/>
        <v>#REF!</v>
      </c>
      <c r="AZ90" s="83" t="e">
        <f t="shared" si="51"/>
        <v>#REF!</v>
      </c>
      <c r="BA90" s="83" t="e">
        <f t="shared" si="51"/>
        <v>#REF!</v>
      </c>
      <c r="BB90" s="83" t="e">
        <f t="shared" si="51"/>
        <v>#REF!</v>
      </c>
    </row>
    <row r="91" spans="28:54" hidden="1" x14ac:dyDescent="0.25"/>
    <row r="92" spans="28:54" hidden="1" x14ac:dyDescent="0.25"/>
    <row r="93" spans="28:54" hidden="1" x14ac:dyDescent="0.25"/>
    <row r="94" spans="28:54" hidden="1" x14ac:dyDescent="0.25"/>
    <row r="95" spans="28:54" hidden="1" x14ac:dyDescent="0.25"/>
    <row r="96" spans="28:54" hidden="1" x14ac:dyDescent="0.25"/>
    <row r="97" spans="1:29" hidden="1" x14ac:dyDescent="0.25"/>
    <row r="98" spans="1:29" hidden="1" x14ac:dyDescent="0.25"/>
    <row r="99" spans="1:29" hidden="1" x14ac:dyDescent="0.25"/>
    <row r="101" spans="1:29" x14ac:dyDescent="0.25">
      <c r="A101" s="713" t="s">
        <v>132</v>
      </c>
      <c r="B101" s="713" t="s">
        <v>63</v>
      </c>
      <c r="C101" s="44" t="s">
        <v>115</v>
      </c>
      <c r="D101" s="44"/>
      <c r="E101" s="44" t="s">
        <v>64</v>
      </c>
      <c r="F101" s="44" t="s">
        <v>65</v>
      </c>
      <c r="G101" s="715" t="s">
        <v>75</v>
      </c>
      <c r="H101" s="716"/>
      <c r="I101" s="716"/>
      <c r="J101" s="716"/>
      <c r="K101" s="716"/>
      <c r="L101" s="716"/>
      <c r="M101" s="716"/>
      <c r="N101" s="716"/>
      <c r="O101" s="716"/>
      <c r="P101" s="716"/>
      <c r="Q101" s="717"/>
      <c r="R101" s="48"/>
      <c r="S101" s="715" t="s">
        <v>76</v>
      </c>
      <c r="T101" s="716"/>
      <c r="U101" s="716"/>
      <c r="V101" s="716"/>
      <c r="W101" s="716"/>
      <c r="X101" s="716"/>
      <c r="Y101" s="716"/>
      <c r="Z101" s="716"/>
      <c r="AA101" s="716"/>
      <c r="AB101" s="716"/>
      <c r="AC101" s="717"/>
    </row>
    <row r="102" spans="1:29" ht="66" x14ac:dyDescent="0.25">
      <c r="A102" s="714"/>
      <c r="B102" s="714"/>
      <c r="C102" s="50" t="s">
        <v>77</v>
      </c>
      <c r="D102" s="50"/>
      <c r="E102" s="50" t="s">
        <v>78</v>
      </c>
      <c r="F102" s="50" t="s">
        <v>79</v>
      </c>
      <c r="G102" s="558" t="s">
        <v>66</v>
      </c>
      <c r="H102" s="558" t="s">
        <v>84</v>
      </c>
      <c r="I102" s="558" t="s">
        <v>85</v>
      </c>
      <c r="J102" s="558" t="s">
        <v>69</v>
      </c>
      <c r="K102" s="558" t="s">
        <v>70</v>
      </c>
      <c r="L102" s="558" t="s">
        <v>71</v>
      </c>
      <c r="M102" s="557" t="s">
        <v>86</v>
      </c>
      <c r="N102" s="557" t="s">
        <v>87</v>
      </c>
      <c r="O102" s="557" t="s">
        <v>72</v>
      </c>
      <c r="P102" s="557" t="s">
        <v>73</v>
      </c>
      <c r="Q102" s="557" t="s">
        <v>74</v>
      </c>
      <c r="R102" s="557" t="s">
        <v>88</v>
      </c>
      <c r="S102" s="558" t="s">
        <v>66</v>
      </c>
      <c r="T102" s="558" t="s">
        <v>84</v>
      </c>
      <c r="U102" s="558" t="s">
        <v>85</v>
      </c>
      <c r="V102" s="558" t="s">
        <v>69</v>
      </c>
      <c r="W102" s="558" t="s">
        <v>70</v>
      </c>
      <c r="X102" s="558" t="s">
        <v>71</v>
      </c>
      <c r="Y102" s="557" t="s">
        <v>86</v>
      </c>
      <c r="Z102" s="557" t="s">
        <v>87</v>
      </c>
      <c r="AA102" s="52" t="s">
        <v>72</v>
      </c>
      <c r="AB102" s="557" t="s">
        <v>73</v>
      </c>
      <c r="AC102" s="557" t="s">
        <v>74</v>
      </c>
    </row>
    <row r="103" spans="1:29" x14ac:dyDescent="0.25">
      <c r="A103" s="53" t="str">
        <f t="shared" ref="A103:A118" si="52">A4</f>
        <v>Undergrounding 1</v>
      </c>
      <c r="B103" s="54" t="s">
        <v>116</v>
      </c>
      <c r="C103" s="55">
        <v>15</v>
      </c>
      <c r="D103" s="55"/>
      <c r="E103" s="55">
        <v>35</v>
      </c>
      <c r="F103" s="55">
        <v>80</v>
      </c>
      <c r="G103" s="59">
        <f t="shared" ref="G103:G118" si="53">C4*($F4*$G4+($H4))/453.59</f>
        <v>9.14383811597388</v>
      </c>
      <c r="H103" s="59">
        <f t="shared" ref="H103:H118" si="54">C4*($F4*$I4+($J4))/453.59</f>
        <v>0.82505872110934553</v>
      </c>
      <c r="I103" s="59">
        <f t="shared" ref="I103:I118" si="55">C4*(($F4*$K4)+($L4)+($M4)+($O4)+(($N4+$P4)))/453.59</f>
        <v>0.42105684827324247</v>
      </c>
      <c r="J103" s="59">
        <f t="shared" ref="J103:J118" si="56">C4*($F4*$Q4+($R4))/453.59</f>
        <v>1.087870176811658E-2</v>
      </c>
      <c r="K103" s="59">
        <f t="shared" ref="K103:K118" si="57">C4*(($F4*($S4+$U4+$V4))+($T4))/453.59</f>
        <v>0.13015420018947341</v>
      </c>
      <c r="L103" s="59">
        <f t="shared" ref="L103:L118" si="58">$C4*(($F4*($W4+$Y4+$Z4))+($X4))/453.59</f>
        <v>5.7758231311302602E-2</v>
      </c>
      <c r="M103" s="59">
        <f t="shared" ref="M103:M118" si="59">$B$36*C4*(F4+6)</f>
        <v>0.12657873879107848</v>
      </c>
      <c r="N103" s="59">
        <f t="shared" ref="N103:N109" si="60">0.41*M103</f>
        <v>5.1897282904342174E-2</v>
      </c>
      <c r="O103" s="59">
        <f t="shared" ref="O103:O118" si="61">C4*($F4*$AA4+($AB4))/453.59</f>
        <v>876.64027907435968</v>
      </c>
      <c r="P103" s="59">
        <f t="shared" ref="P103:P118" si="62">C4*($F4*$AC4+($AD4))/453.59</f>
        <v>4.758224208516737E-2</v>
      </c>
      <c r="Q103" s="59">
        <f t="shared" ref="Q103:Q118" si="63">C4*($F4*$AE4+($AF4))/453.59</f>
        <v>8.6577847739085875E-2</v>
      </c>
      <c r="R103" s="60">
        <v>22</v>
      </c>
      <c r="S103" s="59">
        <f t="shared" ref="S103:AC109" si="64">G103*$R103/4000</f>
        <v>5.0291109637856338E-2</v>
      </c>
      <c r="T103" s="59">
        <f t="shared" si="64"/>
        <v>4.5378229661013998E-3</v>
      </c>
      <c r="U103" s="61">
        <f t="shared" si="64"/>
        <v>2.3158126655028334E-3</v>
      </c>
      <c r="V103" s="62">
        <f t="shared" si="64"/>
        <v>5.9832859724641188E-5</v>
      </c>
      <c r="W103" s="61">
        <f t="shared" si="64"/>
        <v>7.1584810104210377E-4</v>
      </c>
      <c r="X103" s="61">
        <f t="shared" si="64"/>
        <v>3.1767027221216431E-4</v>
      </c>
      <c r="Y103" s="61">
        <f t="shared" si="64"/>
        <v>6.9618306335093156E-4</v>
      </c>
      <c r="Z103" s="61">
        <f t="shared" si="64"/>
        <v>2.8543505597388195E-4</v>
      </c>
      <c r="AA103" s="63">
        <f t="shared" si="64"/>
        <v>4.8215215349089782</v>
      </c>
      <c r="AB103" s="61">
        <f t="shared" si="64"/>
        <v>2.6170233146842052E-4</v>
      </c>
      <c r="AC103" s="61">
        <f t="shared" si="64"/>
        <v>4.7617816256497229E-4</v>
      </c>
    </row>
    <row r="104" spans="1:29" x14ac:dyDescent="0.25">
      <c r="A104" s="53" t="str">
        <f t="shared" si="52"/>
        <v>Conductor Pulling</v>
      </c>
      <c r="B104" s="54" t="s">
        <v>116</v>
      </c>
      <c r="C104" s="55">
        <v>8</v>
      </c>
      <c r="D104" s="55"/>
      <c r="E104" s="55">
        <v>35</v>
      </c>
      <c r="F104" s="55">
        <v>80</v>
      </c>
      <c r="G104" s="59">
        <f t="shared" si="53"/>
        <v>4.8767136618527367</v>
      </c>
      <c r="H104" s="59">
        <f t="shared" si="54"/>
        <v>0.44003131792498429</v>
      </c>
      <c r="I104" s="59">
        <f t="shared" si="55"/>
        <v>0.22456365241239598</v>
      </c>
      <c r="J104" s="59">
        <f t="shared" si="56"/>
        <v>5.8019742763288432E-3</v>
      </c>
      <c r="K104" s="59">
        <f t="shared" si="57"/>
        <v>6.9415573434385813E-2</v>
      </c>
      <c r="L104" s="59">
        <f t="shared" si="58"/>
        <v>3.0804390032694723E-2</v>
      </c>
      <c r="M104" s="59">
        <f t="shared" si="59"/>
        <v>6.7508660688575195E-2</v>
      </c>
      <c r="N104" s="59">
        <f t="shared" si="60"/>
        <v>2.7678550882315828E-2</v>
      </c>
      <c r="O104" s="59">
        <f t="shared" si="61"/>
        <v>467.54148217299189</v>
      </c>
      <c r="P104" s="59">
        <f t="shared" si="62"/>
        <v>2.5377195778755929E-2</v>
      </c>
      <c r="Q104" s="59">
        <f t="shared" si="63"/>
        <v>4.6174852127512461E-2</v>
      </c>
      <c r="R104" s="60">
        <v>22</v>
      </c>
      <c r="S104" s="59">
        <f t="shared" si="64"/>
        <v>2.6821925140190054E-2</v>
      </c>
      <c r="T104" s="59">
        <f t="shared" si="64"/>
        <v>2.4201722485874136E-3</v>
      </c>
      <c r="U104" s="61">
        <f t="shared" si="64"/>
        <v>1.235100088268178E-3</v>
      </c>
      <c r="V104" s="62">
        <f t="shared" si="64"/>
        <v>3.1910858519808641E-5</v>
      </c>
      <c r="W104" s="61">
        <f t="shared" si="64"/>
        <v>3.8178565388912198E-4</v>
      </c>
      <c r="X104" s="61">
        <f t="shared" si="64"/>
        <v>1.6942414517982096E-4</v>
      </c>
      <c r="Y104" s="61">
        <f t="shared" si="64"/>
        <v>3.7129763378716357E-4</v>
      </c>
      <c r="Z104" s="61">
        <f t="shared" si="64"/>
        <v>1.5223202985273704E-4</v>
      </c>
      <c r="AA104" s="63">
        <f t="shared" si="64"/>
        <v>2.5714781519514553</v>
      </c>
      <c r="AB104" s="61">
        <f t="shared" si="64"/>
        <v>1.3957457678315759E-4</v>
      </c>
      <c r="AC104" s="61">
        <f t="shared" si="64"/>
        <v>2.5396168670131851E-4</v>
      </c>
    </row>
    <row r="105" spans="1:29" x14ac:dyDescent="0.25">
      <c r="A105" s="53" t="str">
        <f t="shared" si="52"/>
        <v>Cable Poles</v>
      </c>
      <c r="B105" s="54" t="s">
        <v>116</v>
      </c>
      <c r="C105" s="55">
        <v>12</v>
      </c>
      <c r="D105" s="55"/>
      <c r="E105" s="55">
        <v>35</v>
      </c>
      <c r="F105" s="55">
        <v>80</v>
      </c>
      <c r="G105" s="59">
        <f t="shared" si="53"/>
        <v>7.315070492779105</v>
      </c>
      <c r="H105" s="59">
        <f t="shared" si="54"/>
        <v>0.66004697688747649</v>
      </c>
      <c r="I105" s="59">
        <f t="shared" si="55"/>
        <v>0.33684547861859399</v>
      </c>
      <c r="J105" s="59">
        <f t="shared" si="56"/>
        <v>8.7029614144932647E-3</v>
      </c>
      <c r="K105" s="59">
        <f t="shared" si="57"/>
        <v>0.10412336015157872</v>
      </c>
      <c r="L105" s="59">
        <f t="shared" si="58"/>
        <v>4.6206585049042084E-2</v>
      </c>
      <c r="M105" s="59">
        <f t="shared" si="59"/>
        <v>0.10126299103286279</v>
      </c>
      <c r="N105" s="59">
        <f t="shared" si="60"/>
        <v>4.1517826323473742E-2</v>
      </c>
      <c r="O105" s="59">
        <f t="shared" si="61"/>
        <v>701.31222325948784</v>
      </c>
      <c r="P105" s="59">
        <f t="shared" si="62"/>
        <v>3.8065793668133896E-2</v>
      </c>
      <c r="Q105" s="59">
        <f t="shared" si="63"/>
        <v>6.9262278191268692E-2</v>
      </c>
      <c r="R105" s="60">
        <v>22</v>
      </c>
      <c r="S105" s="59">
        <f t="shared" si="64"/>
        <v>4.0232887710285076E-2</v>
      </c>
      <c r="T105" s="59">
        <f t="shared" si="64"/>
        <v>3.6302583728811204E-3</v>
      </c>
      <c r="U105" s="61">
        <f t="shared" si="64"/>
        <v>1.8526501324022668E-3</v>
      </c>
      <c r="V105" s="62">
        <f t="shared" si="64"/>
        <v>4.7866287779712955E-5</v>
      </c>
      <c r="W105" s="61">
        <f t="shared" si="64"/>
        <v>5.7267848083368295E-4</v>
      </c>
      <c r="X105" s="61">
        <f t="shared" si="64"/>
        <v>2.5413621776973147E-4</v>
      </c>
      <c r="Y105" s="61">
        <f t="shared" si="64"/>
        <v>5.5694645068074533E-4</v>
      </c>
      <c r="Z105" s="61">
        <f t="shared" si="64"/>
        <v>2.283480447791056E-4</v>
      </c>
      <c r="AA105" s="63">
        <f t="shared" si="64"/>
        <v>3.8572172279271832</v>
      </c>
      <c r="AB105" s="61">
        <f t="shared" si="64"/>
        <v>2.0936186517473644E-4</v>
      </c>
      <c r="AC105" s="61">
        <f t="shared" si="64"/>
        <v>3.8094253005197779E-4</v>
      </c>
    </row>
    <row r="106" spans="1:29" x14ac:dyDescent="0.25">
      <c r="A106" s="53" t="str">
        <f t="shared" si="52"/>
        <v>Construct 4 Foundations</v>
      </c>
      <c r="B106" s="54" t="s">
        <v>116</v>
      </c>
      <c r="C106" s="55">
        <v>12</v>
      </c>
      <c r="D106" s="55"/>
      <c r="E106" s="55">
        <v>35</v>
      </c>
      <c r="F106" s="55">
        <v>80</v>
      </c>
      <c r="G106" s="59">
        <f t="shared" si="53"/>
        <v>7.315070492779105</v>
      </c>
      <c r="H106" s="59">
        <f t="shared" si="54"/>
        <v>0.66004697688747649</v>
      </c>
      <c r="I106" s="59">
        <f t="shared" si="55"/>
        <v>0.33684547861859399</v>
      </c>
      <c r="J106" s="59">
        <f t="shared" si="56"/>
        <v>8.7029614144932647E-3</v>
      </c>
      <c r="K106" s="59">
        <f t="shared" si="57"/>
        <v>0.10412336015157872</v>
      </c>
      <c r="L106" s="59">
        <f t="shared" si="58"/>
        <v>4.6206585049042084E-2</v>
      </c>
      <c r="M106" s="59">
        <f t="shared" si="59"/>
        <v>0.10126299103286279</v>
      </c>
      <c r="N106" s="59">
        <f t="shared" si="60"/>
        <v>4.1517826323473742E-2</v>
      </c>
      <c r="O106" s="59">
        <f t="shared" si="61"/>
        <v>701.31222325948784</v>
      </c>
      <c r="P106" s="59">
        <f t="shared" si="62"/>
        <v>3.8065793668133896E-2</v>
      </c>
      <c r="Q106" s="59">
        <f t="shared" si="63"/>
        <v>6.9262278191268692E-2</v>
      </c>
      <c r="R106" s="60">
        <f>10*22</f>
        <v>220</v>
      </c>
      <c r="S106" s="59">
        <f t="shared" si="64"/>
        <v>0.40232887710285076</v>
      </c>
      <c r="T106" s="59">
        <f t="shared" si="64"/>
        <v>3.6302583728811205E-2</v>
      </c>
      <c r="U106" s="61">
        <f t="shared" si="64"/>
        <v>1.8526501324022667E-2</v>
      </c>
      <c r="V106" s="62">
        <f t="shared" si="64"/>
        <v>4.7866287779712956E-4</v>
      </c>
      <c r="W106" s="61">
        <f t="shared" si="64"/>
        <v>5.7267848083368302E-3</v>
      </c>
      <c r="X106" s="61">
        <f t="shared" si="64"/>
        <v>2.5413621776973145E-3</v>
      </c>
      <c r="Y106" s="61">
        <f t="shared" si="64"/>
        <v>5.5694645068074542E-3</v>
      </c>
      <c r="Z106" s="61">
        <f t="shared" si="64"/>
        <v>2.2834804477910556E-3</v>
      </c>
      <c r="AA106" s="63">
        <f t="shared" si="64"/>
        <v>38.572172279271825</v>
      </c>
      <c r="AB106" s="61">
        <f t="shared" si="64"/>
        <v>2.0936186517473642E-3</v>
      </c>
      <c r="AC106" s="61">
        <f t="shared" si="64"/>
        <v>3.8094253005197779E-3</v>
      </c>
    </row>
    <row r="107" spans="1:29" x14ac:dyDescent="0.25">
      <c r="A107" s="53" t="str">
        <f t="shared" si="52"/>
        <v>Set Poles</v>
      </c>
      <c r="B107" s="54" t="s">
        <v>116</v>
      </c>
      <c r="C107" s="55">
        <v>12</v>
      </c>
      <c r="D107" s="55"/>
      <c r="E107" s="55">
        <v>35</v>
      </c>
      <c r="F107" s="55">
        <v>80</v>
      </c>
      <c r="G107" s="59">
        <f t="shared" si="53"/>
        <v>7.315070492779105</v>
      </c>
      <c r="H107" s="59">
        <f t="shared" si="54"/>
        <v>0.66004697688747649</v>
      </c>
      <c r="I107" s="59">
        <f t="shared" si="55"/>
        <v>0.33684547861859399</v>
      </c>
      <c r="J107" s="59">
        <f t="shared" si="56"/>
        <v>8.7029614144932647E-3</v>
      </c>
      <c r="K107" s="59">
        <f t="shared" si="57"/>
        <v>0.10412336015157872</v>
      </c>
      <c r="L107" s="59">
        <f t="shared" si="58"/>
        <v>4.6206585049042084E-2</v>
      </c>
      <c r="M107" s="59">
        <f t="shared" si="59"/>
        <v>0.10126299103286279</v>
      </c>
      <c r="N107" s="59">
        <f t="shared" si="60"/>
        <v>4.1517826323473742E-2</v>
      </c>
      <c r="O107" s="59">
        <f t="shared" si="61"/>
        <v>701.31222325948784</v>
      </c>
      <c r="P107" s="59">
        <f t="shared" si="62"/>
        <v>3.8065793668133896E-2</v>
      </c>
      <c r="Q107" s="59">
        <f t="shared" si="63"/>
        <v>6.9262278191268692E-2</v>
      </c>
      <c r="R107" s="60">
        <f t="shared" ref="R107:R118" si="65">10*22</f>
        <v>220</v>
      </c>
      <c r="S107" s="59">
        <f t="shared" si="64"/>
        <v>0.40232887710285076</v>
      </c>
      <c r="T107" s="59">
        <f t="shared" si="64"/>
        <v>3.6302583728811205E-2</v>
      </c>
      <c r="U107" s="61">
        <f t="shared" si="64"/>
        <v>1.8526501324022667E-2</v>
      </c>
      <c r="V107" s="62">
        <f t="shared" si="64"/>
        <v>4.7866287779712956E-4</v>
      </c>
      <c r="W107" s="61">
        <f t="shared" si="64"/>
        <v>5.7267848083368302E-3</v>
      </c>
      <c r="X107" s="61">
        <f t="shared" si="64"/>
        <v>2.5413621776973145E-3</v>
      </c>
      <c r="Y107" s="61">
        <f t="shared" si="64"/>
        <v>5.5694645068074542E-3</v>
      </c>
      <c r="Z107" s="61">
        <f t="shared" si="64"/>
        <v>2.2834804477910556E-3</v>
      </c>
      <c r="AA107" s="63">
        <f t="shared" si="64"/>
        <v>38.572172279271825</v>
      </c>
      <c r="AB107" s="61">
        <f t="shared" si="64"/>
        <v>2.0936186517473642E-3</v>
      </c>
      <c r="AC107" s="61">
        <f t="shared" si="64"/>
        <v>3.8094253005197779E-3</v>
      </c>
    </row>
    <row r="108" spans="1:29" x14ac:dyDescent="0.25">
      <c r="A108" s="53" t="str">
        <f t="shared" si="52"/>
        <v>Stringing Conductor</v>
      </c>
      <c r="B108" s="54" t="s">
        <v>116</v>
      </c>
      <c r="C108" s="55">
        <v>12</v>
      </c>
      <c r="D108" s="55"/>
      <c r="E108" s="55">
        <v>35</v>
      </c>
      <c r="F108" s="55">
        <v>80</v>
      </c>
      <c r="G108" s="59">
        <f t="shared" si="53"/>
        <v>7.315070492779105</v>
      </c>
      <c r="H108" s="59">
        <f t="shared" si="54"/>
        <v>0.66004697688747649</v>
      </c>
      <c r="I108" s="59">
        <f t="shared" si="55"/>
        <v>0.33684547861859399</v>
      </c>
      <c r="J108" s="59">
        <f t="shared" si="56"/>
        <v>8.7029614144932647E-3</v>
      </c>
      <c r="K108" s="59">
        <f t="shared" si="57"/>
        <v>0.10412336015157872</v>
      </c>
      <c r="L108" s="59">
        <f t="shared" si="58"/>
        <v>4.6206585049042084E-2</v>
      </c>
      <c r="M108" s="59">
        <f t="shared" si="59"/>
        <v>0.10126299103286279</v>
      </c>
      <c r="N108" s="59">
        <f t="shared" si="60"/>
        <v>4.1517826323473742E-2</v>
      </c>
      <c r="O108" s="59">
        <f t="shared" si="61"/>
        <v>701.31222325948784</v>
      </c>
      <c r="P108" s="59">
        <f t="shared" si="62"/>
        <v>3.8065793668133896E-2</v>
      </c>
      <c r="Q108" s="59">
        <f t="shared" si="63"/>
        <v>6.9262278191268692E-2</v>
      </c>
      <c r="R108" s="60">
        <f t="shared" si="65"/>
        <v>220</v>
      </c>
      <c r="S108" s="59">
        <f t="shared" si="64"/>
        <v>0.40232887710285076</v>
      </c>
      <c r="T108" s="59">
        <f t="shared" si="64"/>
        <v>3.6302583728811205E-2</v>
      </c>
      <c r="U108" s="61">
        <f t="shared" si="64"/>
        <v>1.8526501324022667E-2</v>
      </c>
      <c r="V108" s="62">
        <f t="shared" si="64"/>
        <v>4.7866287779712956E-4</v>
      </c>
      <c r="W108" s="61">
        <f t="shared" si="64"/>
        <v>5.7267848083368302E-3</v>
      </c>
      <c r="X108" s="61">
        <f t="shared" si="64"/>
        <v>2.5413621776973145E-3</v>
      </c>
      <c r="Y108" s="61">
        <f t="shared" si="64"/>
        <v>5.5694645068074542E-3</v>
      </c>
      <c r="Z108" s="61">
        <f t="shared" si="64"/>
        <v>2.2834804477910556E-3</v>
      </c>
      <c r="AA108" s="63">
        <f t="shared" si="64"/>
        <v>38.572172279271825</v>
      </c>
      <c r="AB108" s="61">
        <f t="shared" si="64"/>
        <v>2.0936186517473642E-3</v>
      </c>
      <c r="AC108" s="61">
        <f t="shared" si="64"/>
        <v>3.8094253005197779E-3</v>
      </c>
    </row>
    <row r="109" spans="1:29" x14ac:dyDescent="0.25">
      <c r="A109" s="53" t="str">
        <f t="shared" si="52"/>
        <v>Undergrounding 2</v>
      </c>
      <c r="B109" s="54" t="s">
        <v>116</v>
      </c>
      <c r="C109" s="55">
        <v>15</v>
      </c>
      <c r="D109" s="55"/>
      <c r="E109" s="55">
        <v>35</v>
      </c>
      <c r="F109" s="55">
        <v>80</v>
      </c>
      <c r="G109" s="59">
        <f t="shared" si="53"/>
        <v>9.14383811597388</v>
      </c>
      <c r="H109" s="59">
        <f t="shared" si="54"/>
        <v>0.82505872110934553</v>
      </c>
      <c r="I109" s="59">
        <f t="shared" si="55"/>
        <v>0.42105684827324247</v>
      </c>
      <c r="J109" s="59">
        <f t="shared" si="56"/>
        <v>1.087870176811658E-2</v>
      </c>
      <c r="K109" s="59">
        <f t="shared" si="57"/>
        <v>0.13015420018947341</v>
      </c>
      <c r="L109" s="59">
        <f t="shared" si="58"/>
        <v>5.7758231311302602E-2</v>
      </c>
      <c r="M109" s="59">
        <f t="shared" si="59"/>
        <v>0.12657873879107848</v>
      </c>
      <c r="N109" s="59">
        <f t="shared" si="60"/>
        <v>5.1897282904342174E-2</v>
      </c>
      <c r="O109" s="59">
        <f t="shared" si="61"/>
        <v>876.64027907435968</v>
      </c>
      <c r="P109" s="59">
        <f t="shared" si="62"/>
        <v>4.758224208516737E-2</v>
      </c>
      <c r="Q109" s="59">
        <f t="shared" si="63"/>
        <v>8.6577847739085875E-2</v>
      </c>
      <c r="R109" s="60">
        <f t="shared" si="65"/>
        <v>220</v>
      </c>
      <c r="S109" s="59">
        <f t="shared" si="64"/>
        <v>0.50291109637856335</v>
      </c>
      <c r="T109" s="59">
        <f t="shared" si="64"/>
        <v>4.5378229661014007E-2</v>
      </c>
      <c r="U109" s="61">
        <f t="shared" si="64"/>
        <v>2.3158126655028338E-2</v>
      </c>
      <c r="V109" s="62">
        <f t="shared" si="64"/>
        <v>5.983285972464118E-4</v>
      </c>
      <c r="W109" s="61">
        <f t="shared" si="64"/>
        <v>7.1584810104210377E-3</v>
      </c>
      <c r="X109" s="61">
        <f t="shared" si="64"/>
        <v>3.1767027221216429E-3</v>
      </c>
      <c r="Y109" s="61">
        <f t="shared" si="64"/>
        <v>6.9618306335093158E-3</v>
      </c>
      <c r="Z109" s="61">
        <f t="shared" si="64"/>
        <v>2.8543505597388194E-3</v>
      </c>
      <c r="AA109" s="63">
        <f t="shared" si="64"/>
        <v>48.215215349089782</v>
      </c>
      <c r="AB109" s="61">
        <f t="shared" si="64"/>
        <v>2.6170233146842053E-3</v>
      </c>
      <c r="AC109" s="61">
        <f t="shared" si="64"/>
        <v>4.7617816256497235E-3</v>
      </c>
    </row>
    <row r="110" spans="1:29" x14ac:dyDescent="0.25">
      <c r="A110" s="53" t="str">
        <f t="shared" si="52"/>
        <v>Conductor Pulling - UG2</v>
      </c>
      <c r="B110" s="54" t="s">
        <v>116</v>
      </c>
      <c r="C110" s="55">
        <v>8</v>
      </c>
      <c r="D110" s="55"/>
      <c r="E110" s="55">
        <v>35</v>
      </c>
      <c r="F110" s="55">
        <v>80</v>
      </c>
      <c r="G110" s="59">
        <f t="shared" si="53"/>
        <v>4.8767136618527367</v>
      </c>
      <c r="H110" s="59">
        <f t="shared" si="54"/>
        <v>0.44003131792498429</v>
      </c>
      <c r="I110" s="59">
        <f t="shared" si="55"/>
        <v>0.22456365241239598</v>
      </c>
      <c r="J110" s="59">
        <f t="shared" si="56"/>
        <v>5.8019742763288432E-3</v>
      </c>
      <c r="K110" s="59">
        <f t="shared" si="57"/>
        <v>6.9415573434385813E-2</v>
      </c>
      <c r="L110" s="59">
        <f t="shared" si="58"/>
        <v>3.0804390032694723E-2</v>
      </c>
      <c r="M110" s="59">
        <f t="shared" si="59"/>
        <v>6.7508660688575195E-2</v>
      </c>
      <c r="N110" s="59">
        <f t="shared" ref="N110:N118" si="66">0.21*M110</f>
        <v>1.417681874460079E-2</v>
      </c>
      <c r="O110" s="59">
        <f t="shared" si="61"/>
        <v>467.54148217299189</v>
      </c>
      <c r="P110" s="59">
        <f t="shared" si="62"/>
        <v>2.5377195778755929E-2</v>
      </c>
      <c r="Q110" s="59">
        <f t="shared" si="63"/>
        <v>4.6174852127512461E-2</v>
      </c>
      <c r="R110" s="60">
        <f t="shared" si="65"/>
        <v>220</v>
      </c>
      <c r="S110" s="59">
        <f t="shared" ref="S110:AC118" si="67">G110*$R110/2000</f>
        <v>0.53643850280380101</v>
      </c>
      <c r="T110" s="59">
        <f t="shared" si="67"/>
        <v>4.8403444971748269E-2</v>
      </c>
      <c r="U110" s="61">
        <f t="shared" si="67"/>
        <v>2.4702001765363558E-2</v>
      </c>
      <c r="V110" s="62">
        <f t="shared" si="67"/>
        <v>6.3821717039617271E-4</v>
      </c>
      <c r="W110" s="61">
        <f t="shared" si="67"/>
        <v>7.635713077782439E-3</v>
      </c>
      <c r="X110" s="61">
        <f t="shared" si="67"/>
        <v>3.3884829035964199E-3</v>
      </c>
      <c r="Y110" s="61">
        <f t="shared" si="67"/>
        <v>7.4259526757432717E-3</v>
      </c>
      <c r="Z110" s="61">
        <f t="shared" si="67"/>
        <v>1.559450061906087E-3</v>
      </c>
      <c r="AA110" s="63">
        <f t="shared" si="67"/>
        <v>51.429563039029105</v>
      </c>
      <c r="AB110" s="61">
        <f t="shared" si="67"/>
        <v>2.7914915356631524E-3</v>
      </c>
      <c r="AC110" s="61">
        <f t="shared" si="67"/>
        <v>5.0792337340263708E-3</v>
      </c>
    </row>
    <row r="111" spans="1:29" x14ac:dyDescent="0.25">
      <c r="A111" s="53" t="str">
        <f t="shared" si="52"/>
        <v>Conductor Pulling - Rancho Viejo</v>
      </c>
      <c r="B111" s="54" t="s">
        <v>116</v>
      </c>
      <c r="C111" s="55">
        <v>8</v>
      </c>
      <c r="D111" s="55"/>
      <c r="E111" s="55">
        <v>35</v>
      </c>
      <c r="F111" s="55">
        <v>80</v>
      </c>
      <c r="G111" s="59">
        <f t="shared" si="53"/>
        <v>4.8767136618527367</v>
      </c>
      <c r="H111" s="59">
        <f t="shared" si="54"/>
        <v>0.44003131792498429</v>
      </c>
      <c r="I111" s="59">
        <f t="shared" si="55"/>
        <v>0.22456365241239598</v>
      </c>
      <c r="J111" s="59">
        <f t="shared" si="56"/>
        <v>5.8019742763288432E-3</v>
      </c>
      <c r="K111" s="59">
        <f t="shared" si="57"/>
        <v>6.9415573434385813E-2</v>
      </c>
      <c r="L111" s="59">
        <f t="shared" si="58"/>
        <v>3.0804390032694723E-2</v>
      </c>
      <c r="M111" s="59">
        <f t="shared" si="59"/>
        <v>6.7508660688575195E-2</v>
      </c>
      <c r="N111" s="59">
        <f t="shared" si="66"/>
        <v>1.417681874460079E-2</v>
      </c>
      <c r="O111" s="59">
        <f t="shared" si="61"/>
        <v>467.54148217299189</v>
      </c>
      <c r="P111" s="59">
        <f t="shared" si="62"/>
        <v>2.5377195778755929E-2</v>
      </c>
      <c r="Q111" s="59">
        <f t="shared" si="63"/>
        <v>4.6174852127512461E-2</v>
      </c>
      <c r="R111" s="60">
        <f t="shared" si="65"/>
        <v>220</v>
      </c>
      <c r="S111" s="59">
        <f t="shared" si="67"/>
        <v>0.53643850280380101</v>
      </c>
      <c r="T111" s="59">
        <f t="shared" si="67"/>
        <v>4.8403444971748269E-2</v>
      </c>
      <c r="U111" s="61">
        <f t="shared" si="67"/>
        <v>2.4702001765363558E-2</v>
      </c>
      <c r="V111" s="62">
        <f t="shared" si="67"/>
        <v>6.3821717039617271E-4</v>
      </c>
      <c r="W111" s="61">
        <f t="shared" si="67"/>
        <v>7.635713077782439E-3</v>
      </c>
      <c r="X111" s="61">
        <f t="shared" si="67"/>
        <v>3.3884829035964199E-3</v>
      </c>
      <c r="Y111" s="61">
        <f t="shared" si="67"/>
        <v>7.4259526757432717E-3</v>
      </c>
      <c r="Z111" s="61">
        <f t="shared" si="67"/>
        <v>1.559450061906087E-3</v>
      </c>
      <c r="AA111" s="63">
        <f t="shared" si="67"/>
        <v>51.429563039029105</v>
      </c>
      <c r="AB111" s="61">
        <f t="shared" si="67"/>
        <v>2.7914915356631524E-3</v>
      </c>
      <c r="AC111" s="61">
        <f t="shared" si="67"/>
        <v>5.0792337340263708E-3</v>
      </c>
    </row>
    <row r="112" spans="1:29" x14ac:dyDescent="0.25">
      <c r="A112" s="53" t="str">
        <f t="shared" si="52"/>
        <v>Conductor Pulling - La Pata</v>
      </c>
      <c r="B112" s="54" t="s">
        <v>116</v>
      </c>
      <c r="C112" s="55">
        <v>8</v>
      </c>
      <c r="D112" s="55"/>
      <c r="E112" s="55">
        <v>35</v>
      </c>
      <c r="F112" s="55">
        <v>80</v>
      </c>
      <c r="G112" s="59">
        <f t="shared" si="53"/>
        <v>4.8767136618527367</v>
      </c>
      <c r="H112" s="59">
        <f t="shared" si="54"/>
        <v>0.44003131792498429</v>
      </c>
      <c r="I112" s="59">
        <f t="shared" si="55"/>
        <v>0.22456365241239598</v>
      </c>
      <c r="J112" s="59">
        <f t="shared" si="56"/>
        <v>5.8019742763288432E-3</v>
      </c>
      <c r="K112" s="59">
        <f t="shared" si="57"/>
        <v>6.9415573434385813E-2</v>
      </c>
      <c r="L112" s="59">
        <f t="shared" si="58"/>
        <v>3.0804390032694723E-2</v>
      </c>
      <c r="M112" s="59">
        <f t="shared" si="59"/>
        <v>6.7508660688575195E-2</v>
      </c>
      <c r="N112" s="59">
        <f t="shared" si="66"/>
        <v>1.417681874460079E-2</v>
      </c>
      <c r="O112" s="59">
        <f t="shared" si="61"/>
        <v>467.54148217299189</v>
      </c>
      <c r="P112" s="59">
        <f t="shared" si="62"/>
        <v>2.5377195778755929E-2</v>
      </c>
      <c r="Q112" s="59">
        <f t="shared" si="63"/>
        <v>4.6174852127512461E-2</v>
      </c>
      <c r="R112" s="60">
        <f t="shared" si="65"/>
        <v>220</v>
      </c>
      <c r="S112" s="59">
        <f t="shared" si="67"/>
        <v>0.53643850280380101</v>
      </c>
      <c r="T112" s="59">
        <f t="shared" si="67"/>
        <v>4.8403444971748269E-2</v>
      </c>
      <c r="U112" s="61">
        <f t="shared" si="67"/>
        <v>2.4702001765363558E-2</v>
      </c>
      <c r="V112" s="62">
        <f t="shared" si="67"/>
        <v>6.3821717039617271E-4</v>
      </c>
      <c r="W112" s="61">
        <f t="shared" si="67"/>
        <v>7.635713077782439E-3</v>
      </c>
      <c r="X112" s="61">
        <f t="shared" si="67"/>
        <v>3.3884829035964199E-3</v>
      </c>
      <c r="Y112" s="61">
        <f t="shared" si="67"/>
        <v>7.4259526757432717E-3</v>
      </c>
      <c r="Z112" s="61">
        <f t="shared" si="67"/>
        <v>1.559450061906087E-3</v>
      </c>
      <c r="AA112" s="63">
        <f t="shared" si="67"/>
        <v>51.429563039029105</v>
      </c>
      <c r="AB112" s="61">
        <f t="shared" si="67"/>
        <v>2.7914915356631524E-3</v>
      </c>
      <c r="AC112" s="61">
        <f t="shared" si="67"/>
        <v>5.0792337340263708E-3</v>
      </c>
    </row>
    <row r="113" spans="1:29" x14ac:dyDescent="0.25">
      <c r="A113" s="53" t="str">
        <f t="shared" si="52"/>
        <v>Wood to Steel - Construct New Poles</v>
      </c>
      <c r="B113" s="54" t="s">
        <v>116</v>
      </c>
      <c r="C113" s="55">
        <v>8</v>
      </c>
      <c r="D113" s="55"/>
      <c r="E113" s="55">
        <v>35</v>
      </c>
      <c r="F113" s="55">
        <v>80</v>
      </c>
      <c r="G113" s="59">
        <f t="shared" si="53"/>
        <v>4.8767136618527367</v>
      </c>
      <c r="H113" s="59">
        <f t="shared" si="54"/>
        <v>0.44003131792498429</v>
      </c>
      <c r="I113" s="59">
        <f t="shared" si="55"/>
        <v>0.22456365241239598</v>
      </c>
      <c r="J113" s="59">
        <f t="shared" si="56"/>
        <v>5.8019742763288432E-3</v>
      </c>
      <c r="K113" s="59">
        <f t="shared" si="57"/>
        <v>6.9415573434385813E-2</v>
      </c>
      <c r="L113" s="59">
        <f t="shared" si="58"/>
        <v>3.0804390032694723E-2</v>
      </c>
      <c r="M113" s="59">
        <f t="shared" si="59"/>
        <v>6.7508660688575195E-2</v>
      </c>
      <c r="N113" s="59">
        <f t="shared" si="66"/>
        <v>1.417681874460079E-2</v>
      </c>
      <c r="O113" s="59">
        <f t="shared" si="61"/>
        <v>467.54148217299189</v>
      </c>
      <c r="P113" s="59">
        <f t="shared" si="62"/>
        <v>2.5377195778755929E-2</v>
      </c>
      <c r="Q113" s="59">
        <f t="shared" si="63"/>
        <v>4.6174852127512461E-2</v>
      </c>
      <c r="R113" s="60">
        <f t="shared" si="65"/>
        <v>220</v>
      </c>
      <c r="S113" s="59">
        <f t="shared" si="67"/>
        <v>0.53643850280380101</v>
      </c>
      <c r="T113" s="59">
        <f t="shared" si="67"/>
        <v>4.8403444971748269E-2</v>
      </c>
      <c r="U113" s="61">
        <f t="shared" si="67"/>
        <v>2.4702001765363558E-2</v>
      </c>
      <c r="V113" s="62">
        <f t="shared" si="67"/>
        <v>6.3821717039617271E-4</v>
      </c>
      <c r="W113" s="61">
        <f t="shared" si="67"/>
        <v>7.635713077782439E-3</v>
      </c>
      <c r="X113" s="61">
        <f t="shared" si="67"/>
        <v>3.3884829035964199E-3</v>
      </c>
      <c r="Y113" s="61">
        <f t="shared" si="67"/>
        <v>7.4259526757432717E-3</v>
      </c>
      <c r="Z113" s="61">
        <f t="shared" si="67"/>
        <v>1.559450061906087E-3</v>
      </c>
      <c r="AA113" s="63">
        <f t="shared" si="67"/>
        <v>51.429563039029105</v>
      </c>
      <c r="AB113" s="61">
        <f t="shared" si="67"/>
        <v>2.7914915356631524E-3</v>
      </c>
      <c r="AC113" s="61">
        <f t="shared" si="67"/>
        <v>5.0792337340263708E-3</v>
      </c>
    </row>
    <row r="114" spans="1:29" x14ac:dyDescent="0.25">
      <c r="A114" s="53" t="str">
        <f t="shared" si="52"/>
        <v>Stringing (OH)</v>
      </c>
      <c r="B114" s="54" t="s">
        <v>116</v>
      </c>
      <c r="C114" s="55">
        <v>12</v>
      </c>
      <c r="D114" s="55"/>
      <c r="E114" s="55">
        <v>35</v>
      </c>
      <c r="F114" s="55">
        <v>80</v>
      </c>
      <c r="G114" s="59">
        <f t="shared" si="53"/>
        <v>7.315070492779105</v>
      </c>
      <c r="H114" s="59">
        <f t="shared" si="54"/>
        <v>0.66004697688747649</v>
      </c>
      <c r="I114" s="59">
        <f t="shared" si="55"/>
        <v>0.33684547861859399</v>
      </c>
      <c r="J114" s="59">
        <f t="shared" si="56"/>
        <v>8.7029614144932647E-3</v>
      </c>
      <c r="K114" s="59">
        <f t="shared" si="57"/>
        <v>0.10412336015157872</v>
      </c>
      <c r="L114" s="59">
        <f t="shared" si="58"/>
        <v>4.6206585049042084E-2</v>
      </c>
      <c r="M114" s="59">
        <f t="shared" si="59"/>
        <v>0.10126299103286279</v>
      </c>
      <c r="N114" s="59">
        <f t="shared" si="66"/>
        <v>2.1265228116901187E-2</v>
      </c>
      <c r="O114" s="59">
        <f t="shared" si="61"/>
        <v>701.31222325948784</v>
      </c>
      <c r="P114" s="59">
        <f t="shared" si="62"/>
        <v>3.8065793668133896E-2</v>
      </c>
      <c r="Q114" s="59">
        <f t="shared" si="63"/>
        <v>6.9262278191268692E-2</v>
      </c>
      <c r="R114" s="60">
        <f t="shared" si="65"/>
        <v>220</v>
      </c>
      <c r="S114" s="59">
        <f t="shared" si="67"/>
        <v>0.80465775420570151</v>
      </c>
      <c r="T114" s="59">
        <f t="shared" si="67"/>
        <v>7.260516745762241E-2</v>
      </c>
      <c r="U114" s="61">
        <f t="shared" si="67"/>
        <v>3.7053002648045334E-2</v>
      </c>
      <c r="V114" s="62">
        <f t="shared" si="67"/>
        <v>9.5732575559425912E-4</v>
      </c>
      <c r="W114" s="61">
        <f t="shared" si="67"/>
        <v>1.145356961667366E-2</v>
      </c>
      <c r="X114" s="61">
        <f t="shared" si="67"/>
        <v>5.0827243553946289E-3</v>
      </c>
      <c r="Y114" s="61">
        <f t="shared" si="67"/>
        <v>1.1138929013614908E-2</v>
      </c>
      <c r="Z114" s="61">
        <f t="shared" si="67"/>
        <v>2.3391750928591307E-3</v>
      </c>
      <c r="AA114" s="63">
        <f t="shared" si="67"/>
        <v>77.144344558543651</v>
      </c>
      <c r="AB114" s="61">
        <f t="shared" si="67"/>
        <v>4.1872373034947284E-3</v>
      </c>
      <c r="AC114" s="61">
        <f t="shared" si="67"/>
        <v>7.6188506010395557E-3</v>
      </c>
    </row>
    <row r="115" spans="1:29" x14ac:dyDescent="0.25">
      <c r="A115" s="53" t="str">
        <f t="shared" si="52"/>
        <v>Conductor Pulling</v>
      </c>
      <c r="B115" s="54" t="s">
        <v>116</v>
      </c>
      <c r="C115" s="55">
        <v>8</v>
      </c>
      <c r="D115" s="55"/>
      <c r="E115" s="55">
        <v>35</v>
      </c>
      <c r="F115" s="55">
        <v>80</v>
      </c>
      <c r="G115" s="59">
        <f t="shared" si="53"/>
        <v>4.8767136618527367</v>
      </c>
      <c r="H115" s="59">
        <f t="shared" si="54"/>
        <v>0.44003131792498429</v>
      </c>
      <c r="I115" s="59">
        <f t="shared" si="55"/>
        <v>0.22456365241239598</v>
      </c>
      <c r="J115" s="59">
        <f t="shared" si="56"/>
        <v>5.8019742763288432E-3</v>
      </c>
      <c r="K115" s="59">
        <f t="shared" si="57"/>
        <v>6.9415573434385813E-2</v>
      </c>
      <c r="L115" s="59">
        <f t="shared" si="58"/>
        <v>3.0804390032694723E-2</v>
      </c>
      <c r="M115" s="59">
        <f t="shared" si="59"/>
        <v>6.7508660688575195E-2</v>
      </c>
      <c r="N115" s="59">
        <f t="shared" si="66"/>
        <v>1.417681874460079E-2</v>
      </c>
      <c r="O115" s="59">
        <f t="shared" si="61"/>
        <v>467.54148217299189</v>
      </c>
      <c r="P115" s="59">
        <f t="shared" si="62"/>
        <v>2.5377195778755929E-2</v>
      </c>
      <c r="Q115" s="59">
        <f t="shared" si="63"/>
        <v>4.6174852127512461E-2</v>
      </c>
      <c r="R115" s="60">
        <f t="shared" si="65"/>
        <v>220</v>
      </c>
      <c r="S115" s="59">
        <f t="shared" si="67"/>
        <v>0.53643850280380101</v>
      </c>
      <c r="T115" s="59">
        <f t="shared" si="67"/>
        <v>4.8403444971748269E-2</v>
      </c>
      <c r="U115" s="61">
        <f t="shared" si="67"/>
        <v>2.4702001765363558E-2</v>
      </c>
      <c r="V115" s="62">
        <f t="shared" si="67"/>
        <v>6.3821717039617271E-4</v>
      </c>
      <c r="W115" s="61">
        <f t="shared" si="67"/>
        <v>7.635713077782439E-3</v>
      </c>
      <c r="X115" s="61">
        <f t="shared" si="67"/>
        <v>3.3884829035964199E-3</v>
      </c>
      <c r="Y115" s="61">
        <f t="shared" si="67"/>
        <v>7.4259526757432717E-3</v>
      </c>
      <c r="Z115" s="61">
        <f t="shared" si="67"/>
        <v>1.559450061906087E-3</v>
      </c>
      <c r="AA115" s="63">
        <f t="shared" si="67"/>
        <v>51.429563039029105</v>
      </c>
      <c r="AB115" s="61">
        <f t="shared" si="67"/>
        <v>2.7914915356631524E-3</v>
      </c>
      <c r="AC115" s="61">
        <f t="shared" si="67"/>
        <v>5.0792337340263708E-3</v>
      </c>
    </row>
    <row r="116" spans="1:29" x14ac:dyDescent="0.25">
      <c r="A116" s="53" t="str">
        <f t="shared" si="52"/>
        <v>Remove Poles and Conductor La Pata</v>
      </c>
      <c r="B116" s="54" t="s">
        <v>116</v>
      </c>
      <c r="C116" s="55">
        <v>8</v>
      </c>
      <c r="D116" s="55"/>
      <c r="E116" s="55">
        <v>35</v>
      </c>
      <c r="F116" s="55">
        <v>80</v>
      </c>
      <c r="G116" s="59">
        <f t="shared" si="53"/>
        <v>4.8767136618527367</v>
      </c>
      <c r="H116" s="59">
        <f t="shared" si="54"/>
        <v>0.44003131792498429</v>
      </c>
      <c r="I116" s="59">
        <f t="shared" si="55"/>
        <v>0.22456365241239598</v>
      </c>
      <c r="J116" s="59">
        <f t="shared" si="56"/>
        <v>5.8019742763288432E-3</v>
      </c>
      <c r="K116" s="59">
        <f t="shared" si="57"/>
        <v>6.9415573434385813E-2</v>
      </c>
      <c r="L116" s="59">
        <f t="shared" si="58"/>
        <v>3.0804390032694723E-2</v>
      </c>
      <c r="M116" s="59">
        <f t="shared" si="59"/>
        <v>6.7508660688575195E-2</v>
      </c>
      <c r="N116" s="59">
        <f t="shared" si="66"/>
        <v>1.417681874460079E-2</v>
      </c>
      <c r="O116" s="59">
        <f t="shared" si="61"/>
        <v>467.54148217299189</v>
      </c>
      <c r="P116" s="59">
        <f t="shared" si="62"/>
        <v>2.5377195778755929E-2</v>
      </c>
      <c r="Q116" s="59">
        <f t="shared" si="63"/>
        <v>4.6174852127512461E-2</v>
      </c>
      <c r="R116" s="60">
        <f t="shared" si="65"/>
        <v>220</v>
      </c>
      <c r="S116" s="59">
        <f t="shared" si="67"/>
        <v>0.53643850280380101</v>
      </c>
      <c r="T116" s="59">
        <f t="shared" si="67"/>
        <v>4.8403444971748269E-2</v>
      </c>
      <c r="U116" s="61">
        <f t="shared" si="67"/>
        <v>2.4702001765363558E-2</v>
      </c>
      <c r="V116" s="62">
        <f t="shared" si="67"/>
        <v>6.3821717039617271E-4</v>
      </c>
      <c r="W116" s="61">
        <f t="shared" si="67"/>
        <v>7.635713077782439E-3</v>
      </c>
      <c r="X116" s="61">
        <f t="shared" si="67"/>
        <v>3.3884829035964199E-3</v>
      </c>
      <c r="Y116" s="61">
        <f t="shared" si="67"/>
        <v>7.4259526757432717E-3</v>
      </c>
      <c r="Z116" s="61">
        <f t="shared" si="67"/>
        <v>1.559450061906087E-3</v>
      </c>
      <c r="AA116" s="63">
        <f t="shared" si="67"/>
        <v>51.429563039029105</v>
      </c>
      <c r="AB116" s="61">
        <f t="shared" si="67"/>
        <v>2.7914915356631524E-3</v>
      </c>
      <c r="AC116" s="61">
        <f t="shared" si="67"/>
        <v>5.0792337340263708E-3</v>
      </c>
    </row>
    <row r="117" spans="1:29" x14ac:dyDescent="0.25">
      <c r="A117" s="53" t="str">
        <f t="shared" si="52"/>
        <v>Undergrounding Talega</v>
      </c>
      <c r="B117" s="54" t="s">
        <v>116</v>
      </c>
      <c r="C117" s="55">
        <v>15</v>
      </c>
      <c r="D117" s="55"/>
      <c r="E117" s="55">
        <v>35</v>
      </c>
      <c r="F117" s="55">
        <v>80</v>
      </c>
      <c r="G117" s="59">
        <f t="shared" si="53"/>
        <v>9.14383811597388</v>
      </c>
      <c r="H117" s="59">
        <f t="shared" si="54"/>
        <v>0.82505872110934553</v>
      </c>
      <c r="I117" s="59">
        <f t="shared" si="55"/>
        <v>0.42105684827324247</v>
      </c>
      <c r="J117" s="59">
        <f t="shared" si="56"/>
        <v>1.087870176811658E-2</v>
      </c>
      <c r="K117" s="59">
        <f t="shared" si="57"/>
        <v>0.13015420018947341</v>
      </c>
      <c r="L117" s="59">
        <f t="shared" si="58"/>
        <v>5.7758231311302602E-2</v>
      </c>
      <c r="M117" s="59">
        <f t="shared" si="59"/>
        <v>0.12657873879107848</v>
      </c>
      <c r="N117" s="59">
        <f t="shared" si="66"/>
        <v>2.6581535146126479E-2</v>
      </c>
      <c r="O117" s="59">
        <f t="shared" si="61"/>
        <v>876.64027907435968</v>
      </c>
      <c r="P117" s="59">
        <f t="shared" si="62"/>
        <v>4.758224208516737E-2</v>
      </c>
      <c r="Q117" s="59">
        <f t="shared" si="63"/>
        <v>8.6577847739085875E-2</v>
      </c>
      <c r="R117" s="60">
        <f t="shared" si="65"/>
        <v>220</v>
      </c>
      <c r="S117" s="59">
        <f t="shared" si="67"/>
        <v>1.0058221927571267</v>
      </c>
      <c r="T117" s="59">
        <f t="shared" si="67"/>
        <v>9.0756459322028013E-2</v>
      </c>
      <c r="U117" s="61">
        <f t="shared" si="67"/>
        <v>4.6316253310056676E-2</v>
      </c>
      <c r="V117" s="62">
        <f t="shared" si="67"/>
        <v>1.1966571944928236E-3</v>
      </c>
      <c r="W117" s="61">
        <f t="shared" si="67"/>
        <v>1.4316962020842075E-2</v>
      </c>
      <c r="X117" s="61">
        <f t="shared" si="67"/>
        <v>6.3534054442432857E-3</v>
      </c>
      <c r="Y117" s="61">
        <f t="shared" si="67"/>
        <v>1.3923661267018632E-2</v>
      </c>
      <c r="Z117" s="61">
        <f t="shared" si="67"/>
        <v>2.9239688660739126E-3</v>
      </c>
      <c r="AA117" s="63">
        <f t="shared" si="67"/>
        <v>96.430430698179563</v>
      </c>
      <c r="AB117" s="61">
        <f t="shared" si="67"/>
        <v>5.2340466293684107E-3</v>
      </c>
      <c r="AC117" s="61">
        <f t="shared" si="67"/>
        <v>9.523563251299447E-3</v>
      </c>
    </row>
    <row r="118" spans="1:29" x14ac:dyDescent="0.25">
      <c r="A118" s="53" t="str">
        <f t="shared" si="52"/>
        <v>Conductor Pulling - Talega</v>
      </c>
      <c r="B118" s="54" t="s">
        <v>116</v>
      </c>
      <c r="C118" s="55">
        <v>8</v>
      </c>
      <c r="D118" s="55"/>
      <c r="E118" s="55">
        <v>35</v>
      </c>
      <c r="F118" s="55">
        <v>80</v>
      </c>
      <c r="G118" s="59">
        <f t="shared" si="53"/>
        <v>4.8767136618527367</v>
      </c>
      <c r="H118" s="59">
        <f t="shared" si="54"/>
        <v>0.44003131792498429</v>
      </c>
      <c r="I118" s="59">
        <f t="shared" si="55"/>
        <v>0.22456365241239598</v>
      </c>
      <c r="J118" s="59">
        <f t="shared" si="56"/>
        <v>5.8019742763288432E-3</v>
      </c>
      <c r="K118" s="59">
        <f t="shared" si="57"/>
        <v>6.9415573434385813E-2</v>
      </c>
      <c r="L118" s="59">
        <f t="shared" si="58"/>
        <v>3.0804390032694723E-2</v>
      </c>
      <c r="M118" s="59">
        <f t="shared" si="59"/>
        <v>6.7508660688575195E-2</v>
      </c>
      <c r="N118" s="59">
        <f t="shared" si="66"/>
        <v>1.417681874460079E-2</v>
      </c>
      <c r="O118" s="59">
        <f t="shared" si="61"/>
        <v>467.54148217299189</v>
      </c>
      <c r="P118" s="59">
        <f t="shared" si="62"/>
        <v>2.5377195778755929E-2</v>
      </c>
      <c r="Q118" s="59">
        <f t="shared" si="63"/>
        <v>4.6174852127512461E-2</v>
      </c>
      <c r="R118" s="60">
        <f t="shared" si="65"/>
        <v>220</v>
      </c>
      <c r="S118" s="59">
        <f t="shared" si="67"/>
        <v>0.53643850280380101</v>
      </c>
      <c r="T118" s="59">
        <f t="shared" si="67"/>
        <v>4.8403444971748269E-2</v>
      </c>
      <c r="U118" s="61">
        <f t="shared" si="67"/>
        <v>2.4702001765363558E-2</v>
      </c>
      <c r="V118" s="62">
        <f t="shared" si="67"/>
        <v>6.3821717039617271E-4</v>
      </c>
      <c r="W118" s="61">
        <f t="shared" si="67"/>
        <v>7.635713077782439E-3</v>
      </c>
      <c r="X118" s="61">
        <f t="shared" si="67"/>
        <v>3.3884829035964199E-3</v>
      </c>
      <c r="Y118" s="61">
        <f t="shared" si="67"/>
        <v>7.4259526757432717E-3</v>
      </c>
      <c r="Z118" s="61">
        <f t="shared" si="67"/>
        <v>1.559450061906087E-3</v>
      </c>
      <c r="AA118" s="63">
        <f t="shared" si="67"/>
        <v>51.429563039029105</v>
      </c>
      <c r="AB118" s="61">
        <f t="shared" si="67"/>
        <v>2.7914915356631524E-3</v>
      </c>
      <c r="AC118" s="61">
        <f t="shared" si="67"/>
        <v>5.0792337340263708E-3</v>
      </c>
    </row>
    <row r="119" spans="1:29" x14ac:dyDescent="0.25">
      <c r="A119" s="177" t="s">
        <v>607</v>
      </c>
      <c r="B119" s="54"/>
      <c r="C119" s="55"/>
      <c r="D119" s="55"/>
      <c r="E119" s="55"/>
      <c r="F119" s="55"/>
      <c r="G119" s="94">
        <f>MAX(SUM(G103:G105),SUM(G106:G108),SUM(G109:G118))</f>
        <v>59.739742357696016</v>
      </c>
      <c r="H119" s="94">
        <f t="shared" ref="H119:Q119" si="68">MAX(SUM(H103:H105),SUM(H106:H108),SUM(H109:H118))</f>
        <v>5.3903836445810587</v>
      </c>
      <c r="I119" s="94">
        <f t="shared" si="68"/>
        <v>2.7509047420518509</v>
      </c>
      <c r="J119" s="94">
        <f t="shared" si="68"/>
        <v>7.1074184885028313E-2</v>
      </c>
      <c r="K119" s="94">
        <f t="shared" si="68"/>
        <v>0.85034077457122637</v>
      </c>
      <c r="L119" s="94">
        <f t="shared" si="68"/>
        <v>0.37735377790051039</v>
      </c>
      <c r="M119" s="94">
        <f t="shared" si="68"/>
        <v>0.82698109343504622</v>
      </c>
      <c r="N119" s="94">
        <f t="shared" si="68"/>
        <v>0.19898177737957534</v>
      </c>
      <c r="O119" s="94">
        <f t="shared" si="68"/>
        <v>5727.3831566191502</v>
      </c>
      <c r="P119" s="94">
        <f t="shared" si="68"/>
        <v>0.31087064828976013</v>
      </c>
      <c r="Q119" s="94">
        <f t="shared" si="68"/>
        <v>0.5656419385620276</v>
      </c>
      <c r="R119" s="60"/>
      <c r="S119" s="94">
        <f>SUM(S103:S118)</f>
        <v>7.3927931167648806</v>
      </c>
      <c r="T119" s="94">
        <f t="shared" ref="T119:AC119" si="69">SUM(T103:T118)</f>
        <v>0.66705997601690592</v>
      </c>
      <c r="U119" s="94">
        <f t="shared" si="69"/>
        <v>0.34042446182891656</v>
      </c>
      <c r="V119" s="94">
        <f t="shared" si="69"/>
        <v>8.7954303795222556E-3</v>
      </c>
      <c r="W119" s="94">
        <f t="shared" si="69"/>
        <v>0.10522967085318922</v>
      </c>
      <c r="X119" s="94">
        <f t="shared" si="69"/>
        <v>4.669753001518815E-2</v>
      </c>
      <c r="Y119" s="94">
        <f t="shared" si="69"/>
        <v>0.10233891031258695</v>
      </c>
      <c r="Z119" s="94">
        <f t="shared" si="69"/>
        <v>2.6550101425993365E-2</v>
      </c>
      <c r="AA119" s="94">
        <f t="shared" si="69"/>
        <v>708.7636656316198</v>
      </c>
      <c r="AB119" s="94">
        <f t="shared" si="69"/>
        <v>3.847024272585782E-2</v>
      </c>
      <c r="AC119" s="94">
        <f t="shared" si="69"/>
        <v>6.9998189897050922E-2</v>
      </c>
    </row>
  </sheetData>
  <mergeCells count="17">
    <mergeCell ref="AS26:BB26"/>
    <mergeCell ref="A101:A102"/>
    <mergeCell ref="B101:B102"/>
    <mergeCell ref="G101:Q101"/>
    <mergeCell ref="S101:AC101"/>
    <mergeCell ref="AG26:AP26"/>
    <mergeCell ref="S2:V2"/>
    <mergeCell ref="W2:Z2"/>
    <mergeCell ref="AA2:AB2"/>
    <mergeCell ref="AC2:AD2"/>
    <mergeCell ref="AE2:AF2"/>
    <mergeCell ref="Q2:R2"/>
    <mergeCell ref="A2:A3"/>
    <mergeCell ref="B2:B3"/>
    <mergeCell ref="G2:H2"/>
    <mergeCell ref="I2:J2"/>
    <mergeCell ref="K2:P2"/>
  </mergeCells>
  <pageMargins left="0.75" right="0.75" top="1" bottom="1" header="0.5" footer="0.5"/>
  <pageSetup scale="36" firstPageNumber="16" orientation="landscape" useFirstPageNumber="1" r:id="rId1"/>
  <headerFooter alignWithMargins="0">
    <oddHeader>&amp;CTable A-4
Construction and Operations Worker Commute Emission Calculations
South Orange County Reliability Project - Distribution Facilities</oddHeader>
    <oddFooter>&amp;CA-4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BO455"/>
  <sheetViews>
    <sheetView zoomScale="75" workbookViewId="0">
      <selection activeCell="B102" sqref="B102"/>
    </sheetView>
  </sheetViews>
  <sheetFormatPr defaultColWidth="9.109375" defaultRowHeight="13.2" x14ac:dyDescent="0.25"/>
  <cols>
    <col min="1" max="1" width="36.5546875" style="41" customWidth="1"/>
    <col min="2" max="2" width="25.6640625" style="41" customWidth="1"/>
    <col min="3" max="3" width="10.88671875" style="41" bestFit="1" customWidth="1"/>
    <col min="4" max="4" width="10.88671875" style="41" customWidth="1"/>
    <col min="5" max="5" width="10.109375" style="41" bestFit="1" customWidth="1"/>
    <col min="6" max="6" width="9.33203125" style="41" bestFit="1" customWidth="1"/>
    <col min="7" max="7" width="11.6640625" style="41" bestFit="1" customWidth="1"/>
    <col min="8" max="8" width="9.33203125" style="41" bestFit="1" customWidth="1"/>
    <col min="9" max="9" width="11.5546875" style="41" bestFit="1" customWidth="1"/>
    <col min="10" max="11" width="9.33203125" style="41" bestFit="1" customWidth="1"/>
    <col min="12" max="13" width="11.5546875" style="41" bestFit="1" customWidth="1"/>
    <col min="14" max="14" width="9.33203125" style="41" bestFit="1" customWidth="1"/>
    <col min="15" max="16" width="10.5546875" style="41" bestFit="1" customWidth="1"/>
    <col min="17" max="17" width="9.33203125" style="41" bestFit="1" customWidth="1"/>
    <col min="18" max="18" width="11.5546875" style="41" bestFit="1" customWidth="1"/>
    <col min="19" max="30" width="9.33203125" style="41" bestFit="1" customWidth="1"/>
    <col min="31" max="31" width="12.33203125" style="43" customWidth="1"/>
    <col min="32" max="33" width="9.33203125" style="41" bestFit="1" customWidth="1"/>
    <col min="34" max="34" width="11.44140625" style="41" customWidth="1"/>
    <col min="35" max="35" width="10.5546875" style="41" customWidth="1"/>
    <col min="36" max="39" width="9.5546875" style="41" customWidth="1"/>
    <col min="40" max="40" width="9.33203125" style="43" bestFit="1" customWidth="1"/>
    <col min="41" max="41" width="9.88671875" style="41" customWidth="1"/>
    <col min="42" max="42" width="9.33203125" style="41" bestFit="1" customWidth="1"/>
    <col min="43" max="16384" width="9.109375" style="41"/>
  </cols>
  <sheetData>
    <row r="6" spans="1:42" ht="26.25" customHeight="1" x14ac:dyDescent="0.35">
      <c r="A6" s="730" t="s">
        <v>113</v>
      </c>
      <c r="B6" s="730" t="s">
        <v>63</v>
      </c>
      <c r="C6" s="730" t="s">
        <v>130</v>
      </c>
      <c r="D6" s="86"/>
      <c r="E6" s="86" t="s">
        <v>64</v>
      </c>
      <c r="F6" s="86" t="s">
        <v>65</v>
      </c>
      <c r="G6" s="555" t="s">
        <v>66</v>
      </c>
      <c r="H6" s="555" t="s">
        <v>67</v>
      </c>
      <c r="I6" s="557" t="s">
        <v>68</v>
      </c>
      <c r="J6" s="555" t="s">
        <v>69</v>
      </c>
      <c r="K6" s="720" t="s">
        <v>70</v>
      </c>
      <c r="L6" s="733"/>
      <c r="M6" s="733"/>
      <c r="N6" s="720" t="s">
        <v>71</v>
      </c>
      <c r="O6" s="733"/>
      <c r="P6" s="733"/>
      <c r="Q6" s="555" t="s">
        <v>72</v>
      </c>
      <c r="R6" s="557" t="s">
        <v>73</v>
      </c>
      <c r="S6" s="557" t="s">
        <v>74</v>
      </c>
      <c r="T6" s="715" t="s">
        <v>75</v>
      </c>
      <c r="U6" s="724"/>
      <c r="V6" s="724"/>
      <c r="W6" s="724"/>
      <c r="X6" s="724"/>
      <c r="Y6" s="725"/>
      <c r="Z6" s="725"/>
      <c r="AA6" s="725"/>
      <c r="AB6" s="725"/>
      <c r="AC6" s="725"/>
      <c r="AD6" s="717"/>
      <c r="AE6" s="69"/>
      <c r="AF6" s="726" t="s">
        <v>76</v>
      </c>
      <c r="AG6" s="727"/>
      <c r="AH6" s="727"/>
      <c r="AI6" s="727"/>
      <c r="AJ6" s="727"/>
      <c r="AK6" s="728"/>
      <c r="AL6" s="728"/>
      <c r="AM6" s="728"/>
      <c r="AN6" s="728"/>
      <c r="AO6" s="728"/>
      <c r="AP6" s="729"/>
    </row>
    <row r="7" spans="1:42" ht="66" x14ac:dyDescent="0.25">
      <c r="A7" s="731"/>
      <c r="B7" s="731"/>
      <c r="C7" s="732"/>
      <c r="D7" s="582" t="s">
        <v>575</v>
      </c>
      <c r="E7" s="87" t="s">
        <v>78</v>
      </c>
      <c r="F7" s="87" t="s">
        <v>79</v>
      </c>
      <c r="G7" s="556" t="s">
        <v>80</v>
      </c>
      <c r="H7" s="50" t="s">
        <v>80</v>
      </c>
      <c r="I7" s="50" t="s">
        <v>80</v>
      </c>
      <c r="J7" s="50" t="s">
        <v>80</v>
      </c>
      <c r="K7" s="557" t="s">
        <v>80</v>
      </c>
      <c r="L7" s="557" t="s">
        <v>82</v>
      </c>
      <c r="M7" s="557" t="s">
        <v>83</v>
      </c>
      <c r="N7" s="557" t="s">
        <v>80</v>
      </c>
      <c r="O7" s="557" t="s">
        <v>82</v>
      </c>
      <c r="P7" s="557" t="s">
        <v>83</v>
      </c>
      <c r="Q7" s="50" t="s">
        <v>80</v>
      </c>
      <c r="R7" s="557" t="s">
        <v>80</v>
      </c>
      <c r="S7" s="557" t="s">
        <v>80</v>
      </c>
      <c r="T7" s="74" t="s">
        <v>66</v>
      </c>
      <c r="U7" s="74" t="s">
        <v>84</v>
      </c>
      <c r="V7" s="74" t="s">
        <v>85</v>
      </c>
      <c r="W7" s="74" t="s">
        <v>69</v>
      </c>
      <c r="X7" s="74" t="s">
        <v>70</v>
      </c>
      <c r="Y7" s="74" t="s">
        <v>71</v>
      </c>
      <c r="Z7" s="75" t="s">
        <v>86</v>
      </c>
      <c r="AA7" s="75" t="s">
        <v>87</v>
      </c>
      <c r="AB7" s="75" t="s">
        <v>72</v>
      </c>
      <c r="AC7" s="75" t="s">
        <v>73</v>
      </c>
      <c r="AD7" s="75" t="s">
        <v>74</v>
      </c>
      <c r="AE7" s="52" t="s">
        <v>129</v>
      </c>
      <c r="AF7" s="74" t="s">
        <v>66</v>
      </c>
      <c r="AG7" s="74" t="s">
        <v>84</v>
      </c>
      <c r="AH7" s="74" t="s">
        <v>85</v>
      </c>
      <c r="AI7" s="74" t="s">
        <v>69</v>
      </c>
      <c r="AJ7" s="74" t="s">
        <v>70</v>
      </c>
      <c r="AK7" s="74" t="s">
        <v>71</v>
      </c>
      <c r="AL7" s="75" t="s">
        <v>86</v>
      </c>
      <c r="AM7" s="75" t="s">
        <v>87</v>
      </c>
      <c r="AN7" s="76" t="s">
        <v>72</v>
      </c>
      <c r="AO7" s="74" t="s">
        <v>73</v>
      </c>
      <c r="AP7" s="74" t="s">
        <v>74</v>
      </c>
    </row>
    <row r="8" spans="1:42" x14ac:dyDescent="0.25">
      <c r="A8" s="177" t="s">
        <v>602</v>
      </c>
      <c r="B8" s="87"/>
      <c r="C8" s="166"/>
      <c r="D8" s="166"/>
      <c r="E8" s="87"/>
      <c r="F8" s="87"/>
      <c r="G8" s="556"/>
      <c r="H8" s="50"/>
      <c r="I8" s="50"/>
      <c r="J8" s="50"/>
      <c r="K8" s="557"/>
      <c r="L8" s="557"/>
      <c r="M8" s="557"/>
      <c r="N8" s="557"/>
      <c r="O8" s="557"/>
      <c r="P8" s="557"/>
      <c r="Q8" s="50"/>
      <c r="R8" s="557"/>
      <c r="S8" s="557"/>
      <c r="T8" s="74"/>
      <c r="U8" s="74"/>
      <c r="V8" s="74"/>
      <c r="W8" s="74"/>
      <c r="X8" s="74"/>
      <c r="Y8" s="74"/>
      <c r="Z8" s="75"/>
      <c r="AA8" s="75"/>
      <c r="AB8" s="75"/>
      <c r="AC8" s="75"/>
      <c r="AD8" s="75"/>
      <c r="AE8" s="52"/>
      <c r="AF8" s="74"/>
      <c r="AG8" s="74"/>
      <c r="AH8" s="74"/>
      <c r="AI8" s="74"/>
      <c r="AJ8" s="74"/>
      <c r="AK8" s="74"/>
      <c r="AL8" s="75"/>
      <c r="AM8" s="75"/>
      <c r="AN8" s="76"/>
      <c r="AO8" s="74"/>
      <c r="AP8" s="74"/>
    </row>
    <row r="9" spans="1:42" x14ac:dyDescent="0.25">
      <c r="A9" s="91" t="s">
        <v>608</v>
      </c>
      <c r="B9" s="89" t="s">
        <v>107</v>
      </c>
      <c r="C9" s="92">
        <v>3</v>
      </c>
      <c r="D9" s="90">
        <v>2015</v>
      </c>
      <c r="E9" s="90">
        <v>15</v>
      </c>
      <c r="F9" s="90">
        <v>60</v>
      </c>
      <c r="G9" s="145">
        <v>0.83610719342181306</v>
      </c>
      <c r="H9" s="145">
        <v>0.79560737551603999</v>
      </c>
      <c r="I9" s="145">
        <v>0.165670507085864</v>
      </c>
      <c r="J9" s="145">
        <v>3.18613688227605E-3</v>
      </c>
      <c r="K9" s="145">
        <v>0.138831589940137</v>
      </c>
      <c r="L9" s="56">
        <v>7.99995847163921E-3</v>
      </c>
      <c r="M9" s="56">
        <v>3.6749815577381599E-2</v>
      </c>
      <c r="N9" s="145">
        <v>0.127725080361664</v>
      </c>
      <c r="O9" s="56">
        <v>1.9999896145790402E-3</v>
      </c>
      <c r="P9" s="56">
        <v>1.57499200131354E-2</v>
      </c>
      <c r="Q9" s="145">
        <v>320.029950432367</v>
      </c>
      <c r="R9" s="56">
        <f>0.000057143*Q9</f>
        <v>1.8287471457556746E-2</v>
      </c>
      <c r="S9" s="93">
        <f>0.000025616*Q9</f>
        <v>8.1978872102755132E-3</v>
      </c>
      <c r="T9" s="59">
        <f>C9*($F9*$G9)/453.59</f>
        <v>0.33179588354224376</v>
      </c>
      <c r="U9" s="59">
        <f>C9*($F9*$H9)/453.59</f>
        <v>0.31572417291582094</v>
      </c>
      <c r="V9" s="59">
        <f>C9*(($F9*$I9))/453.59</f>
        <v>6.5743714093025693E-2</v>
      </c>
      <c r="W9" s="59">
        <f>C9*($F9*$J9)/453.59</f>
        <v>1.2643679067212438E-3</v>
      </c>
      <c r="X9" s="59">
        <f>C9*(($F9*($K9+$L9+$M9)))/453.59</f>
        <v>7.2851353685152692E-2</v>
      </c>
      <c r="Y9" s="59">
        <f>C9*(($F9*($N9+$O9+$P9)))/453.59</f>
        <v>5.772944332566441E-2</v>
      </c>
      <c r="Z9" s="59">
        <f>C9*(F9)*$B$453</f>
        <v>1.7662149598755138E-2</v>
      </c>
      <c r="AA9" s="59">
        <f>Z9*0.21</f>
        <v>3.7090514157385786E-3</v>
      </c>
      <c r="AB9" s="59">
        <f>C9*(($F9*($Q9)))/453.59</f>
        <v>126.99881187377602</v>
      </c>
      <c r="AC9" s="59">
        <f>C9*(($F9*($R9)))/453.59</f>
        <v>7.2570931069031817E-3</v>
      </c>
      <c r="AD9" s="59">
        <f>C9*(($F9*($S9)))/453.59</f>
        <v>3.2532015649586465E-3</v>
      </c>
      <c r="AE9" s="63">
        <f>5*22</f>
        <v>110</v>
      </c>
      <c r="AF9" s="59">
        <f t="shared" ref="AF9:AP11" si="0">T9*$AE9/2000</f>
        <v>1.8248773594823409E-2</v>
      </c>
      <c r="AG9" s="59">
        <f t="shared" si="0"/>
        <v>1.7364829510370154E-2</v>
      </c>
      <c r="AH9" s="59">
        <f t="shared" si="0"/>
        <v>3.6159042751164132E-3</v>
      </c>
      <c r="AI9" s="59">
        <f t="shared" si="0"/>
        <v>6.9540234869668407E-5</v>
      </c>
      <c r="AJ9" s="59">
        <f t="shared" si="0"/>
        <v>4.0068244526833986E-3</v>
      </c>
      <c r="AK9" s="59">
        <f t="shared" si="0"/>
        <v>3.1751193829115424E-3</v>
      </c>
      <c r="AL9" s="59">
        <f t="shared" si="0"/>
        <v>9.7141822793153252E-4</v>
      </c>
      <c r="AM9" s="59">
        <f t="shared" si="0"/>
        <v>2.0399782786562182E-4</v>
      </c>
      <c r="AN9" s="59">
        <f t="shared" si="0"/>
        <v>6.9849346530576817</v>
      </c>
      <c r="AO9" s="59">
        <f t="shared" si="0"/>
        <v>3.9914012087967501E-4</v>
      </c>
      <c r="AP9" s="59">
        <f t="shared" si="0"/>
        <v>1.7892608607272557E-4</v>
      </c>
    </row>
    <row r="10" spans="1:42" x14ac:dyDescent="0.25">
      <c r="A10" s="91" t="s">
        <v>609</v>
      </c>
      <c r="B10" s="89" t="s">
        <v>107</v>
      </c>
      <c r="C10" s="92">
        <v>2</v>
      </c>
      <c r="D10" s="90">
        <v>2015</v>
      </c>
      <c r="E10" s="90">
        <v>15</v>
      </c>
      <c r="F10" s="90">
        <v>60</v>
      </c>
      <c r="G10" s="145">
        <v>0.83610719342181306</v>
      </c>
      <c r="H10" s="145">
        <v>0.79560737551603999</v>
      </c>
      <c r="I10" s="145">
        <v>0.165670507085864</v>
      </c>
      <c r="J10" s="145">
        <v>3.18613688227605E-3</v>
      </c>
      <c r="K10" s="145">
        <v>0.138831589940137</v>
      </c>
      <c r="L10" s="56">
        <v>7.99995847163921E-3</v>
      </c>
      <c r="M10" s="56">
        <v>3.6749815577381599E-2</v>
      </c>
      <c r="N10" s="145">
        <v>0.127725080361664</v>
      </c>
      <c r="O10" s="56">
        <v>1.9999896145790402E-3</v>
      </c>
      <c r="P10" s="56">
        <v>1.57499200131354E-2</v>
      </c>
      <c r="Q10" s="145">
        <v>320.029950432367</v>
      </c>
      <c r="R10" s="56">
        <f>0.000057143*Q10</f>
        <v>1.8287471457556746E-2</v>
      </c>
      <c r="S10" s="93">
        <f>0.000025616*Q10</f>
        <v>8.1978872102755132E-3</v>
      </c>
      <c r="T10" s="59">
        <f>C10*($F10*$G10)/453.59</f>
        <v>0.22119725569482918</v>
      </c>
      <c r="U10" s="59">
        <f>C10*($F10*$H10)/453.59</f>
        <v>0.21048278194388062</v>
      </c>
      <c r="V10" s="59">
        <f>C10*(($F10*$I10))/453.59</f>
        <v>4.3829142728683795E-2</v>
      </c>
      <c r="W10" s="59">
        <f>C10*($F10*$J10)/453.59</f>
        <v>8.429119378141626E-4</v>
      </c>
      <c r="X10" s="59">
        <f>C10*(($F10*($K10+$L10+$M10)))/453.59</f>
        <v>4.8567569123435128E-2</v>
      </c>
      <c r="Y10" s="59">
        <f>C10*(($F10*($N10+$O10+$P10)))/453.59</f>
        <v>3.8486295550442938E-2</v>
      </c>
      <c r="Z10" s="59">
        <f>C10*(F10)*$B$453</f>
        <v>1.1774766399170092E-2</v>
      </c>
      <c r="AA10" s="59">
        <f>Z10*0.21</f>
        <v>2.4727009438257194E-3</v>
      </c>
      <c r="AB10" s="59">
        <f>C10*(($F10*($Q10)))/453.59</f>
        <v>84.665874582517347</v>
      </c>
      <c r="AC10" s="59">
        <f>C10*(($F10*($R10)))/453.59</f>
        <v>4.8380620712687875E-3</v>
      </c>
      <c r="AD10" s="59">
        <f>C10*(($F10*($S10)))/453.59</f>
        <v>2.1688010433057645E-3</v>
      </c>
      <c r="AE10" s="63">
        <f>5*22</f>
        <v>110</v>
      </c>
      <c r="AF10" s="59">
        <f t="shared" si="0"/>
        <v>1.2165849063215604E-2</v>
      </c>
      <c r="AG10" s="59">
        <f t="shared" si="0"/>
        <v>1.1576553006913433E-2</v>
      </c>
      <c r="AH10" s="59">
        <f t="shared" si="0"/>
        <v>2.4106028500776085E-3</v>
      </c>
      <c r="AI10" s="59">
        <f t="shared" si="0"/>
        <v>4.6360156579778938E-5</v>
      </c>
      <c r="AJ10" s="59">
        <f t="shared" si="0"/>
        <v>2.6712163017889321E-3</v>
      </c>
      <c r="AK10" s="59">
        <f t="shared" si="0"/>
        <v>2.1167462552743616E-3</v>
      </c>
      <c r="AL10" s="59">
        <f t="shared" si="0"/>
        <v>6.4761215195435502E-4</v>
      </c>
      <c r="AM10" s="59">
        <f t="shared" si="0"/>
        <v>1.3599855191041458E-4</v>
      </c>
      <c r="AN10" s="59">
        <f t="shared" si="0"/>
        <v>4.6566231020384539</v>
      </c>
      <c r="AO10" s="59">
        <f t="shared" si="0"/>
        <v>2.6609341391978328E-4</v>
      </c>
      <c r="AP10" s="59">
        <f t="shared" si="0"/>
        <v>1.1928405738181705E-4</v>
      </c>
    </row>
    <row r="11" spans="1:42" x14ac:dyDescent="0.25">
      <c r="A11" s="91" t="s">
        <v>157</v>
      </c>
      <c r="B11" s="89" t="s">
        <v>128</v>
      </c>
      <c r="C11" s="90">
        <v>5</v>
      </c>
      <c r="D11" s="90">
        <v>2015</v>
      </c>
      <c r="E11" s="90">
        <v>35</v>
      </c>
      <c r="F11" s="90">
        <v>80</v>
      </c>
      <c r="G11" s="145">
        <v>1.1475010375994501</v>
      </c>
      <c r="H11" s="145">
        <v>6.1597902567033698</v>
      </c>
      <c r="I11" s="145">
        <v>0.27527412390358202</v>
      </c>
      <c r="J11" s="145">
        <v>1.0711818E-2</v>
      </c>
      <c r="K11" s="145">
        <v>7.9574350742464495E-2</v>
      </c>
      <c r="L11" s="567">
        <v>3.5999811999999999E-2</v>
      </c>
      <c r="M11" s="567">
        <v>6.1739677E-2</v>
      </c>
      <c r="N11" s="145">
        <v>7.32084026830674E-2</v>
      </c>
      <c r="O11" s="567">
        <v>8.9999529999999998E-3</v>
      </c>
      <c r="P11" s="567">
        <v>2.6459862000000001E-2</v>
      </c>
      <c r="Q11" s="145">
        <v>1735.6021746639301</v>
      </c>
      <c r="R11" s="56">
        <f>0.000057143*Q11</f>
        <v>9.9177515066820959E-2</v>
      </c>
      <c r="S11" s="93">
        <f>0.000025616*Q11</f>
        <v>4.445918530619123E-2</v>
      </c>
      <c r="T11" s="59">
        <f>C11*($F11*$G11)/453.59</f>
        <v>1.0119279857134857</v>
      </c>
      <c r="U11" s="59">
        <f>C11*($F11*$H11)/453.59</f>
        <v>5.432033560443017</v>
      </c>
      <c r="V11" s="59">
        <f>C11*(($F11*$I11))/453.59</f>
        <v>0.24275149267275034</v>
      </c>
      <c r="W11" s="59">
        <f>C11*($F11*$J11)/453.59</f>
        <v>9.4462558698383998E-3</v>
      </c>
      <c r="X11" s="59">
        <f>C11*(($F11*($K11+$L11+$M11)))/453.59</f>
        <v>0.15636485790468441</v>
      </c>
      <c r="Y11" s="59">
        <f>C11*(($F11*($N11+$O11+$P11)))/453.59</f>
        <v>9.5829465096732652E-2</v>
      </c>
      <c r="Z11" s="59">
        <f>C11*(F11)*$B$453</f>
        <v>3.924922133056697E-2</v>
      </c>
      <c r="AA11" s="59">
        <f>Z11*0.21</f>
        <v>8.2423364794190629E-3</v>
      </c>
      <c r="AB11" s="59">
        <f>C11*(($F11*($Q11)))/453.59</f>
        <v>1530.5471237583988</v>
      </c>
      <c r="AC11" s="59">
        <f>C11*(($F11*($R11)))/453.59</f>
        <v>8.7460054292926165E-2</v>
      </c>
      <c r="AD11" s="59">
        <f>C11*(($F11*($S11)))/453.59</f>
        <v>3.9206495122195137E-2</v>
      </c>
      <c r="AE11" s="63">
        <f t="shared" ref="AE11" si="1">5*22</f>
        <v>110</v>
      </c>
      <c r="AF11" s="59">
        <f t="shared" si="0"/>
        <v>5.5656039214241719E-2</v>
      </c>
      <c r="AG11" s="59">
        <f t="shared" si="0"/>
        <v>0.29876184582436593</v>
      </c>
      <c r="AH11" s="59">
        <f t="shared" si="0"/>
        <v>1.3351332097001269E-2</v>
      </c>
      <c r="AI11" s="59">
        <f t="shared" si="0"/>
        <v>5.1954407284111209E-4</v>
      </c>
      <c r="AJ11" s="59">
        <f t="shared" si="0"/>
        <v>8.6000671847576426E-3</v>
      </c>
      <c r="AK11" s="59">
        <f t="shared" si="0"/>
        <v>5.2706205803202963E-3</v>
      </c>
      <c r="AL11" s="59">
        <f t="shared" si="0"/>
        <v>2.1587071731811835E-3</v>
      </c>
      <c r="AM11" s="59">
        <f t="shared" si="0"/>
        <v>4.5332850636804842E-4</v>
      </c>
      <c r="AN11" s="59">
        <f t="shared" si="0"/>
        <v>84.180091806711928</v>
      </c>
      <c r="AO11" s="59">
        <f t="shared" si="0"/>
        <v>4.8103029861109384E-3</v>
      </c>
      <c r="AP11" s="59">
        <f t="shared" si="0"/>
        <v>2.1563572317207327E-3</v>
      </c>
    </row>
    <row r="12" spans="1:42" x14ac:dyDescent="0.25">
      <c r="A12" s="88" t="s">
        <v>38</v>
      </c>
      <c r="B12" s="87"/>
      <c r="C12" s="166"/>
      <c r="D12" s="166"/>
      <c r="E12" s="87"/>
      <c r="F12" s="87"/>
      <c r="G12" s="556"/>
      <c r="H12" s="50"/>
      <c r="I12" s="50"/>
      <c r="J12" s="50"/>
      <c r="K12" s="557"/>
      <c r="L12" s="557"/>
      <c r="M12" s="557"/>
      <c r="N12" s="557"/>
      <c r="O12" s="557"/>
      <c r="P12" s="557"/>
      <c r="Q12" s="50"/>
      <c r="R12" s="557"/>
      <c r="S12" s="557"/>
      <c r="T12" s="94">
        <f t="shared" ref="T12:AD12" si="2">SUM(T9:T11)</f>
        <v>1.5649211249505588</v>
      </c>
      <c r="U12" s="94">
        <f t="shared" si="2"/>
        <v>5.9582405153027187</v>
      </c>
      <c r="V12" s="94">
        <f t="shared" si="2"/>
        <v>0.35232434949445984</v>
      </c>
      <c r="W12" s="94">
        <f t="shared" si="2"/>
        <v>1.1553535714373807E-2</v>
      </c>
      <c r="X12" s="94">
        <f t="shared" si="2"/>
        <v>0.27778378071327225</v>
      </c>
      <c r="Y12" s="94">
        <f t="shared" si="2"/>
        <v>0.19204520397284</v>
      </c>
      <c r="Z12" s="94">
        <f t="shared" si="2"/>
        <v>6.86861373284922E-2</v>
      </c>
      <c r="AA12" s="94">
        <f t="shared" si="2"/>
        <v>1.442408883898336E-2</v>
      </c>
      <c r="AB12" s="94">
        <f t="shared" si="2"/>
        <v>1742.2118102146922</v>
      </c>
      <c r="AC12" s="94">
        <f t="shared" si="2"/>
        <v>9.9555209471098138E-2</v>
      </c>
      <c r="AD12" s="94">
        <f t="shared" si="2"/>
        <v>4.462849773045955E-2</v>
      </c>
      <c r="AE12" s="69"/>
      <c r="AF12" s="94">
        <f t="shared" ref="AF12:AP12" si="3">SUM(AF9:AF11)</f>
        <v>8.607066187228074E-2</v>
      </c>
      <c r="AG12" s="94">
        <f t="shared" si="3"/>
        <v>0.3277032283416495</v>
      </c>
      <c r="AH12" s="94">
        <f t="shared" si="3"/>
        <v>1.9377839222195291E-2</v>
      </c>
      <c r="AI12" s="94">
        <f t="shared" si="3"/>
        <v>6.3544446429055943E-4</v>
      </c>
      <c r="AJ12" s="94">
        <f t="shared" si="3"/>
        <v>1.5278107939229974E-2</v>
      </c>
      <c r="AK12" s="94">
        <f t="shared" si="3"/>
        <v>1.05624862185062E-2</v>
      </c>
      <c r="AL12" s="94">
        <f t="shared" si="3"/>
        <v>3.7777375530670711E-3</v>
      </c>
      <c r="AM12" s="94">
        <f t="shared" si="3"/>
        <v>7.9332488614408485E-4</v>
      </c>
      <c r="AN12" s="94">
        <f t="shared" si="3"/>
        <v>95.821649561808059</v>
      </c>
      <c r="AO12" s="94">
        <f t="shared" si="3"/>
        <v>5.4755365209103969E-3</v>
      </c>
      <c r="AP12" s="94">
        <f t="shared" si="3"/>
        <v>2.4545673751752753E-3</v>
      </c>
    </row>
    <row r="13" spans="1:42" x14ac:dyDescent="0.25">
      <c r="A13" s="561"/>
      <c r="B13" s="87"/>
      <c r="C13" s="166"/>
      <c r="D13" s="166"/>
      <c r="E13" s="87"/>
      <c r="F13" s="87"/>
      <c r="G13" s="556"/>
      <c r="H13" s="50"/>
      <c r="I13" s="50"/>
      <c r="J13" s="50"/>
      <c r="K13" s="557"/>
      <c r="L13" s="557"/>
      <c r="M13" s="557"/>
      <c r="N13" s="557"/>
      <c r="O13" s="557"/>
      <c r="P13" s="557"/>
      <c r="Q13" s="50"/>
      <c r="R13" s="557"/>
      <c r="S13" s="557"/>
      <c r="T13" s="74"/>
      <c r="U13" s="74"/>
      <c r="V13" s="74"/>
      <c r="W13" s="74"/>
      <c r="X13" s="74"/>
      <c r="Y13" s="74"/>
      <c r="Z13" s="75"/>
      <c r="AA13" s="75"/>
      <c r="AB13" s="75"/>
      <c r="AC13" s="75"/>
      <c r="AD13" s="75"/>
      <c r="AE13" s="52"/>
      <c r="AF13" s="74"/>
      <c r="AG13" s="74"/>
      <c r="AH13" s="74"/>
      <c r="AI13" s="74"/>
      <c r="AJ13" s="74"/>
      <c r="AK13" s="74"/>
      <c r="AL13" s="75"/>
      <c r="AM13" s="75"/>
      <c r="AN13" s="76"/>
      <c r="AO13" s="74"/>
      <c r="AP13" s="74"/>
    </row>
    <row r="14" spans="1:42" x14ac:dyDescent="0.25">
      <c r="A14" s="177" t="s">
        <v>584</v>
      </c>
      <c r="B14" s="87"/>
      <c r="C14" s="166"/>
      <c r="D14" s="166"/>
      <c r="E14" s="87"/>
      <c r="F14" s="87"/>
      <c r="G14" s="556"/>
      <c r="H14" s="50"/>
      <c r="I14" s="50"/>
      <c r="J14" s="50"/>
      <c r="K14" s="557"/>
      <c r="L14" s="557"/>
      <c r="M14" s="557"/>
      <c r="N14" s="557"/>
      <c r="O14" s="557"/>
      <c r="P14" s="557"/>
      <c r="Q14" s="50"/>
      <c r="R14" s="557"/>
      <c r="S14" s="557"/>
      <c r="T14" s="74"/>
      <c r="U14" s="74"/>
      <c r="V14" s="74"/>
      <c r="W14" s="74"/>
      <c r="X14" s="74"/>
      <c r="Y14" s="74"/>
      <c r="Z14" s="75"/>
      <c r="AA14" s="75"/>
      <c r="AB14" s="75"/>
      <c r="AC14" s="75"/>
      <c r="AD14" s="75"/>
      <c r="AE14" s="52"/>
      <c r="AF14" s="74"/>
      <c r="AG14" s="74"/>
      <c r="AH14" s="74"/>
      <c r="AI14" s="74"/>
      <c r="AJ14" s="74"/>
      <c r="AK14" s="74"/>
      <c r="AL14" s="75"/>
      <c r="AM14" s="75"/>
      <c r="AN14" s="76"/>
      <c r="AO14" s="74"/>
      <c r="AP14" s="74"/>
    </row>
    <row r="15" spans="1:42" x14ac:dyDescent="0.25">
      <c r="A15" s="91" t="s">
        <v>610</v>
      </c>
      <c r="B15" s="89" t="s">
        <v>107</v>
      </c>
      <c r="C15" s="92">
        <v>2</v>
      </c>
      <c r="D15" s="90">
        <v>2015</v>
      </c>
      <c r="E15" s="90">
        <v>15</v>
      </c>
      <c r="F15" s="90">
        <v>60</v>
      </c>
      <c r="G15" s="145">
        <v>0.83610719342181306</v>
      </c>
      <c r="H15" s="145">
        <v>0.79560737551603999</v>
      </c>
      <c r="I15" s="145">
        <v>0.165670507085864</v>
      </c>
      <c r="J15" s="145">
        <v>3.18613688227605E-3</v>
      </c>
      <c r="K15" s="145">
        <v>0.138831589940137</v>
      </c>
      <c r="L15" s="56">
        <v>7.99995847163921E-3</v>
      </c>
      <c r="M15" s="56">
        <v>3.6749815577381599E-2</v>
      </c>
      <c r="N15" s="145">
        <v>0.127725080361664</v>
      </c>
      <c r="O15" s="56">
        <v>1.9999896145790402E-3</v>
      </c>
      <c r="P15" s="56">
        <v>1.57499200131354E-2</v>
      </c>
      <c r="Q15" s="145">
        <v>320.029950432367</v>
      </c>
      <c r="R15" s="56">
        <f>0.000057143*Q15</f>
        <v>1.8287471457556746E-2</v>
      </c>
      <c r="S15" s="93">
        <f>0.000025616*Q15</f>
        <v>8.1978872102755132E-3</v>
      </c>
      <c r="T15" s="59">
        <f>C15*($F15*$G15)/453.59</f>
        <v>0.22119725569482918</v>
      </c>
      <c r="U15" s="59">
        <f>C15*($F15*$H15)/453.59</f>
        <v>0.21048278194388062</v>
      </c>
      <c r="V15" s="59">
        <f>C15*(($F15*$I15))/453.59</f>
        <v>4.3829142728683795E-2</v>
      </c>
      <c r="W15" s="59">
        <f>C15*($F15*$J15)/453.59</f>
        <v>8.429119378141626E-4</v>
      </c>
      <c r="X15" s="59">
        <f>C15*(($F15*($K15+$L15+$M15)))/453.59</f>
        <v>4.8567569123435128E-2</v>
      </c>
      <c r="Y15" s="59">
        <f>C15*(($F15*($N15+$O15+$P15)))/453.59</f>
        <v>3.8486295550442938E-2</v>
      </c>
      <c r="Z15" s="59">
        <f>C15*(F15)*$B$453</f>
        <v>1.1774766399170092E-2</v>
      </c>
      <c r="AA15" s="59">
        <f>Z15*0.21</f>
        <v>2.4727009438257194E-3</v>
      </c>
      <c r="AB15" s="59">
        <f>C15*(($F15*($Q15)))/453.59</f>
        <v>84.665874582517347</v>
      </c>
      <c r="AC15" s="59">
        <f>C15*(($F15*($R15)))/453.59</f>
        <v>4.8380620712687875E-3</v>
      </c>
      <c r="AD15" s="59">
        <f>C15*(($F15*($S15)))/453.59</f>
        <v>2.1688010433057645E-3</v>
      </c>
      <c r="AE15" s="63">
        <f>6*22</f>
        <v>132</v>
      </c>
      <c r="AF15" s="59">
        <f t="shared" ref="AF15:AP15" si="4">T15*$AE15/2000</f>
        <v>1.4599018875858726E-2</v>
      </c>
      <c r="AG15" s="59">
        <f t="shared" si="4"/>
        <v>1.3891863608296123E-2</v>
      </c>
      <c r="AH15" s="59">
        <f t="shared" si="4"/>
        <v>2.8927234200931307E-3</v>
      </c>
      <c r="AI15" s="59">
        <f t="shared" si="4"/>
        <v>5.563218789573473E-5</v>
      </c>
      <c r="AJ15" s="59">
        <f t="shared" si="4"/>
        <v>3.2054595621467184E-3</v>
      </c>
      <c r="AK15" s="59">
        <f t="shared" si="4"/>
        <v>2.5400955063292342E-3</v>
      </c>
      <c r="AL15" s="59">
        <f t="shared" si="4"/>
        <v>7.7713458234522604E-4</v>
      </c>
      <c r="AM15" s="59">
        <f t="shared" si="4"/>
        <v>1.6319826229249749E-4</v>
      </c>
      <c r="AN15" s="59">
        <f t="shared" si="4"/>
        <v>5.5879477224461453</v>
      </c>
      <c r="AO15" s="59">
        <f t="shared" si="4"/>
        <v>3.1931209670373999E-4</v>
      </c>
      <c r="AP15" s="59">
        <f t="shared" si="4"/>
        <v>1.4314086885818046E-4</v>
      </c>
    </row>
    <row r="16" spans="1:42" x14ac:dyDescent="0.25">
      <c r="A16" s="88" t="s">
        <v>38</v>
      </c>
      <c r="B16" s="87"/>
      <c r="C16" s="166"/>
      <c r="D16" s="166"/>
      <c r="E16" s="87"/>
      <c r="F16" s="87"/>
      <c r="G16" s="556"/>
      <c r="H16" s="50"/>
      <c r="I16" s="50"/>
      <c r="J16" s="50"/>
      <c r="K16" s="557"/>
      <c r="L16" s="557"/>
      <c r="M16" s="557"/>
      <c r="N16" s="557"/>
      <c r="O16" s="557"/>
      <c r="P16" s="557"/>
      <c r="Q16" s="50"/>
      <c r="R16" s="557"/>
      <c r="S16" s="557"/>
      <c r="T16" s="94">
        <f t="shared" ref="T16:AD16" si="5">SUM(T15:T15)</f>
        <v>0.22119725569482918</v>
      </c>
      <c r="U16" s="94">
        <f t="shared" si="5"/>
        <v>0.21048278194388062</v>
      </c>
      <c r="V16" s="94">
        <f t="shared" si="5"/>
        <v>4.3829142728683795E-2</v>
      </c>
      <c r="W16" s="94">
        <f t="shared" si="5"/>
        <v>8.429119378141626E-4</v>
      </c>
      <c r="X16" s="94">
        <f t="shared" si="5"/>
        <v>4.8567569123435128E-2</v>
      </c>
      <c r="Y16" s="94">
        <f t="shared" si="5"/>
        <v>3.8486295550442938E-2</v>
      </c>
      <c r="Z16" s="94">
        <f t="shared" si="5"/>
        <v>1.1774766399170092E-2</v>
      </c>
      <c r="AA16" s="94">
        <f t="shared" si="5"/>
        <v>2.4727009438257194E-3</v>
      </c>
      <c r="AB16" s="94">
        <f t="shared" si="5"/>
        <v>84.665874582517347</v>
      </c>
      <c r="AC16" s="94">
        <f t="shared" si="5"/>
        <v>4.8380620712687875E-3</v>
      </c>
      <c r="AD16" s="94">
        <f t="shared" si="5"/>
        <v>2.1688010433057645E-3</v>
      </c>
      <c r="AE16" s="69"/>
      <c r="AF16" s="94">
        <f t="shared" ref="AF16:AP16" si="6">SUM(AF15:AF15)</f>
        <v>1.4599018875858726E-2</v>
      </c>
      <c r="AG16" s="94">
        <f t="shared" si="6"/>
        <v>1.3891863608296123E-2</v>
      </c>
      <c r="AH16" s="94">
        <f t="shared" si="6"/>
        <v>2.8927234200931307E-3</v>
      </c>
      <c r="AI16" s="94">
        <f t="shared" si="6"/>
        <v>5.563218789573473E-5</v>
      </c>
      <c r="AJ16" s="94">
        <f t="shared" si="6"/>
        <v>3.2054595621467184E-3</v>
      </c>
      <c r="AK16" s="94">
        <f t="shared" si="6"/>
        <v>2.5400955063292342E-3</v>
      </c>
      <c r="AL16" s="94">
        <f t="shared" si="6"/>
        <v>7.7713458234522604E-4</v>
      </c>
      <c r="AM16" s="94">
        <f t="shared" si="6"/>
        <v>1.6319826229249749E-4</v>
      </c>
      <c r="AN16" s="94">
        <f t="shared" si="6"/>
        <v>5.5879477224461453</v>
      </c>
      <c r="AO16" s="94">
        <f t="shared" si="6"/>
        <v>3.1931209670373999E-4</v>
      </c>
      <c r="AP16" s="94">
        <f t="shared" si="6"/>
        <v>1.4314086885818046E-4</v>
      </c>
    </row>
    <row r="17" spans="1:42" x14ac:dyDescent="0.25">
      <c r="A17" s="561"/>
      <c r="B17" s="87"/>
      <c r="C17" s="166"/>
      <c r="D17" s="166"/>
      <c r="E17" s="87"/>
      <c r="F17" s="87"/>
      <c r="G17" s="556"/>
      <c r="H17" s="50"/>
      <c r="I17" s="50"/>
      <c r="J17" s="50"/>
      <c r="K17" s="557"/>
      <c r="L17" s="557"/>
      <c r="M17" s="557"/>
      <c r="N17" s="557"/>
      <c r="O17" s="557"/>
      <c r="P17" s="557"/>
      <c r="Q17" s="50"/>
      <c r="R17" s="557"/>
      <c r="S17" s="557"/>
      <c r="T17" s="74"/>
      <c r="U17" s="74"/>
      <c r="V17" s="74"/>
      <c r="W17" s="74"/>
      <c r="X17" s="74"/>
      <c r="Y17" s="74"/>
      <c r="Z17" s="75"/>
      <c r="AA17" s="75"/>
      <c r="AB17" s="75"/>
      <c r="AC17" s="75"/>
      <c r="AD17" s="75"/>
      <c r="AE17" s="52"/>
      <c r="AF17" s="74"/>
      <c r="AG17" s="74"/>
      <c r="AH17" s="74"/>
      <c r="AI17" s="74"/>
      <c r="AJ17" s="74"/>
      <c r="AK17" s="74"/>
      <c r="AL17" s="75"/>
      <c r="AM17" s="75"/>
      <c r="AN17" s="76"/>
      <c r="AO17" s="74"/>
      <c r="AP17" s="74"/>
    </row>
    <row r="18" spans="1:42" x14ac:dyDescent="0.25">
      <c r="A18" s="177" t="s">
        <v>603</v>
      </c>
      <c r="B18" s="87"/>
      <c r="C18" s="166"/>
      <c r="D18" s="166"/>
      <c r="E18" s="87"/>
      <c r="F18" s="87"/>
      <c r="G18" s="556"/>
      <c r="H18" s="50"/>
      <c r="I18" s="50"/>
      <c r="J18" s="50"/>
      <c r="K18" s="557"/>
      <c r="L18" s="557"/>
      <c r="M18" s="557"/>
      <c r="N18" s="557"/>
      <c r="O18" s="557"/>
      <c r="P18" s="557"/>
      <c r="Q18" s="50"/>
      <c r="R18" s="557"/>
      <c r="S18" s="557"/>
      <c r="T18" s="74"/>
      <c r="U18" s="74"/>
      <c r="V18" s="74"/>
      <c r="W18" s="74"/>
      <c r="X18" s="74"/>
      <c r="Y18" s="74"/>
      <c r="Z18" s="75"/>
      <c r="AA18" s="75"/>
      <c r="AB18" s="75"/>
      <c r="AC18" s="75"/>
      <c r="AD18" s="75"/>
      <c r="AE18" s="52"/>
      <c r="AF18" s="74"/>
      <c r="AG18" s="74"/>
      <c r="AH18" s="74"/>
      <c r="AI18" s="74"/>
      <c r="AJ18" s="74"/>
      <c r="AK18" s="74"/>
      <c r="AL18" s="75"/>
      <c r="AM18" s="75"/>
      <c r="AN18" s="76"/>
      <c r="AO18" s="74"/>
      <c r="AP18" s="74"/>
    </row>
    <row r="19" spans="1:42" x14ac:dyDescent="0.25">
      <c r="A19" s="91" t="s">
        <v>610</v>
      </c>
      <c r="B19" s="89" t="s">
        <v>107</v>
      </c>
      <c r="C19" s="92">
        <v>1</v>
      </c>
      <c r="D19" s="90">
        <v>2015</v>
      </c>
      <c r="E19" s="90">
        <v>15</v>
      </c>
      <c r="F19" s="90">
        <v>60</v>
      </c>
      <c r="G19" s="145">
        <v>0.83610719342181306</v>
      </c>
      <c r="H19" s="145">
        <v>0.79560737551603999</v>
      </c>
      <c r="I19" s="145">
        <v>0.165670507085864</v>
      </c>
      <c r="J19" s="145">
        <v>3.18613688227605E-3</v>
      </c>
      <c r="K19" s="145">
        <v>0.138831589940137</v>
      </c>
      <c r="L19" s="56">
        <v>7.99995847163921E-3</v>
      </c>
      <c r="M19" s="56">
        <v>3.6749815577381599E-2</v>
      </c>
      <c r="N19" s="145">
        <v>0.127725080361664</v>
      </c>
      <c r="O19" s="56">
        <v>1.9999896145790402E-3</v>
      </c>
      <c r="P19" s="56">
        <v>1.57499200131354E-2</v>
      </c>
      <c r="Q19" s="145">
        <v>320.029950432367</v>
      </c>
      <c r="R19" s="56">
        <f>0.000057143*Q19</f>
        <v>1.8287471457556746E-2</v>
      </c>
      <c r="S19" s="93">
        <f>0.000025616*Q19</f>
        <v>8.1978872102755132E-3</v>
      </c>
      <c r="T19" s="59">
        <f>C19*($F19*$G19)/453.59</f>
        <v>0.11059862784741459</v>
      </c>
      <c r="U19" s="59">
        <f>C19*($F19*$H19)/453.59</f>
        <v>0.10524139097194031</v>
      </c>
      <c r="V19" s="59">
        <f>C19*(($F19*$I19))/453.59</f>
        <v>2.1914571364341898E-2</v>
      </c>
      <c r="W19" s="59">
        <f>C19*($F19*$J19)/453.59</f>
        <v>4.214559689070813E-4</v>
      </c>
      <c r="X19" s="59">
        <f>C19*(($F19*($K19+$L19+$M19)))/453.59</f>
        <v>2.4283784561717564E-2</v>
      </c>
      <c r="Y19" s="59">
        <f>C19*(($F19*($N19+$O19+$P19)))/453.59</f>
        <v>1.9243147775221469E-2</v>
      </c>
      <c r="Z19" s="59">
        <f>C19*(F19)*$B$453</f>
        <v>5.8873831995850459E-3</v>
      </c>
      <c r="AA19" s="59">
        <f>Z19*0.21</f>
        <v>1.2363504719128597E-3</v>
      </c>
      <c r="AB19" s="59">
        <f>C19*(($F19*($Q19)))/453.59</f>
        <v>42.332937291258673</v>
      </c>
      <c r="AC19" s="59">
        <f>C19*(($F19*($R19)))/453.59</f>
        <v>2.4190310356343937E-3</v>
      </c>
      <c r="AD19" s="59">
        <f>C19*(($F19*($S19)))/453.59</f>
        <v>1.0844005216528823E-3</v>
      </c>
      <c r="AE19" s="63">
        <f>6*22</f>
        <v>132</v>
      </c>
      <c r="AF19" s="59">
        <f t="shared" ref="AF19:AP20" si="7">T19*$AE19/2000</f>
        <v>7.2995094379293629E-3</v>
      </c>
      <c r="AG19" s="59">
        <f t="shared" si="7"/>
        <v>6.9459318041480613E-3</v>
      </c>
      <c r="AH19" s="59">
        <f t="shared" si="7"/>
        <v>1.4463617100465653E-3</v>
      </c>
      <c r="AI19" s="59">
        <f t="shared" si="7"/>
        <v>2.7816093947867365E-5</v>
      </c>
      <c r="AJ19" s="59">
        <f t="shared" si="7"/>
        <v>1.6027297810733592E-3</v>
      </c>
      <c r="AK19" s="59">
        <f t="shared" si="7"/>
        <v>1.2700477531646171E-3</v>
      </c>
      <c r="AL19" s="59">
        <f t="shared" si="7"/>
        <v>3.8856729117261302E-4</v>
      </c>
      <c r="AM19" s="59">
        <f t="shared" si="7"/>
        <v>8.1599131146248743E-5</v>
      </c>
      <c r="AN19" s="59">
        <f t="shared" si="7"/>
        <v>2.7939738612230727</v>
      </c>
      <c r="AO19" s="59">
        <f t="shared" si="7"/>
        <v>1.5965604835187E-4</v>
      </c>
      <c r="AP19" s="59">
        <f t="shared" si="7"/>
        <v>7.157043442909023E-5</v>
      </c>
    </row>
    <row r="20" spans="1:42" x14ac:dyDescent="0.25">
      <c r="A20" s="91" t="s">
        <v>205</v>
      </c>
      <c r="B20" s="89" t="s">
        <v>128</v>
      </c>
      <c r="C20" s="90">
        <v>1</v>
      </c>
      <c r="D20" s="90">
        <v>2015</v>
      </c>
      <c r="E20" s="90">
        <v>35</v>
      </c>
      <c r="F20" s="90">
        <v>80</v>
      </c>
      <c r="G20" s="145">
        <v>1.1475010375994501</v>
      </c>
      <c r="H20" s="145">
        <v>6.1597902567033698</v>
      </c>
      <c r="I20" s="145">
        <v>0.27527412390358202</v>
      </c>
      <c r="J20" s="145">
        <v>1.0711818E-2</v>
      </c>
      <c r="K20" s="145">
        <v>7.9574350742464495E-2</v>
      </c>
      <c r="L20" s="567">
        <v>3.5999811999999999E-2</v>
      </c>
      <c r="M20" s="567">
        <v>6.1739677E-2</v>
      </c>
      <c r="N20" s="145">
        <v>7.32084026830674E-2</v>
      </c>
      <c r="O20" s="567">
        <v>8.9999529999999998E-3</v>
      </c>
      <c r="P20" s="567">
        <v>2.6459862000000001E-2</v>
      </c>
      <c r="Q20" s="145">
        <v>1735.6021746639301</v>
      </c>
      <c r="R20" s="56">
        <f>0.000057143*Q20</f>
        <v>9.9177515066820959E-2</v>
      </c>
      <c r="S20" s="93">
        <f>0.000025616*Q20</f>
        <v>4.445918530619123E-2</v>
      </c>
      <c r="T20" s="59">
        <f>C20*($F20*$G20)/453.59</f>
        <v>0.20238559714269716</v>
      </c>
      <c r="U20" s="59">
        <f>C20*($F20*$H20)/453.59</f>
        <v>1.0864067120886034</v>
      </c>
      <c r="V20" s="59">
        <f>C20*(($F20*$I20))/453.59</f>
        <v>4.8550298534550063E-2</v>
      </c>
      <c r="W20" s="59">
        <f>C20*($F20*$J20)/453.59</f>
        <v>1.8892511739676801E-3</v>
      </c>
      <c r="X20" s="59">
        <f>C20*(($F20*($K20+$L20+$M20)))/453.59</f>
        <v>3.1272971580936879E-2</v>
      </c>
      <c r="Y20" s="59">
        <f>C20*(($F20*($N20+$O20+$P20)))/453.59</f>
        <v>1.9165893019346531E-2</v>
      </c>
      <c r="Z20" s="59">
        <f>C20*(F20)*$B$453</f>
        <v>7.8498442661133934E-3</v>
      </c>
      <c r="AA20" s="59">
        <f>Z20*0.21</f>
        <v>1.6484672958838125E-3</v>
      </c>
      <c r="AB20" s="59">
        <f>C20*(($F20*($Q20)))/453.59</f>
        <v>306.10942475167974</v>
      </c>
      <c r="AC20" s="59">
        <f>C20*(($F20*($R20)))/453.59</f>
        <v>1.7492010858585236E-2</v>
      </c>
      <c r="AD20" s="59">
        <f>C20*(($F20*($S20)))/453.59</f>
        <v>7.8412990244390284E-3</v>
      </c>
      <c r="AE20" s="63">
        <f t="shared" ref="AE20" si="8">6*22</f>
        <v>132</v>
      </c>
      <c r="AF20" s="59">
        <f t="shared" si="7"/>
        <v>1.3357449411418013E-2</v>
      </c>
      <c r="AG20" s="59">
        <f t="shared" si="7"/>
        <v>7.1702842997847821E-2</v>
      </c>
      <c r="AH20" s="59">
        <f t="shared" si="7"/>
        <v>3.204319703280304E-3</v>
      </c>
      <c r="AI20" s="59">
        <f t="shared" si="7"/>
        <v>1.2469057748186688E-4</v>
      </c>
      <c r="AJ20" s="59">
        <f t="shared" si="7"/>
        <v>2.0640161243418338E-3</v>
      </c>
      <c r="AK20" s="59">
        <f t="shared" si="7"/>
        <v>1.2649489392768712E-3</v>
      </c>
      <c r="AL20" s="59">
        <f t="shared" si="7"/>
        <v>5.1808972156348399E-4</v>
      </c>
      <c r="AM20" s="59">
        <f t="shared" si="7"/>
        <v>1.0879884152833162E-4</v>
      </c>
      <c r="AN20" s="59">
        <f t="shared" si="7"/>
        <v>20.203222033610864</v>
      </c>
      <c r="AO20" s="59">
        <f t="shared" si="7"/>
        <v>1.1544727166666255E-3</v>
      </c>
      <c r="AP20" s="59">
        <f t="shared" si="7"/>
        <v>5.1752573561297593E-4</v>
      </c>
    </row>
    <row r="21" spans="1:42" x14ac:dyDescent="0.25">
      <c r="A21" s="88" t="s">
        <v>38</v>
      </c>
      <c r="B21" s="87"/>
      <c r="C21" s="166"/>
      <c r="D21" s="166"/>
      <c r="E21" s="87"/>
      <c r="F21" s="87"/>
      <c r="G21" s="556"/>
      <c r="H21" s="50"/>
      <c r="I21" s="50"/>
      <c r="J21" s="50"/>
      <c r="K21" s="557"/>
      <c r="L21" s="557"/>
      <c r="M21" s="557"/>
      <c r="N21" s="557"/>
      <c r="O21" s="557"/>
      <c r="P21" s="557"/>
      <c r="Q21" s="50"/>
      <c r="R21" s="557"/>
      <c r="S21" s="557"/>
      <c r="T21" s="94">
        <f t="shared" ref="T21:AD21" si="9">SUM(T19:T20)</f>
        <v>0.31298422499011175</v>
      </c>
      <c r="U21" s="94">
        <f t="shared" si="9"/>
        <v>1.1916481030605437</v>
      </c>
      <c r="V21" s="94">
        <f t="shared" si="9"/>
        <v>7.046486989889196E-2</v>
      </c>
      <c r="W21" s="94">
        <f t="shared" si="9"/>
        <v>2.3107071428747615E-3</v>
      </c>
      <c r="X21" s="94">
        <f t="shared" si="9"/>
        <v>5.5556756142654443E-2</v>
      </c>
      <c r="Y21" s="94">
        <f t="shared" si="9"/>
        <v>3.8409040794568E-2</v>
      </c>
      <c r="Z21" s="94">
        <f t="shared" si="9"/>
        <v>1.3737227465698439E-2</v>
      </c>
      <c r="AA21" s="94">
        <f t="shared" si="9"/>
        <v>2.8848177677966722E-3</v>
      </c>
      <c r="AB21" s="94">
        <f t="shared" si="9"/>
        <v>348.44236204293838</v>
      </c>
      <c r="AC21" s="94">
        <f t="shared" si="9"/>
        <v>1.991104189421963E-2</v>
      </c>
      <c r="AD21" s="94">
        <f t="shared" si="9"/>
        <v>8.92569954609191E-3</v>
      </c>
      <c r="AE21" s="69"/>
      <c r="AF21" s="94">
        <f t="shared" ref="AF21:AP21" si="10">SUM(AF19:AF20)</f>
        <v>2.0656958849347377E-2</v>
      </c>
      <c r="AG21" s="94">
        <f t="shared" si="10"/>
        <v>7.8648774801995877E-2</v>
      </c>
      <c r="AH21" s="94">
        <f t="shared" si="10"/>
        <v>4.6506814133268695E-3</v>
      </c>
      <c r="AI21" s="94">
        <f t="shared" si="10"/>
        <v>1.5250667142973425E-4</v>
      </c>
      <c r="AJ21" s="94">
        <f t="shared" si="10"/>
        <v>3.6667459054151932E-3</v>
      </c>
      <c r="AK21" s="94">
        <f t="shared" si="10"/>
        <v>2.5349966924414881E-3</v>
      </c>
      <c r="AL21" s="94">
        <f t="shared" si="10"/>
        <v>9.0665701273609707E-4</v>
      </c>
      <c r="AM21" s="94">
        <f t="shared" si="10"/>
        <v>1.9039797267458037E-4</v>
      </c>
      <c r="AN21" s="94">
        <f t="shared" si="10"/>
        <v>22.997195894833936</v>
      </c>
      <c r="AO21" s="94">
        <f t="shared" si="10"/>
        <v>1.3141287650184955E-3</v>
      </c>
      <c r="AP21" s="94">
        <f t="shared" si="10"/>
        <v>5.8909617004206615E-4</v>
      </c>
    </row>
    <row r="22" spans="1:42" x14ac:dyDescent="0.25">
      <c r="A22" s="561"/>
      <c r="B22" s="87"/>
      <c r="C22" s="166"/>
      <c r="D22" s="166"/>
      <c r="E22" s="87"/>
      <c r="F22" s="87"/>
      <c r="G22" s="556"/>
      <c r="H22" s="50"/>
      <c r="I22" s="50"/>
      <c r="J22" s="50"/>
      <c r="K22" s="557"/>
      <c r="L22" s="557"/>
      <c r="M22" s="557"/>
      <c r="N22" s="557"/>
      <c r="O22" s="557"/>
      <c r="P22" s="557"/>
      <c r="Q22" s="50"/>
      <c r="R22" s="557"/>
      <c r="S22" s="557"/>
      <c r="T22" s="74"/>
      <c r="U22" s="74"/>
      <c r="V22" s="74"/>
      <c r="W22" s="74"/>
      <c r="X22" s="74"/>
      <c r="Y22" s="74"/>
      <c r="Z22" s="75"/>
      <c r="AA22" s="75"/>
      <c r="AB22" s="75"/>
      <c r="AC22" s="75"/>
      <c r="AD22" s="75"/>
      <c r="AE22" s="52"/>
      <c r="AF22" s="74"/>
      <c r="AG22" s="74"/>
      <c r="AH22" s="74"/>
      <c r="AI22" s="74"/>
      <c r="AJ22" s="74"/>
      <c r="AK22" s="74"/>
      <c r="AL22" s="75"/>
      <c r="AM22" s="75"/>
      <c r="AN22" s="76"/>
      <c r="AO22" s="74"/>
      <c r="AP22" s="74"/>
    </row>
    <row r="23" spans="1:42" x14ac:dyDescent="0.25">
      <c r="A23" s="177" t="s">
        <v>586</v>
      </c>
      <c r="B23" s="87"/>
      <c r="C23" s="166"/>
      <c r="D23" s="166"/>
      <c r="E23" s="87"/>
      <c r="F23" s="87"/>
      <c r="G23" s="556"/>
      <c r="H23" s="50"/>
      <c r="I23" s="50"/>
      <c r="J23" s="50"/>
      <c r="K23" s="557"/>
      <c r="L23" s="557"/>
      <c r="M23" s="557"/>
      <c r="N23" s="557"/>
      <c r="O23" s="557"/>
      <c r="P23" s="557"/>
      <c r="Q23" s="50"/>
      <c r="R23" s="557"/>
      <c r="S23" s="557"/>
      <c r="T23" s="74"/>
      <c r="U23" s="74"/>
      <c r="V23" s="74"/>
      <c r="W23" s="74"/>
      <c r="X23" s="74"/>
      <c r="Y23" s="74"/>
      <c r="Z23" s="75"/>
      <c r="AA23" s="75"/>
      <c r="AB23" s="75"/>
      <c r="AC23" s="75"/>
      <c r="AD23" s="75"/>
      <c r="AE23" s="52"/>
      <c r="AF23" s="74"/>
      <c r="AG23" s="74"/>
      <c r="AH23" s="74"/>
      <c r="AI23" s="74"/>
      <c r="AJ23" s="74"/>
      <c r="AK23" s="74"/>
      <c r="AL23" s="75"/>
      <c r="AM23" s="75"/>
      <c r="AN23" s="76"/>
      <c r="AO23" s="74"/>
      <c r="AP23" s="74"/>
    </row>
    <row r="24" spans="1:42" x14ac:dyDescent="0.25">
      <c r="A24" s="91" t="s">
        <v>610</v>
      </c>
      <c r="B24" s="89" t="s">
        <v>107</v>
      </c>
      <c r="C24" s="92">
        <v>1</v>
      </c>
      <c r="D24" s="90">
        <v>2015</v>
      </c>
      <c r="E24" s="90">
        <v>15</v>
      </c>
      <c r="F24" s="90">
        <v>60</v>
      </c>
      <c r="G24" s="145">
        <v>0.83610719342181306</v>
      </c>
      <c r="H24" s="145">
        <v>0.79560737551603999</v>
      </c>
      <c r="I24" s="145">
        <v>0.165670507085864</v>
      </c>
      <c r="J24" s="145">
        <v>3.18613688227605E-3</v>
      </c>
      <c r="K24" s="145">
        <v>0.138831589940137</v>
      </c>
      <c r="L24" s="56">
        <v>7.99995847163921E-3</v>
      </c>
      <c r="M24" s="56">
        <v>3.6749815577381599E-2</v>
      </c>
      <c r="N24" s="145">
        <v>0.127725080361664</v>
      </c>
      <c r="O24" s="56">
        <v>1.9999896145790402E-3</v>
      </c>
      <c r="P24" s="56">
        <v>1.57499200131354E-2</v>
      </c>
      <c r="Q24" s="145">
        <v>320.029950432367</v>
      </c>
      <c r="R24" s="56">
        <f>0.000057143*Q24</f>
        <v>1.8287471457556746E-2</v>
      </c>
      <c r="S24" s="93">
        <f>0.000025616*Q24</f>
        <v>8.1978872102755132E-3</v>
      </c>
      <c r="T24" s="59">
        <f>C24*($F24*$G24)/453.59</f>
        <v>0.11059862784741459</v>
      </c>
      <c r="U24" s="59">
        <f>C24*($F24*$H24)/453.59</f>
        <v>0.10524139097194031</v>
      </c>
      <c r="V24" s="59">
        <f>C24*(($F24*$I24))/453.59</f>
        <v>2.1914571364341898E-2</v>
      </c>
      <c r="W24" s="59">
        <f>C24*($F24*$J24)/453.59</f>
        <v>4.214559689070813E-4</v>
      </c>
      <c r="X24" s="59">
        <f>C24*(($F24*($K24+$L24+$M24)))/453.59</f>
        <v>2.4283784561717564E-2</v>
      </c>
      <c r="Y24" s="59">
        <f>C24*(($F24*($N24+$O24+$P24)))/453.59</f>
        <v>1.9243147775221469E-2</v>
      </c>
      <c r="Z24" s="59">
        <f>C24*(F24)*$B$453</f>
        <v>5.8873831995850459E-3</v>
      </c>
      <c r="AA24" s="59">
        <f>Z24*0.21</f>
        <v>1.2363504719128597E-3</v>
      </c>
      <c r="AB24" s="59">
        <f>C24*(($F24*($Q24)))/453.59</f>
        <v>42.332937291258673</v>
      </c>
      <c r="AC24" s="59">
        <f>C24*(($F24*($R24)))/453.59</f>
        <v>2.4190310356343937E-3</v>
      </c>
      <c r="AD24" s="59">
        <f>C24*(($F24*($S24)))/453.59</f>
        <v>1.0844005216528823E-3</v>
      </c>
      <c r="AE24" s="63">
        <f>2*22</f>
        <v>44</v>
      </c>
      <c r="AF24" s="59">
        <f t="shared" ref="AF24:AP25" si="11">T24*$AE24/2000</f>
        <v>2.433169812643121E-3</v>
      </c>
      <c r="AG24" s="59">
        <f t="shared" si="11"/>
        <v>2.3153106013826868E-3</v>
      </c>
      <c r="AH24" s="59">
        <f t="shared" si="11"/>
        <v>4.8212057001552176E-4</v>
      </c>
      <c r="AI24" s="59">
        <f t="shared" si="11"/>
        <v>9.27203131595579E-6</v>
      </c>
      <c r="AJ24" s="59">
        <f t="shared" si="11"/>
        <v>5.3424326035778644E-4</v>
      </c>
      <c r="AK24" s="59">
        <f t="shared" si="11"/>
        <v>4.2334925105487231E-4</v>
      </c>
      <c r="AL24" s="59">
        <f t="shared" si="11"/>
        <v>1.2952243039087102E-4</v>
      </c>
      <c r="AM24" s="59">
        <f t="shared" si="11"/>
        <v>2.7199710382082912E-5</v>
      </c>
      <c r="AN24" s="59">
        <f t="shared" si="11"/>
        <v>0.93132462040769082</v>
      </c>
      <c r="AO24" s="59">
        <f t="shared" si="11"/>
        <v>5.3218682783956657E-5</v>
      </c>
      <c r="AP24" s="59">
        <f t="shared" si="11"/>
        <v>2.385681147636341E-5</v>
      </c>
    </row>
    <row r="25" spans="1:42" x14ac:dyDescent="0.25">
      <c r="A25" s="91" t="s">
        <v>205</v>
      </c>
      <c r="B25" s="89" t="s">
        <v>128</v>
      </c>
      <c r="C25" s="90">
        <v>1</v>
      </c>
      <c r="D25" s="90">
        <v>2015</v>
      </c>
      <c r="E25" s="90">
        <v>35</v>
      </c>
      <c r="F25" s="90">
        <v>80</v>
      </c>
      <c r="G25" s="145">
        <v>1.1475010375994501</v>
      </c>
      <c r="H25" s="145">
        <v>6.1597902567033698</v>
      </c>
      <c r="I25" s="145">
        <v>0.27527412390358202</v>
      </c>
      <c r="J25" s="145">
        <v>1.0711818E-2</v>
      </c>
      <c r="K25" s="145">
        <v>7.9574350742464495E-2</v>
      </c>
      <c r="L25" s="567">
        <v>3.5999811999999999E-2</v>
      </c>
      <c r="M25" s="567">
        <v>6.1739677E-2</v>
      </c>
      <c r="N25" s="145">
        <v>7.32084026830674E-2</v>
      </c>
      <c r="O25" s="567">
        <v>8.9999529999999998E-3</v>
      </c>
      <c r="P25" s="567">
        <v>2.6459862000000001E-2</v>
      </c>
      <c r="Q25" s="145">
        <v>1735.6021746639301</v>
      </c>
      <c r="R25" s="56">
        <f>0.000057143*Q25</f>
        <v>9.9177515066820959E-2</v>
      </c>
      <c r="S25" s="93">
        <f>0.000025616*Q25</f>
        <v>4.445918530619123E-2</v>
      </c>
      <c r="T25" s="59">
        <f>C25*($F25*$G25)/453.59</f>
        <v>0.20238559714269716</v>
      </c>
      <c r="U25" s="59">
        <f>C25*($F25*$H25)/453.59</f>
        <v>1.0864067120886034</v>
      </c>
      <c r="V25" s="59">
        <f>C25*(($F25*$I25))/453.59</f>
        <v>4.8550298534550063E-2</v>
      </c>
      <c r="W25" s="59">
        <f>C25*($F25*$J25)/453.59</f>
        <v>1.8892511739676801E-3</v>
      </c>
      <c r="X25" s="59">
        <f>C25*(($F25*($K25+$L25+$M25)))/453.59</f>
        <v>3.1272971580936879E-2</v>
      </c>
      <c r="Y25" s="59">
        <f>C25*(($F25*($N25+$O25+$P25)))/453.59</f>
        <v>1.9165893019346531E-2</v>
      </c>
      <c r="Z25" s="59">
        <f>C25*(F25)*$B$453</f>
        <v>7.8498442661133934E-3</v>
      </c>
      <c r="AA25" s="59">
        <f>Z25*0.21</f>
        <v>1.6484672958838125E-3</v>
      </c>
      <c r="AB25" s="59">
        <f>C25*(($F25*($Q25)))/453.59</f>
        <v>306.10942475167974</v>
      </c>
      <c r="AC25" s="59">
        <f>C25*(($F25*($R25)))/453.59</f>
        <v>1.7492010858585236E-2</v>
      </c>
      <c r="AD25" s="59">
        <f>C25*(($F25*($S25)))/453.59</f>
        <v>7.8412990244390284E-3</v>
      </c>
      <c r="AE25" s="63">
        <f t="shared" ref="AE25" si="12">2*22</f>
        <v>44</v>
      </c>
      <c r="AF25" s="59">
        <f t="shared" si="11"/>
        <v>4.4524831371393373E-3</v>
      </c>
      <c r="AG25" s="59">
        <f t="shared" si="11"/>
        <v>2.3900947665949274E-2</v>
      </c>
      <c r="AH25" s="59">
        <f t="shared" si="11"/>
        <v>1.0681065677601014E-3</v>
      </c>
      <c r="AI25" s="59">
        <f t="shared" si="11"/>
        <v>4.1563525827288966E-5</v>
      </c>
      <c r="AJ25" s="59">
        <f t="shared" si="11"/>
        <v>6.8800537478061127E-4</v>
      </c>
      <c r="AK25" s="59">
        <f t="shared" si="11"/>
        <v>4.2164964642562371E-4</v>
      </c>
      <c r="AL25" s="59">
        <f t="shared" si="11"/>
        <v>1.7269657385449467E-4</v>
      </c>
      <c r="AM25" s="59">
        <f t="shared" si="11"/>
        <v>3.6266280509443874E-5</v>
      </c>
      <c r="AN25" s="59">
        <f t="shared" si="11"/>
        <v>6.7344073445369537</v>
      </c>
      <c r="AO25" s="59">
        <f t="shared" si="11"/>
        <v>3.8482423888887518E-4</v>
      </c>
      <c r="AP25" s="59">
        <f t="shared" si="11"/>
        <v>1.7250857853765863E-4</v>
      </c>
    </row>
    <row r="26" spans="1:42" x14ac:dyDescent="0.25">
      <c r="A26" s="88" t="s">
        <v>38</v>
      </c>
      <c r="B26" s="87"/>
      <c r="C26" s="166"/>
      <c r="D26" s="166"/>
      <c r="E26" s="87"/>
      <c r="F26" s="87"/>
      <c r="G26" s="556"/>
      <c r="H26" s="50"/>
      <c r="I26" s="50"/>
      <c r="J26" s="50"/>
      <c r="K26" s="557"/>
      <c r="L26" s="557"/>
      <c r="M26" s="557"/>
      <c r="N26" s="557"/>
      <c r="O26" s="557"/>
      <c r="P26" s="557"/>
      <c r="Q26" s="50"/>
      <c r="R26" s="557"/>
      <c r="S26" s="557"/>
      <c r="T26" s="94">
        <f t="shared" ref="T26:AD26" si="13">SUM(T24:T25)</f>
        <v>0.31298422499011175</v>
      </c>
      <c r="U26" s="94">
        <f t="shared" si="13"/>
        <v>1.1916481030605437</v>
      </c>
      <c r="V26" s="94">
        <f t="shared" si="13"/>
        <v>7.046486989889196E-2</v>
      </c>
      <c r="W26" s="94">
        <f t="shared" si="13"/>
        <v>2.3107071428747615E-3</v>
      </c>
      <c r="X26" s="94">
        <f t="shared" si="13"/>
        <v>5.5556756142654443E-2</v>
      </c>
      <c r="Y26" s="94">
        <f t="shared" si="13"/>
        <v>3.8409040794568E-2</v>
      </c>
      <c r="Z26" s="94">
        <f t="shared" si="13"/>
        <v>1.3737227465698439E-2</v>
      </c>
      <c r="AA26" s="94">
        <f t="shared" si="13"/>
        <v>2.8848177677966722E-3</v>
      </c>
      <c r="AB26" s="94">
        <f t="shared" si="13"/>
        <v>348.44236204293838</v>
      </c>
      <c r="AC26" s="94">
        <f t="shared" si="13"/>
        <v>1.991104189421963E-2</v>
      </c>
      <c r="AD26" s="94">
        <f t="shared" si="13"/>
        <v>8.92569954609191E-3</v>
      </c>
      <c r="AE26" s="69"/>
      <c r="AF26" s="94">
        <f t="shared" ref="AF26:AP26" si="14">SUM(AF24:AF25)</f>
        <v>6.8856529497824583E-3</v>
      </c>
      <c r="AG26" s="94">
        <f t="shared" si="14"/>
        <v>2.6216258267331961E-2</v>
      </c>
      <c r="AH26" s="94">
        <f t="shared" si="14"/>
        <v>1.5502271377756231E-3</v>
      </c>
      <c r="AI26" s="94">
        <f t="shared" si="14"/>
        <v>5.0835557143244758E-5</v>
      </c>
      <c r="AJ26" s="94">
        <f t="shared" si="14"/>
        <v>1.2222486351383976E-3</v>
      </c>
      <c r="AK26" s="94">
        <f t="shared" si="14"/>
        <v>8.4499889748049597E-4</v>
      </c>
      <c r="AL26" s="94">
        <f t="shared" si="14"/>
        <v>3.0221900424536572E-4</v>
      </c>
      <c r="AM26" s="94">
        <f t="shared" si="14"/>
        <v>6.3465990891526779E-5</v>
      </c>
      <c r="AN26" s="94">
        <f t="shared" si="14"/>
        <v>7.6657319649446443</v>
      </c>
      <c r="AO26" s="94">
        <f t="shared" si="14"/>
        <v>4.3804292167283184E-4</v>
      </c>
      <c r="AP26" s="94">
        <f t="shared" si="14"/>
        <v>1.9636539001402205E-4</v>
      </c>
    </row>
    <row r="27" spans="1:42" x14ac:dyDescent="0.25">
      <c r="A27" s="561"/>
      <c r="B27" s="87"/>
      <c r="C27" s="166"/>
      <c r="D27" s="166"/>
      <c r="E27" s="87"/>
      <c r="F27" s="87"/>
      <c r="G27" s="556"/>
      <c r="H27" s="50"/>
      <c r="I27" s="50"/>
      <c r="J27" s="50"/>
      <c r="K27" s="557"/>
      <c r="L27" s="557"/>
      <c r="M27" s="557"/>
      <c r="N27" s="557"/>
      <c r="O27" s="557"/>
      <c r="P27" s="557"/>
      <c r="Q27" s="50"/>
      <c r="R27" s="557"/>
      <c r="S27" s="557"/>
      <c r="T27" s="74"/>
      <c r="U27" s="74"/>
      <c r="V27" s="74"/>
      <c r="W27" s="74"/>
      <c r="X27" s="74"/>
      <c r="Y27" s="74"/>
      <c r="Z27" s="75"/>
      <c r="AA27" s="75"/>
      <c r="AB27" s="75"/>
      <c r="AC27" s="75"/>
      <c r="AD27" s="75"/>
      <c r="AE27" s="52"/>
      <c r="AF27" s="74"/>
      <c r="AG27" s="74"/>
      <c r="AH27" s="74"/>
      <c r="AI27" s="74"/>
      <c r="AJ27" s="74"/>
      <c r="AK27" s="74"/>
      <c r="AL27" s="75"/>
      <c r="AM27" s="75"/>
      <c r="AN27" s="76"/>
      <c r="AO27" s="74"/>
      <c r="AP27" s="74"/>
    </row>
    <row r="28" spans="1:42" x14ac:dyDescent="0.25">
      <c r="A28" s="177" t="s">
        <v>588</v>
      </c>
      <c r="B28" s="87"/>
      <c r="C28" s="166"/>
      <c r="D28" s="166"/>
      <c r="E28" s="87"/>
      <c r="F28" s="87"/>
      <c r="G28" s="556"/>
      <c r="H28" s="50"/>
      <c r="I28" s="50"/>
      <c r="J28" s="50"/>
      <c r="K28" s="557"/>
      <c r="L28" s="557"/>
      <c r="M28" s="557"/>
      <c r="N28" s="557"/>
      <c r="O28" s="557"/>
      <c r="P28" s="557"/>
      <c r="Q28" s="50"/>
      <c r="R28" s="557"/>
      <c r="S28" s="557"/>
      <c r="T28" s="74"/>
      <c r="U28" s="74"/>
      <c r="V28" s="74"/>
      <c r="W28" s="74"/>
      <c r="X28" s="74"/>
      <c r="Y28" s="74"/>
      <c r="Z28" s="75"/>
      <c r="AA28" s="75"/>
      <c r="AB28" s="75"/>
      <c r="AC28" s="75"/>
      <c r="AD28" s="75"/>
      <c r="AE28" s="52"/>
      <c r="AF28" s="74"/>
      <c r="AG28" s="74"/>
      <c r="AH28" s="74"/>
      <c r="AI28" s="74"/>
      <c r="AJ28" s="74"/>
      <c r="AK28" s="74"/>
      <c r="AL28" s="75"/>
      <c r="AM28" s="75"/>
      <c r="AN28" s="76"/>
      <c r="AO28" s="74"/>
      <c r="AP28" s="74"/>
    </row>
    <row r="29" spans="1:42" x14ac:dyDescent="0.25">
      <c r="A29" s="91" t="s">
        <v>610</v>
      </c>
      <c r="B29" s="89" t="s">
        <v>107</v>
      </c>
      <c r="C29" s="92">
        <v>1</v>
      </c>
      <c r="D29" s="90">
        <v>2015</v>
      </c>
      <c r="E29" s="90">
        <v>15</v>
      </c>
      <c r="F29" s="90">
        <v>60</v>
      </c>
      <c r="G29" s="145">
        <v>0.83610719342181306</v>
      </c>
      <c r="H29" s="145">
        <v>0.79560737551603999</v>
      </c>
      <c r="I29" s="145">
        <v>0.165670507085864</v>
      </c>
      <c r="J29" s="145">
        <v>3.18613688227605E-3</v>
      </c>
      <c r="K29" s="145">
        <v>0.138831589940137</v>
      </c>
      <c r="L29" s="56">
        <v>7.99995847163921E-3</v>
      </c>
      <c r="M29" s="56">
        <v>3.6749815577381599E-2</v>
      </c>
      <c r="N29" s="145">
        <v>0.127725080361664</v>
      </c>
      <c r="O29" s="56">
        <v>1.9999896145790402E-3</v>
      </c>
      <c r="P29" s="56">
        <v>1.57499200131354E-2</v>
      </c>
      <c r="Q29" s="145">
        <v>320.029950432367</v>
      </c>
      <c r="R29" s="56">
        <f>0.000057143*Q29</f>
        <v>1.8287471457556746E-2</v>
      </c>
      <c r="S29" s="93">
        <f>0.000025616*Q29</f>
        <v>8.1978872102755132E-3</v>
      </c>
      <c r="T29" s="59">
        <f>C29*($F29*$G29)/453.59</f>
        <v>0.11059862784741459</v>
      </c>
      <c r="U29" s="59">
        <f>C29*($F29*$H29)/453.59</f>
        <v>0.10524139097194031</v>
      </c>
      <c r="V29" s="59">
        <f>C29*(($F29*$I29))/453.59</f>
        <v>2.1914571364341898E-2</v>
      </c>
      <c r="W29" s="59">
        <f>C29*($F29*$J29)/453.59</f>
        <v>4.214559689070813E-4</v>
      </c>
      <c r="X29" s="59">
        <f>C29*(($F29*($K29+$L29+$M29)))/453.59</f>
        <v>2.4283784561717564E-2</v>
      </c>
      <c r="Y29" s="59">
        <f>C29*(($F29*($N29+$O29+$P29)))/453.59</f>
        <v>1.9243147775221469E-2</v>
      </c>
      <c r="Z29" s="59">
        <f>C29*(F29)*$B$453</f>
        <v>5.8873831995850459E-3</v>
      </c>
      <c r="AA29" s="59">
        <f>Z29*0.21</f>
        <v>1.2363504719128597E-3</v>
      </c>
      <c r="AB29" s="59">
        <f>C29*(($F29*($Q29)))/453.59</f>
        <v>42.332937291258673</v>
      </c>
      <c r="AC29" s="59">
        <f>C29*(($F29*($R29)))/453.59</f>
        <v>2.4190310356343937E-3</v>
      </c>
      <c r="AD29" s="59">
        <f>C29*(($F29*($S29)))/453.59</f>
        <v>1.0844005216528823E-3</v>
      </c>
      <c r="AE29" s="63">
        <f>6*22</f>
        <v>132</v>
      </c>
      <c r="AF29" s="59">
        <f t="shared" ref="AF29:AP30" si="15">T29*$AE29/2000</f>
        <v>7.2995094379293629E-3</v>
      </c>
      <c r="AG29" s="59">
        <f t="shared" si="15"/>
        <v>6.9459318041480613E-3</v>
      </c>
      <c r="AH29" s="59">
        <f t="shared" si="15"/>
        <v>1.4463617100465653E-3</v>
      </c>
      <c r="AI29" s="59">
        <f t="shared" si="15"/>
        <v>2.7816093947867365E-5</v>
      </c>
      <c r="AJ29" s="59">
        <f t="shared" si="15"/>
        <v>1.6027297810733592E-3</v>
      </c>
      <c r="AK29" s="59">
        <f t="shared" si="15"/>
        <v>1.2700477531646171E-3</v>
      </c>
      <c r="AL29" s="59">
        <f t="shared" si="15"/>
        <v>3.8856729117261302E-4</v>
      </c>
      <c r="AM29" s="59">
        <f t="shared" si="15"/>
        <v>8.1599131146248743E-5</v>
      </c>
      <c r="AN29" s="59">
        <f t="shared" si="15"/>
        <v>2.7939738612230727</v>
      </c>
      <c r="AO29" s="59">
        <f t="shared" si="15"/>
        <v>1.5965604835187E-4</v>
      </c>
      <c r="AP29" s="59">
        <f t="shared" si="15"/>
        <v>7.157043442909023E-5</v>
      </c>
    </row>
    <row r="30" spans="1:42" x14ac:dyDescent="0.25">
      <c r="A30" s="91" t="s">
        <v>205</v>
      </c>
      <c r="B30" s="89" t="s">
        <v>128</v>
      </c>
      <c r="C30" s="90">
        <v>1</v>
      </c>
      <c r="D30" s="90">
        <v>2015</v>
      </c>
      <c r="E30" s="90">
        <v>35</v>
      </c>
      <c r="F30" s="90">
        <v>80</v>
      </c>
      <c r="G30" s="145">
        <v>1.1475010375994501</v>
      </c>
      <c r="H30" s="145">
        <v>6.1597902567033698</v>
      </c>
      <c r="I30" s="145">
        <v>0.27527412390358202</v>
      </c>
      <c r="J30" s="145">
        <v>1.0711818E-2</v>
      </c>
      <c r="K30" s="145">
        <v>7.9574350742464495E-2</v>
      </c>
      <c r="L30" s="567">
        <v>3.5999811999999999E-2</v>
      </c>
      <c r="M30" s="567">
        <v>6.1739677E-2</v>
      </c>
      <c r="N30" s="145">
        <v>7.32084026830674E-2</v>
      </c>
      <c r="O30" s="567">
        <v>8.9999529999999998E-3</v>
      </c>
      <c r="P30" s="567">
        <v>2.6459862000000001E-2</v>
      </c>
      <c r="Q30" s="145">
        <v>1735.6021746639301</v>
      </c>
      <c r="R30" s="56">
        <f>0.000057143*Q30</f>
        <v>9.9177515066820959E-2</v>
      </c>
      <c r="S30" s="93">
        <f>0.000025616*Q30</f>
        <v>4.445918530619123E-2</v>
      </c>
      <c r="T30" s="59">
        <f>C30*($F30*$G30)/453.59</f>
        <v>0.20238559714269716</v>
      </c>
      <c r="U30" s="59">
        <f>C30*($F30*$H30)/453.59</f>
        <v>1.0864067120886034</v>
      </c>
      <c r="V30" s="59">
        <f>C30*(($F30*$I30))/453.59</f>
        <v>4.8550298534550063E-2</v>
      </c>
      <c r="W30" s="59">
        <f>C30*($F30*$J30)/453.59</f>
        <v>1.8892511739676801E-3</v>
      </c>
      <c r="X30" s="59">
        <f>C30*(($F30*($K30+$L30+$M30)))/453.59</f>
        <v>3.1272971580936879E-2</v>
      </c>
      <c r="Y30" s="59">
        <f>C30*(($F30*($N30+$O30+$P30)))/453.59</f>
        <v>1.9165893019346531E-2</v>
      </c>
      <c r="Z30" s="59">
        <f>C30*(F30)*$B$453</f>
        <v>7.8498442661133934E-3</v>
      </c>
      <c r="AA30" s="59">
        <f>Z30*0.21</f>
        <v>1.6484672958838125E-3</v>
      </c>
      <c r="AB30" s="59">
        <f>C30*(($F30*($Q30)))/453.59</f>
        <v>306.10942475167974</v>
      </c>
      <c r="AC30" s="59">
        <f>C30*(($F30*($R30)))/453.59</f>
        <v>1.7492010858585236E-2</v>
      </c>
      <c r="AD30" s="59">
        <f>C30*(($F30*($S30)))/453.59</f>
        <v>7.8412990244390284E-3</v>
      </c>
      <c r="AE30" s="63">
        <f t="shared" ref="AE30" si="16">6*22</f>
        <v>132</v>
      </c>
      <c r="AF30" s="59">
        <f t="shared" si="15"/>
        <v>1.3357449411418013E-2</v>
      </c>
      <c r="AG30" s="59">
        <f t="shared" si="15"/>
        <v>7.1702842997847821E-2</v>
      </c>
      <c r="AH30" s="59">
        <f t="shared" si="15"/>
        <v>3.204319703280304E-3</v>
      </c>
      <c r="AI30" s="59">
        <f t="shared" si="15"/>
        <v>1.2469057748186688E-4</v>
      </c>
      <c r="AJ30" s="59">
        <f t="shared" si="15"/>
        <v>2.0640161243418338E-3</v>
      </c>
      <c r="AK30" s="59">
        <f t="shared" si="15"/>
        <v>1.2649489392768712E-3</v>
      </c>
      <c r="AL30" s="59">
        <f t="shared" si="15"/>
        <v>5.1808972156348399E-4</v>
      </c>
      <c r="AM30" s="59">
        <f t="shared" si="15"/>
        <v>1.0879884152833162E-4</v>
      </c>
      <c r="AN30" s="59">
        <f t="shared" si="15"/>
        <v>20.203222033610864</v>
      </c>
      <c r="AO30" s="59">
        <f t="shared" si="15"/>
        <v>1.1544727166666255E-3</v>
      </c>
      <c r="AP30" s="59">
        <f t="shared" si="15"/>
        <v>5.1752573561297593E-4</v>
      </c>
    </row>
    <row r="31" spans="1:42" x14ac:dyDescent="0.25">
      <c r="A31" s="88" t="s">
        <v>38</v>
      </c>
      <c r="B31" s="87"/>
      <c r="C31" s="166"/>
      <c r="D31" s="166"/>
      <c r="E31" s="87"/>
      <c r="F31" s="87"/>
      <c r="G31" s="556"/>
      <c r="H31" s="50"/>
      <c r="I31" s="50"/>
      <c r="J31" s="50"/>
      <c r="K31" s="557"/>
      <c r="L31" s="557"/>
      <c r="M31" s="557"/>
      <c r="N31" s="557"/>
      <c r="O31" s="557"/>
      <c r="P31" s="557"/>
      <c r="Q31" s="50"/>
      <c r="R31" s="557"/>
      <c r="S31" s="557"/>
      <c r="T31" s="94">
        <f t="shared" ref="T31:AD31" si="17">SUM(T29:T30)</f>
        <v>0.31298422499011175</v>
      </c>
      <c r="U31" s="94">
        <f t="shared" si="17"/>
        <v>1.1916481030605437</v>
      </c>
      <c r="V31" s="94">
        <f t="shared" si="17"/>
        <v>7.046486989889196E-2</v>
      </c>
      <c r="W31" s="94">
        <f t="shared" si="17"/>
        <v>2.3107071428747615E-3</v>
      </c>
      <c r="X31" s="94">
        <f t="shared" si="17"/>
        <v>5.5556756142654443E-2</v>
      </c>
      <c r="Y31" s="94">
        <f t="shared" si="17"/>
        <v>3.8409040794568E-2</v>
      </c>
      <c r="Z31" s="94">
        <f t="shared" si="17"/>
        <v>1.3737227465698439E-2</v>
      </c>
      <c r="AA31" s="94">
        <f t="shared" si="17"/>
        <v>2.8848177677966722E-3</v>
      </c>
      <c r="AB31" s="94">
        <f t="shared" si="17"/>
        <v>348.44236204293838</v>
      </c>
      <c r="AC31" s="94">
        <f t="shared" si="17"/>
        <v>1.991104189421963E-2</v>
      </c>
      <c r="AD31" s="94">
        <f t="shared" si="17"/>
        <v>8.92569954609191E-3</v>
      </c>
      <c r="AE31" s="69"/>
      <c r="AF31" s="94">
        <f t="shared" ref="AF31:AP31" si="18">SUM(AF29:AF30)</f>
        <v>2.0656958849347377E-2</v>
      </c>
      <c r="AG31" s="94">
        <f t="shared" si="18"/>
        <v>7.8648774801995877E-2</v>
      </c>
      <c r="AH31" s="94">
        <f t="shared" si="18"/>
        <v>4.6506814133268695E-3</v>
      </c>
      <c r="AI31" s="94">
        <f t="shared" si="18"/>
        <v>1.5250667142973425E-4</v>
      </c>
      <c r="AJ31" s="94">
        <f t="shared" si="18"/>
        <v>3.6667459054151932E-3</v>
      </c>
      <c r="AK31" s="94">
        <f t="shared" si="18"/>
        <v>2.5349966924414881E-3</v>
      </c>
      <c r="AL31" s="94">
        <f t="shared" si="18"/>
        <v>9.0665701273609707E-4</v>
      </c>
      <c r="AM31" s="94">
        <f t="shared" si="18"/>
        <v>1.9039797267458037E-4</v>
      </c>
      <c r="AN31" s="94">
        <f t="shared" si="18"/>
        <v>22.997195894833936</v>
      </c>
      <c r="AO31" s="94">
        <f t="shared" si="18"/>
        <v>1.3141287650184955E-3</v>
      </c>
      <c r="AP31" s="94">
        <f t="shared" si="18"/>
        <v>5.8909617004206615E-4</v>
      </c>
    </row>
    <row r="32" spans="1:42" x14ac:dyDescent="0.25">
      <c r="A32" s="561"/>
      <c r="B32" s="87"/>
      <c r="C32" s="166"/>
      <c r="D32" s="166"/>
      <c r="E32" s="87"/>
      <c r="F32" s="87"/>
      <c r="G32" s="556"/>
      <c r="H32" s="50"/>
      <c r="I32" s="50"/>
      <c r="J32" s="50"/>
      <c r="K32" s="557"/>
      <c r="L32" s="557"/>
      <c r="M32" s="557"/>
      <c r="N32" s="557"/>
      <c r="O32" s="557"/>
      <c r="P32" s="557"/>
      <c r="Q32" s="50"/>
      <c r="R32" s="557"/>
      <c r="S32" s="557"/>
      <c r="T32" s="74"/>
      <c r="U32" s="74"/>
      <c r="V32" s="74"/>
      <c r="W32" s="74"/>
      <c r="X32" s="74"/>
      <c r="Y32" s="74"/>
      <c r="Z32" s="75"/>
      <c r="AA32" s="75"/>
      <c r="AB32" s="75"/>
      <c r="AC32" s="75"/>
      <c r="AD32" s="75"/>
      <c r="AE32" s="52"/>
      <c r="AF32" s="74"/>
      <c r="AG32" s="74"/>
      <c r="AH32" s="74"/>
      <c r="AI32" s="74"/>
      <c r="AJ32" s="74"/>
      <c r="AK32" s="74"/>
      <c r="AL32" s="75"/>
      <c r="AM32" s="75"/>
      <c r="AN32" s="76"/>
      <c r="AO32" s="74"/>
      <c r="AP32" s="74"/>
    </row>
    <row r="33" spans="1:42" x14ac:dyDescent="0.25">
      <c r="A33" s="177" t="s">
        <v>590</v>
      </c>
      <c r="B33" s="87"/>
      <c r="C33" s="166"/>
      <c r="D33" s="166"/>
      <c r="E33" s="87"/>
      <c r="F33" s="87"/>
      <c r="G33" s="556"/>
      <c r="H33" s="50"/>
      <c r="I33" s="50"/>
      <c r="J33" s="50"/>
      <c r="K33" s="557"/>
      <c r="L33" s="557"/>
      <c r="M33" s="557"/>
      <c r="N33" s="557"/>
      <c r="O33" s="557"/>
      <c r="P33" s="557"/>
      <c r="Q33" s="50"/>
      <c r="R33" s="557"/>
      <c r="S33" s="557"/>
      <c r="T33" s="74"/>
      <c r="U33" s="74"/>
      <c r="V33" s="74"/>
      <c r="W33" s="74"/>
      <c r="X33" s="74"/>
      <c r="Y33" s="74"/>
      <c r="Z33" s="75"/>
      <c r="AA33" s="75"/>
      <c r="AB33" s="75"/>
      <c r="AC33" s="75"/>
      <c r="AD33" s="75"/>
      <c r="AE33" s="52"/>
      <c r="AF33" s="74"/>
      <c r="AG33" s="74"/>
      <c r="AH33" s="74"/>
      <c r="AI33" s="74"/>
      <c r="AJ33" s="74"/>
      <c r="AK33" s="74"/>
      <c r="AL33" s="75"/>
      <c r="AM33" s="75"/>
      <c r="AN33" s="76"/>
      <c r="AO33" s="74"/>
      <c r="AP33" s="74"/>
    </row>
    <row r="34" spans="1:42" x14ac:dyDescent="0.25">
      <c r="A34" s="91" t="s">
        <v>610</v>
      </c>
      <c r="B34" s="89" t="s">
        <v>107</v>
      </c>
      <c r="C34" s="92">
        <v>2</v>
      </c>
      <c r="D34" s="90">
        <v>2015</v>
      </c>
      <c r="E34" s="90">
        <v>15</v>
      </c>
      <c r="F34" s="90">
        <v>60</v>
      </c>
      <c r="G34" s="145">
        <v>0.83610719342181306</v>
      </c>
      <c r="H34" s="145">
        <v>0.79560737551603999</v>
      </c>
      <c r="I34" s="145">
        <v>0.165670507085864</v>
      </c>
      <c r="J34" s="145">
        <v>3.18613688227605E-3</v>
      </c>
      <c r="K34" s="145">
        <v>0.138831589940137</v>
      </c>
      <c r="L34" s="56">
        <v>7.99995847163921E-3</v>
      </c>
      <c r="M34" s="56">
        <v>3.6749815577381599E-2</v>
      </c>
      <c r="N34" s="145">
        <v>0.127725080361664</v>
      </c>
      <c r="O34" s="56">
        <v>1.9999896145790402E-3</v>
      </c>
      <c r="P34" s="56">
        <v>1.57499200131354E-2</v>
      </c>
      <c r="Q34" s="145">
        <v>320.029950432367</v>
      </c>
      <c r="R34" s="56">
        <f>0.000057143*Q34</f>
        <v>1.8287471457556746E-2</v>
      </c>
      <c r="S34" s="93">
        <f>0.000025616*Q34</f>
        <v>8.1978872102755132E-3</v>
      </c>
      <c r="T34" s="59">
        <f>C34*($F34*$G34)/453.59</f>
        <v>0.22119725569482918</v>
      </c>
      <c r="U34" s="59">
        <f>C34*($F34*$H34)/453.59</f>
        <v>0.21048278194388062</v>
      </c>
      <c r="V34" s="59">
        <f>C34*(($F34*$I34))/453.59</f>
        <v>4.3829142728683795E-2</v>
      </c>
      <c r="W34" s="59">
        <f>C34*($F34*$J34)/453.59</f>
        <v>8.429119378141626E-4</v>
      </c>
      <c r="X34" s="59">
        <f>C34*(($F34*($K34+$L34+$M34)))/453.59</f>
        <v>4.8567569123435128E-2</v>
      </c>
      <c r="Y34" s="59">
        <f>C34*(($F34*($N34+$O34+$P34)))/453.59</f>
        <v>3.8486295550442938E-2</v>
      </c>
      <c r="Z34" s="59">
        <f>C34*(F34)*$B$453</f>
        <v>1.1774766399170092E-2</v>
      </c>
      <c r="AA34" s="59">
        <f>Z34*0.21</f>
        <v>2.4727009438257194E-3</v>
      </c>
      <c r="AB34" s="59">
        <f>C34*(($F34*($Q34)))/453.59</f>
        <v>84.665874582517347</v>
      </c>
      <c r="AC34" s="59">
        <f>C34*(($F34*($R34)))/453.59</f>
        <v>4.8380620712687875E-3</v>
      </c>
      <c r="AD34" s="59">
        <f>C34*(($F34*($S34)))/453.59</f>
        <v>2.1688010433057645E-3</v>
      </c>
      <c r="AE34" s="63">
        <f t="shared" ref="AE34" si="19">6*22</f>
        <v>132</v>
      </c>
      <c r="AF34" s="59">
        <f t="shared" ref="AF34:AP34" si="20">T34*$AE34/2000</f>
        <v>1.4599018875858726E-2</v>
      </c>
      <c r="AG34" s="59">
        <f t="shared" si="20"/>
        <v>1.3891863608296123E-2</v>
      </c>
      <c r="AH34" s="59">
        <f t="shared" si="20"/>
        <v>2.8927234200931307E-3</v>
      </c>
      <c r="AI34" s="59">
        <f t="shared" si="20"/>
        <v>5.563218789573473E-5</v>
      </c>
      <c r="AJ34" s="59">
        <f t="shared" si="20"/>
        <v>3.2054595621467184E-3</v>
      </c>
      <c r="AK34" s="59">
        <f t="shared" si="20"/>
        <v>2.5400955063292342E-3</v>
      </c>
      <c r="AL34" s="59">
        <f t="shared" si="20"/>
        <v>7.7713458234522604E-4</v>
      </c>
      <c r="AM34" s="59">
        <f t="shared" si="20"/>
        <v>1.6319826229249749E-4</v>
      </c>
      <c r="AN34" s="59">
        <f t="shared" si="20"/>
        <v>5.5879477224461453</v>
      </c>
      <c r="AO34" s="59">
        <f t="shared" si="20"/>
        <v>3.1931209670373999E-4</v>
      </c>
      <c r="AP34" s="59">
        <f t="shared" si="20"/>
        <v>1.4314086885818046E-4</v>
      </c>
    </row>
    <row r="35" spans="1:42" x14ac:dyDescent="0.25">
      <c r="A35" s="88" t="s">
        <v>38</v>
      </c>
      <c r="B35" s="87"/>
      <c r="C35" s="166"/>
      <c r="D35" s="166"/>
      <c r="E35" s="87"/>
      <c r="F35" s="87"/>
      <c r="G35" s="556"/>
      <c r="H35" s="50"/>
      <c r="I35" s="50"/>
      <c r="J35" s="50"/>
      <c r="K35" s="557"/>
      <c r="L35" s="557"/>
      <c r="M35" s="557"/>
      <c r="N35" s="557"/>
      <c r="O35" s="557"/>
      <c r="P35" s="557"/>
      <c r="Q35" s="50"/>
      <c r="R35" s="557"/>
      <c r="S35" s="557"/>
      <c r="T35" s="94">
        <f t="shared" ref="T35:AD35" si="21">SUM(T34:T34)</f>
        <v>0.22119725569482918</v>
      </c>
      <c r="U35" s="94">
        <f t="shared" si="21"/>
        <v>0.21048278194388062</v>
      </c>
      <c r="V35" s="94">
        <f t="shared" si="21"/>
        <v>4.3829142728683795E-2</v>
      </c>
      <c r="W35" s="94">
        <f t="shared" si="21"/>
        <v>8.429119378141626E-4</v>
      </c>
      <c r="X35" s="94">
        <f t="shared" si="21"/>
        <v>4.8567569123435128E-2</v>
      </c>
      <c r="Y35" s="94">
        <f t="shared" si="21"/>
        <v>3.8486295550442938E-2</v>
      </c>
      <c r="Z35" s="94">
        <f t="shared" si="21"/>
        <v>1.1774766399170092E-2</v>
      </c>
      <c r="AA35" s="94">
        <f t="shared" si="21"/>
        <v>2.4727009438257194E-3</v>
      </c>
      <c r="AB35" s="94">
        <f t="shared" si="21"/>
        <v>84.665874582517347</v>
      </c>
      <c r="AC35" s="94">
        <f t="shared" si="21"/>
        <v>4.8380620712687875E-3</v>
      </c>
      <c r="AD35" s="94">
        <f t="shared" si="21"/>
        <v>2.1688010433057645E-3</v>
      </c>
      <c r="AE35" s="69"/>
      <c r="AF35" s="94">
        <f t="shared" ref="AF35:AP35" si="22">SUM(AF34:AF34)</f>
        <v>1.4599018875858726E-2</v>
      </c>
      <c r="AG35" s="94">
        <f t="shared" si="22"/>
        <v>1.3891863608296123E-2</v>
      </c>
      <c r="AH35" s="94">
        <f t="shared" si="22"/>
        <v>2.8927234200931307E-3</v>
      </c>
      <c r="AI35" s="94">
        <f t="shared" si="22"/>
        <v>5.563218789573473E-5</v>
      </c>
      <c r="AJ35" s="94">
        <f t="shared" si="22"/>
        <v>3.2054595621467184E-3</v>
      </c>
      <c r="AK35" s="94">
        <f t="shared" si="22"/>
        <v>2.5400955063292342E-3</v>
      </c>
      <c r="AL35" s="94">
        <f t="shared" si="22"/>
        <v>7.7713458234522604E-4</v>
      </c>
      <c r="AM35" s="94">
        <f t="shared" si="22"/>
        <v>1.6319826229249749E-4</v>
      </c>
      <c r="AN35" s="94">
        <f t="shared" si="22"/>
        <v>5.5879477224461453</v>
      </c>
      <c r="AO35" s="94">
        <f t="shared" si="22"/>
        <v>3.1931209670373999E-4</v>
      </c>
      <c r="AP35" s="94">
        <f t="shared" si="22"/>
        <v>1.4314086885818046E-4</v>
      </c>
    </row>
    <row r="36" spans="1:42" x14ac:dyDescent="0.25">
      <c r="A36" s="561"/>
      <c r="B36" s="87"/>
      <c r="C36" s="166"/>
      <c r="D36" s="166"/>
      <c r="E36" s="87"/>
      <c r="F36" s="87"/>
      <c r="G36" s="556"/>
      <c r="H36" s="50"/>
      <c r="I36" s="50"/>
      <c r="J36" s="50"/>
      <c r="K36" s="557"/>
      <c r="L36" s="557"/>
      <c r="M36" s="557"/>
      <c r="N36" s="557"/>
      <c r="O36" s="557"/>
      <c r="P36" s="557"/>
      <c r="Q36" s="50"/>
      <c r="R36" s="557"/>
      <c r="S36" s="557"/>
      <c r="T36" s="74"/>
      <c r="U36" s="74"/>
      <c r="V36" s="74"/>
      <c r="W36" s="74"/>
      <c r="X36" s="74"/>
      <c r="Y36" s="74"/>
      <c r="Z36" s="75"/>
      <c r="AA36" s="75"/>
      <c r="AB36" s="75"/>
      <c r="AC36" s="75"/>
      <c r="AD36" s="75"/>
      <c r="AE36" s="52"/>
      <c r="AF36" s="74"/>
      <c r="AG36" s="74"/>
      <c r="AH36" s="74"/>
      <c r="AI36" s="74"/>
      <c r="AJ36" s="74"/>
      <c r="AK36" s="74"/>
      <c r="AL36" s="75"/>
      <c r="AM36" s="75"/>
      <c r="AN36" s="76"/>
      <c r="AO36" s="74"/>
      <c r="AP36" s="74"/>
    </row>
    <row r="37" spans="1:42" x14ac:dyDescent="0.25">
      <c r="A37" s="177" t="s">
        <v>591</v>
      </c>
      <c r="B37" s="87"/>
      <c r="C37" s="166"/>
      <c r="D37" s="166"/>
      <c r="E37" s="87"/>
      <c r="F37" s="87"/>
      <c r="G37" s="556"/>
      <c r="H37" s="50"/>
      <c r="I37" s="50"/>
      <c r="J37" s="50"/>
      <c r="K37" s="557"/>
      <c r="L37" s="557"/>
      <c r="M37" s="557"/>
      <c r="N37" s="557"/>
      <c r="O37" s="557"/>
      <c r="P37" s="557"/>
      <c r="Q37" s="50"/>
      <c r="R37" s="557"/>
      <c r="S37" s="557"/>
      <c r="T37" s="74"/>
      <c r="U37" s="74"/>
      <c r="V37" s="74"/>
      <c r="W37" s="74"/>
      <c r="X37" s="74"/>
      <c r="Y37" s="74"/>
      <c r="Z37" s="75"/>
      <c r="AA37" s="75"/>
      <c r="AB37" s="75"/>
      <c r="AC37" s="75"/>
      <c r="AD37" s="75"/>
      <c r="AE37" s="52"/>
      <c r="AF37" s="74"/>
      <c r="AG37" s="74"/>
      <c r="AH37" s="74"/>
      <c r="AI37" s="74"/>
      <c r="AJ37" s="74"/>
      <c r="AK37" s="74"/>
      <c r="AL37" s="75"/>
      <c r="AM37" s="75"/>
      <c r="AN37" s="76"/>
      <c r="AO37" s="74"/>
      <c r="AP37" s="74"/>
    </row>
    <row r="38" spans="1:42" x14ac:dyDescent="0.25">
      <c r="A38" s="91" t="s">
        <v>608</v>
      </c>
      <c r="B38" s="89" t="s">
        <v>107</v>
      </c>
      <c r="C38" s="92">
        <v>3</v>
      </c>
      <c r="D38" s="90">
        <v>2015</v>
      </c>
      <c r="E38" s="90">
        <v>15</v>
      </c>
      <c r="F38" s="90">
        <v>60</v>
      </c>
      <c r="G38" s="145">
        <v>0.83610719342181306</v>
      </c>
      <c r="H38" s="145">
        <v>0.79560737551603999</v>
      </c>
      <c r="I38" s="145">
        <v>0.165670507085864</v>
      </c>
      <c r="J38" s="145">
        <v>3.18613688227605E-3</v>
      </c>
      <c r="K38" s="145">
        <v>0.138831589940137</v>
      </c>
      <c r="L38" s="56">
        <v>7.99995847163921E-3</v>
      </c>
      <c r="M38" s="56">
        <v>3.6749815577381599E-2</v>
      </c>
      <c r="N38" s="145">
        <v>0.127725080361664</v>
      </c>
      <c r="O38" s="56">
        <v>1.9999896145790402E-3</v>
      </c>
      <c r="P38" s="56">
        <v>1.57499200131354E-2</v>
      </c>
      <c r="Q38" s="145">
        <v>320.029950432367</v>
      </c>
      <c r="R38" s="56">
        <f>0.000057143*Q38</f>
        <v>1.8287471457556746E-2</v>
      </c>
      <c r="S38" s="93">
        <f>0.000025616*Q38</f>
        <v>8.1978872102755132E-3</v>
      </c>
      <c r="T38" s="59">
        <f>C38*($F38*$G38)/453.59</f>
        <v>0.33179588354224376</v>
      </c>
      <c r="U38" s="59">
        <f>C38*($F38*$H38)/453.59</f>
        <v>0.31572417291582094</v>
      </c>
      <c r="V38" s="59">
        <f>C38*(($F38*$I38))/453.59</f>
        <v>6.5743714093025693E-2</v>
      </c>
      <c r="W38" s="59">
        <f>C38*($F38*$J38)/453.59</f>
        <v>1.2643679067212438E-3</v>
      </c>
      <c r="X38" s="59">
        <f>C38*(($F38*($K38+$L38+$M38)))/453.59</f>
        <v>7.2851353685152692E-2</v>
      </c>
      <c r="Y38" s="59">
        <f>C38*(($F38*($N38+$O38+$P38)))/453.59</f>
        <v>5.772944332566441E-2</v>
      </c>
      <c r="Z38" s="59">
        <f>C38*(F38)*$B$453</f>
        <v>1.7662149598755138E-2</v>
      </c>
      <c r="AA38" s="59">
        <f>Z38*0.21</f>
        <v>3.7090514157385786E-3</v>
      </c>
      <c r="AB38" s="59">
        <f>C38*(($F38*($Q38)))/453.59</f>
        <v>126.99881187377602</v>
      </c>
      <c r="AC38" s="59">
        <f>C38*(($F38*($R38)))/453.59</f>
        <v>7.2570931069031817E-3</v>
      </c>
      <c r="AD38" s="59">
        <f>C38*(($F38*($S38)))/453.59</f>
        <v>3.2532015649586465E-3</v>
      </c>
      <c r="AE38" s="63">
        <f>5*22</f>
        <v>110</v>
      </c>
      <c r="AF38" s="59">
        <f t="shared" ref="AF38:AP40" si="23">T38*$AE38/2000</f>
        <v>1.8248773594823409E-2</v>
      </c>
      <c r="AG38" s="59">
        <f t="shared" si="23"/>
        <v>1.7364829510370154E-2</v>
      </c>
      <c r="AH38" s="59">
        <f t="shared" si="23"/>
        <v>3.6159042751164132E-3</v>
      </c>
      <c r="AI38" s="59">
        <f t="shared" si="23"/>
        <v>6.9540234869668407E-5</v>
      </c>
      <c r="AJ38" s="59">
        <f t="shared" si="23"/>
        <v>4.0068244526833986E-3</v>
      </c>
      <c r="AK38" s="59">
        <f t="shared" si="23"/>
        <v>3.1751193829115424E-3</v>
      </c>
      <c r="AL38" s="59">
        <f t="shared" si="23"/>
        <v>9.7141822793153252E-4</v>
      </c>
      <c r="AM38" s="59">
        <f t="shared" si="23"/>
        <v>2.0399782786562182E-4</v>
      </c>
      <c r="AN38" s="59">
        <f t="shared" si="23"/>
        <v>6.9849346530576817</v>
      </c>
      <c r="AO38" s="59">
        <f t="shared" si="23"/>
        <v>3.9914012087967501E-4</v>
      </c>
      <c r="AP38" s="59">
        <f t="shared" si="23"/>
        <v>1.7892608607272557E-4</v>
      </c>
    </row>
    <row r="39" spans="1:42" x14ac:dyDescent="0.25">
      <c r="A39" s="91" t="s">
        <v>609</v>
      </c>
      <c r="B39" s="89" t="s">
        <v>107</v>
      </c>
      <c r="C39" s="92">
        <v>2</v>
      </c>
      <c r="D39" s="90">
        <v>2015</v>
      </c>
      <c r="E39" s="90">
        <v>15</v>
      </c>
      <c r="F39" s="90">
        <v>60</v>
      </c>
      <c r="G39" s="145">
        <v>0.83610719342181306</v>
      </c>
      <c r="H39" s="145">
        <v>0.79560737551603999</v>
      </c>
      <c r="I39" s="145">
        <v>0.165670507085864</v>
      </c>
      <c r="J39" s="145">
        <v>3.18613688227605E-3</v>
      </c>
      <c r="K39" s="145">
        <v>0.138831589940137</v>
      </c>
      <c r="L39" s="56">
        <v>7.99995847163921E-3</v>
      </c>
      <c r="M39" s="56">
        <v>3.6749815577381599E-2</v>
      </c>
      <c r="N39" s="145">
        <v>0.127725080361664</v>
      </c>
      <c r="O39" s="56">
        <v>1.9999896145790402E-3</v>
      </c>
      <c r="P39" s="56">
        <v>1.57499200131354E-2</v>
      </c>
      <c r="Q39" s="145">
        <v>320.029950432367</v>
      </c>
      <c r="R39" s="56">
        <f>0.000057143*Q39</f>
        <v>1.8287471457556746E-2</v>
      </c>
      <c r="S39" s="93">
        <f>0.000025616*Q39</f>
        <v>8.1978872102755132E-3</v>
      </c>
      <c r="T39" s="59">
        <f>C39*($F39*$G39)/453.59</f>
        <v>0.22119725569482918</v>
      </c>
      <c r="U39" s="59">
        <f>C39*($F39*$H39)/453.59</f>
        <v>0.21048278194388062</v>
      </c>
      <c r="V39" s="59">
        <f>C39*(($F39*$I39))/453.59</f>
        <v>4.3829142728683795E-2</v>
      </c>
      <c r="W39" s="59">
        <f>C39*($F39*$J39)/453.59</f>
        <v>8.429119378141626E-4</v>
      </c>
      <c r="X39" s="59">
        <f>C39*(($F39*($K39+$L39+$M39)))/453.59</f>
        <v>4.8567569123435128E-2</v>
      </c>
      <c r="Y39" s="59">
        <f>C39*(($F39*($N39+$O39+$P39)))/453.59</f>
        <v>3.8486295550442938E-2</v>
      </c>
      <c r="Z39" s="59">
        <f>C39*(F39)*$B$453</f>
        <v>1.1774766399170092E-2</v>
      </c>
      <c r="AA39" s="59">
        <f>Z39*0.21</f>
        <v>2.4727009438257194E-3</v>
      </c>
      <c r="AB39" s="59">
        <f>C39*(($F39*($Q39)))/453.59</f>
        <v>84.665874582517347</v>
      </c>
      <c r="AC39" s="59">
        <f>C39*(($F39*($R39)))/453.59</f>
        <v>4.8380620712687875E-3</v>
      </c>
      <c r="AD39" s="59">
        <f>C39*(($F39*($S39)))/453.59</f>
        <v>2.1688010433057645E-3</v>
      </c>
      <c r="AE39" s="63">
        <f>5*22</f>
        <v>110</v>
      </c>
      <c r="AF39" s="59">
        <f t="shared" si="23"/>
        <v>1.2165849063215604E-2</v>
      </c>
      <c r="AG39" s="59">
        <f t="shared" si="23"/>
        <v>1.1576553006913433E-2</v>
      </c>
      <c r="AH39" s="59">
        <f t="shared" si="23"/>
        <v>2.4106028500776085E-3</v>
      </c>
      <c r="AI39" s="59">
        <f t="shared" si="23"/>
        <v>4.6360156579778938E-5</v>
      </c>
      <c r="AJ39" s="59">
        <f t="shared" si="23"/>
        <v>2.6712163017889321E-3</v>
      </c>
      <c r="AK39" s="59">
        <f t="shared" si="23"/>
        <v>2.1167462552743616E-3</v>
      </c>
      <c r="AL39" s="59">
        <f t="shared" si="23"/>
        <v>6.4761215195435502E-4</v>
      </c>
      <c r="AM39" s="59">
        <f t="shared" si="23"/>
        <v>1.3599855191041458E-4</v>
      </c>
      <c r="AN39" s="59">
        <f t="shared" si="23"/>
        <v>4.6566231020384539</v>
      </c>
      <c r="AO39" s="59">
        <f t="shared" si="23"/>
        <v>2.6609341391978328E-4</v>
      </c>
      <c r="AP39" s="59">
        <f t="shared" si="23"/>
        <v>1.1928405738181705E-4</v>
      </c>
    </row>
    <row r="40" spans="1:42" x14ac:dyDescent="0.25">
      <c r="A40" s="91" t="s">
        <v>157</v>
      </c>
      <c r="B40" s="89" t="s">
        <v>128</v>
      </c>
      <c r="C40" s="90">
        <v>5</v>
      </c>
      <c r="D40" s="90">
        <v>2015</v>
      </c>
      <c r="E40" s="90">
        <v>35</v>
      </c>
      <c r="F40" s="90">
        <v>80</v>
      </c>
      <c r="G40" s="145">
        <v>1.1475010375994501</v>
      </c>
      <c r="H40" s="145">
        <v>6.1597902567033698</v>
      </c>
      <c r="I40" s="145">
        <v>0.27527412390358202</v>
      </c>
      <c r="J40" s="145">
        <v>1.0711818E-2</v>
      </c>
      <c r="K40" s="145">
        <v>7.9574350742464495E-2</v>
      </c>
      <c r="L40" s="567">
        <v>3.5999811999999999E-2</v>
      </c>
      <c r="M40" s="567">
        <v>6.1739677E-2</v>
      </c>
      <c r="N40" s="145">
        <v>7.32084026830674E-2</v>
      </c>
      <c r="O40" s="567">
        <v>8.9999529999999998E-3</v>
      </c>
      <c r="P40" s="567">
        <v>2.6459862000000001E-2</v>
      </c>
      <c r="Q40" s="145">
        <v>1735.6021746639301</v>
      </c>
      <c r="R40" s="56">
        <f>0.000057143*Q40</f>
        <v>9.9177515066820959E-2</v>
      </c>
      <c r="S40" s="93">
        <f>0.000025616*Q40</f>
        <v>4.445918530619123E-2</v>
      </c>
      <c r="T40" s="59">
        <f>C40*($F40*$G40)/453.59</f>
        <v>1.0119279857134857</v>
      </c>
      <c r="U40" s="59">
        <f>C40*($F40*$H40)/453.59</f>
        <v>5.432033560443017</v>
      </c>
      <c r="V40" s="59">
        <f>C40*(($F40*$I40))/453.59</f>
        <v>0.24275149267275034</v>
      </c>
      <c r="W40" s="59">
        <f>C40*($F40*$J40)/453.59</f>
        <v>9.4462558698383998E-3</v>
      </c>
      <c r="X40" s="59">
        <f>C40*(($F40*($K40+$L40+$M40)))/453.59</f>
        <v>0.15636485790468441</v>
      </c>
      <c r="Y40" s="59">
        <f>C40*(($F40*($N40+$O40+$P40)))/453.59</f>
        <v>9.5829465096732652E-2</v>
      </c>
      <c r="Z40" s="59">
        <f>C40*(F40)*$B$453</f>
        <v>3.924922133056697E-2</v>
      </c>
      <c r="AA40" s="59">
        <f>Z40*0.21</f>
        <v>8.2423364794190629E-3</v>
      </c>
      <c r="AB40" s="59">
        <f>C40*(($F40*($Q40)))/453.59</f>
        <v>1530.5471237583988</v>
      </c>
      <c r="AC40" s="59">
        <f>C40*(($F40*($R40)))/453.59</f>
        <v>8.7460054292926165E-2</v>
      </c>
      <c r="AD40" s="59">
        <f>C40*(($F40*($S40)))/453.59</f>
        <v>3.9206495122195137E-2</v>
      </c>
      <c r="AE40" s="63">
        <f t="shared" ref="AE40" si="24">5*22</f>
        <v>110</v>
      </c>
      <c r="AF40" s="59">
        <f t="shared" si="23"/>
        <v>5.5656039214241719E-2</v>
      </c>
      <c r="AG40" s="59">
        <f t="shared" si="23"/>
        <v>0.29876184582436593</v>
      </c>
      <c r="AH40" s="59">
        <f t="shared" si="23"/>
        <v>1.3351332097001269E-2</v>
      </c>
      <c r="AI40" s="59">
        <f t="shared" si="23"/>
        <v>5.1954407284111209E-4</v>
      </c>
      <c r="AJ40" s="59">
        <f t="shared" si="23"/>
        <v>8.6000671847576426E-3</v>
      </c>
      <c r="AK40" s="59">
        <f t="shared" si="23"/>
        <v>5.2706205803202963E-3</v>
      </c>
      <c r="AL40" s="59">
        <f t="shared" si="23"/>
        <v>2.1587071731811835E-3</v>
      </c>
      <c r="AM40" s="59">
        <f t="shared" si="23"/>
        <v>4.5332850636804842E-4</v>
      </c>
      <c r="AN40" s="59">
        <f t="shared" si="23"/>
        <v>84.180091806711928</v>
      </c>
      <c r="AO40" s="59">
        <f t="shared" si="23"/>
        <v>4.8103029861109384E-3</v>
      </c>
      <c r="AP40" s="59">
        <f t="shared" si="23"/>
        <v>2.1563572317207327E-3</v>
      </c>
    </row>
    <row r="41" spans="1:42" x14ac:dyDescent="0.25">
      <c r="A41" s="88" t="s">
        <v>38</v>
      </c>
      <c r="B41" s="87"/>
      <c r="C41" s="166"/>
      <c r="D41" s="166"/>
      <c r="E41" s="87"/>
      <c r="F41" s="87"/>
      <c r="G41" s="556"/>
      <c r="H41" s="50"/>
      <c r="I41" s="50"/>
      <c r="J41" s="50"/>
      <c r="K41" s="557"/>
      <c r="L41" s="557"/>
      <c r="M41" s="557"/>
      <c r="N41" s="557"/>
      <c r="O41" s="557"/>
      <c r="P41" s="557"/>
      <c r="Q41" s="50"/>
      <c r="R41" s="557"/>
      <c r="S41" s="557"/>
      <c r="T41" s="94">
        <f t="shared" ref="T41:AD41" si="25">SUM(T38:T40)</f>
        <v>1.5649211249505588</v>
      </c>
      <c r="U41" s="94">
        <f t="shared" si="25"/>
        <v>5.9582405153027187</v>
      </c>
      <c r="V41" s="94">
        <f t="shared" si="25"/>
        <v>0.35232434949445984</v>
      </c>
      <c r="W41" s="94">
        <f t="shared" si="25"/>
        <v>1.1553535714373807E-2</v>
      </c>
      <c r="X41" s="94">
        <f t="shared" si="25"/>
        <v>0.27778378071327225</v>
      </c>
      <c r="Y41" s="94">
        <f t="shared" si="25"/>
        <v>0.19204520397284</v>
      </c>
      <c r="Z41" s="94">
        <f t="shared" si="25"/>
        <v>6.86861373284922E-2</v>
      </c>
      <c r="AA41" s="94">
        <f t="shared" si="25"/>
        <v>1.442408883898336E-2</v>
      </c>
      <c r="AB41" s="94">
        <f t="shared" si="25"/>
        <v>1742.2118102146922</v>
      </c>
      <c r="AC41" s="94">
        <f t="shared" si="25"/>
        <v>9.9555209471098138E-2</v>
      </c>
      <c r="AD41" s="94">
        <f t="shared" si="25"/>
        <v>4.462849773045955E-2</v>
      </c>
      <c r="AE41" s="69"/>
      <c r="AF41" s="94">
        <f t="shared" ref="AF41:AP41" si="26">SUM(AF38:AF40)</f>
        <v>8.607066187228074E-2</v>
      </c>
      <c r="AG41" s="94">
        <f t="shared" si="26"/>
        <v>0.3277032283416495</v>
      </c>
      <c r="AH41" s="94">
        <f t="shared" si="26"/>
        <v>1.9377839222195291E-2</v>
      </c>
      <c r="AI41" s="94">
        <f t="shared" si="26"/>
        <v>6.3544446429055943E-4</v>
      </c>
      <c r="AJ41" s="94">
        <f t="shared" si="26"/>
        <v>1.5278107939229974E-2</v>
      </c>
      <c r="AK41" s="94">
        <f t="shared" si="26"/>
        <v>1.05624862185062E-2</v>
      </c>
      <c r="AL41" s="94">
        <f t="shared" si="26"/>
        <v>3.7777375530670711E-3</v>
      </c>
      <c r="AM41" s="94">
        <f t="shared" si="26"/>
        <v>7.9332488614408485E-4</v>
      </c>
      <c r="AN41" s="94">
        <f t="shared" si="26"/>
        <v>95.821649561808059</v>
      </c>
      <c r="AO41" s="94">
        <f t="shared" si="26"/>
        <v>5.4755365209103969E-3</v>
      </c>
      <c r="AP41" s="94">
        <f t="shared" si="26"/>
        <v>2.4545673751752753E-3</v>
      </c>
    </row>
    <row r="42" spans="1:42" x14ac:dyDescent="0.25">
      <c r="A42" s="561"/>
      <c r="B42" s="87"/>
      <c r="C42" s="166"/>
      <c r="D42" s="166"/>
      <c r="E42" s="87"/>
      <c r="F42" s="87"/>
      <c r="G42" s="556"/>
      <c r="H42" s="50"/>
      <c r="I42" s="50"/>
      <c r="J42" s="50"/>
      <c r="K42" s="557"/>
      <c r="L42" s="557"/>
      <c r="M42" s="557"/>
      <c r="N42" s="557"/>
      <c r="O42" s="557"/>
      <c r="P42" s="557"/>
      <c r="Q42" s="50"/>
      <c r="R42" s="557"/>
      <c r="S42" s="557"/>
      <c r="T42" s="74"/>
      <c r="U42" s="74"/>
      <c r="V42" s="74"/>
      <c r="W42" s="74"/>
      <c r="X42" s="74"/>
      <c r="Y42" s="74"/>
      <c r="Z42" s="75"/>
      <c r="AA42" s="75"/>
      <c r="AB42" s="75"/>
      <c r="AC42" s="75"/>
      <c r="AD42" s="75"/>
      <c r="AE42" s="52"/>
      <c r="AF42" s="74"/>
      <c r="AG42" s="74"/>
      <c r="AH42" s="74"/>
      <c r="AI42" s="74"/>
      <c r="AJ42" s="74"/>
      <c r="AK42" s="74"/>
      <c r="AL42" s="75"/>
      <c r="AM42" s="75"/>
      <c r="AN42" s="76"/>
      <c r="AO42" s="74"/>
      <c r="AP42" s="74"/>
    </row>
    <row r="43" spans="1:42" x14ac:dyDescent="0.25">
      <c r="A43" s="177" t="s">
        <v>592</v>
      </c>
      <c r="B43" s="87"/>
      <c r="C43" s="166"/>
      <c r="D43" s="166"/>
      <c r="E43" s="87"/>
      <c r="F43" s="87"/>
      <c r="G43" s="556"/>
      <c r="H43" s="50"/>
      <c r="I43" s="50"/>
      <c r="J43" s="50"/>
      <c r="K43" s="557"/>
      <c r="L43" s="557"/>
      <c r="M43" s="557"/>
      <c r="N43" s="557"/>
      <c r="O43" s="557"/>
      <c r="P43" s="557"/>
      <c r="Q43" s="50"/>
      <c r="R43" s="557"/>
      <c r="S43" s="557"/>
      <c r="T43" s="74"/>
      <c r="U43" s="74"/>
      <c r="V43" s="74"/>
      <c r="W43" s="74"/>
      <c r="X43" s="74"/>
      <c r="Y43" s="74"/>
      <c r="Z43" s="75"/>
      <c r="AA43" s="75"/>
      <c r="AB43" s="75"/>
      <c r="AC43" s="75"/>
      <c r="AD43" s="75"/>
      <c r="AE43" s="52"/>
      <c r="AF43" s="74"/>
      <c r="AG43" s="74"/>
      <c r="AH43" s="74"/>
      <c r="AI43" s="74"/>
      <c r="AJ43" s="74"/>
      <c r="AK43" s="74"/>
      <c r="AL43" s="75"/>
      <c r="AM43" s="75"/>
      <c r="AN43" s="76"/>
      <c r="AO43" s="74"/>
      <c r="AP43" s="74"/>
    </row>
    <row r="44" spans="1:42" x14ac:dyDescent="0.25">
      <c r="A44" s="91" t="s">
        <v>610</v>
      </c>
      <c r="B44" s="89" t="s">
        <v>107</v>
      </c>
      <c r="C44" s="92">
        <v>2</v>
      </c>
      <c r="D44" s="90">
        <v>2015</v>
      </c>
      <c r="E44" s="90">
        <v>15</v>
      </c>
      <c r="F44" s="90">
        <v>60</v>
      </c>
      <c r="G44" s="145">
        <v>0.83610719342181306</v>
      </c>
      <c r="H44" s="145">
        <v>0.79560737551603999</v>
      </c>
      <c r="I44" s="145">
        <v>0.165670507085864</v>
      </c>
      <c r="J44" s="145">
        <v>3.18613688227605E-3</v>
      </c>
      <c r="K44" s="145">
        <v>0.138831589940137</v>
      </c>
      <c r="L44" s="56">
        <v>7.99995847163921E-3</v>
      </c>
      <c r="M44" s="56">
        <v>3.6749815577381599E-2</v>
      </c>
      <c r="N44" s="145">
        <v>0.127725080361664</v>
      </c>
      <c r="O44" s="56">
        <v>1.9999896145790402E-3</v>
      </c>
      <c r="P44" s="56">
        <v>1.57499200131354E-2</v>
      </c>
      <c r="Q44" s="145">
        <v>320.029950432367</v>
      </c>
      <c r="R44" s="56">
        <f>0.000057143*Q44</f>
        <v>1.8287471457556746E-2</v>
      </c>
      <c r="S44" s="93">
        <f>0.000025616*Q44</f>
        <v>8.1978872102755132E-3</v>
      </c>
      <c r="T44" s="59">
        <f>C44*($F44*$G44)/453.59</f>
        <v>0.22119725569482918</v>
      </c>
      <c r="U44" s="59">
        <f>C44*($F44*$H44)/453.59</f>
        <v>0.21048278194388062</v>
      </c>
      <c r="V44" s="59">
        <f>C44*(($F44*$I44))/453.59</f>
        <v>4.3829142728683795E-2</v>
      </c>
      <c r="W44" s="59">
        <f>C44*($F44*$J44)/453.59</f>
        <v>8.429119378141626E-4</v>
      </c>
      <c r="X44" s="59">
        <f>C44*(($F44*($K44+$L44+$M44)))/453.59</f>
        <v>4.8567569123435128E-2</v>
      </c>
      <c r="Y44" s="59">
        <f>C44*(($F44*($N44+$O44+$P44)))/453.59</f>
        <v>3.8486295550442938E-2</v>
      </c>
      <c r="Z44" s="59">
        <f>C44*(F44)*$B$453</f>
        <v>1.1774766399170092E-2</v>
      </c>
      <c r="AA44" s="59">
        <f>Z44*0.21</f>
        <v>2.4727009438257194E-3</v>
      </c>
      <c r="AB44" s="59">
        <f>C44*(($F44*($Q44)))/453.59</f>
        <v>84.665874582517347</v>
      </c>
      <c r="AC44" s="59">
        <f>C44*(($F44*($R44)))/453.59</f>
        <v>4.8380620712687875E-3</v>
      </c>
      <c r="AD44" s="59">
        <f>C44*(($F44*($S44)))/453.59</f>
        <v>2.1688010433057645E-3</v>
      </c>
      <c r="AE44" s="63">
        <f>2*22</f>
        <v>44</v>
      </c>
      <c r="AF44" s="59">
        <f t="shared" ref="AF44:AP44" si="27">T44*$AE44/2000</f>
        <v>4.866339625286242E-3</v>
      </c>
      <c r="AG44" s="59">
        <f t="shared" si="27"/>
        <v>4.6306212027653736E-3</v>
      </c>
      <c r="AH44" s="59">
        <f t="shared" si="27"/>
        <v>9.6424114003104352E-4</v>
      </c>
      <c r="AI44" s="59">
        <f t="shared" si="27"/>
        <v>1.854406263191158E-5</v>
      </c>
      <c r="AJ44" s="59">
        <f t="shared" si="27"/>
        <v>1.0684865207155729E-3</v>
      </c>
      <c r="AK44" s="59">
        <f t="shared" si="27"/>
        <v>8.4669850210974463E-4</v>
      </c>
      <c r="AL44" s="59">
        <f t="shared" si="27"/>
        <v>2.5904486078174205E-4</v>
      </c>
      <c r="AM44" s="59">
        <f t="shared" si="27"/>
        <v>5.4399420764165824E-5</v>
      </c>
      <c r="AN44" s="59">
        <f t="shared" si="27"/>
        <v>1.8626492408153816</v>
      </c>
      <c r="AO44" s="59">
        <f t="shared" si="27"/>
        <v>1.0643736556791331E-4</v>
      </c>
      <c r="AP44" s="59">
        <f t="shared" si="27"/>
        <v>4.771362295272682E-5</v>
      </c>
    </row>
    <row r="45" spans="1:42" x14ac:dyDescent="0.25">
      <c r="A45" s="88" t="s">
        <v>38</v>
      </c>
      <c r="B45" s="87"/>
      <c r="C45" s="166"/>
      <c r="D45" s="166"/>
      <c r="E45" s="87"/>
      <c r="F45" s="87"/>
      <c r="G45" s="556"/>
      <c r="H45" s="50"/>
      <c r="I45" s="50"/>
      <c r="J45" s="50"/>
      <c r="K45" s="557"/>
      <c r="L45" s="557"/>
      <c r="M45" s="557"/>
      <c r="N45" s="557"/>
      <c r="O45" s="557"/>
      <c r="P45" s="557"/>
      <c r="Q45" s="50"/>
      <c r="R45" s="557"/>
      <c r="S45" s="557"/>
      <c r="T45" s="94">
        <f>T44</f>
        <v>0.22119725569482918</v>
      </c>
      <c r="U45" s="94">
        <f t="shared" ref="U45:AD45" si="28">U44</f>
        <v>0.21048278194388062</v>
      </c>
      <c r="V45" s="94">
        <f t="shared" si="28"/>
        <v>4.3829142728683795E-2</v>
      </c>
      <c r="W45" s="94">
        <f t="shared" si="28"/>
        <v>8.429119378141626E-4</v>
      </c>
      <c r="X45" s="94">
        <f t="shared" si="28"/>
        <v>4.8567569123435128E-2</v>
      </c>
      <c r="Y45" s="94">
        <f t="shared" si="28"/>
        <v>3.8486295550442938E-2</v>
      </c>
      <c r="Z45" s="94">
        <f t="shared" si="28"/>
        <v>1.1774766399170092E-2</v>
      </c>
      <c r="AA45" s="94">
        <f t="shared" si="28"/>
        <v>2.4727009438257194E-3</v>
      </c>
      <c r="AB45" s="94">
        <f t="shared" si="28"/>
        <v>84.665874582517347</v>
      </c>
      <c r="AC45" s="94">
        <f t="shared" si="28"/>
        <v>4.8380620712687875E-3</v>
      </c>
      <c r="AD45" s="94">
        <f t="shared" si="28"/>
        <v>2.1688010433057645E-3</v>
      </c>
      <c r="AE45" s="69"/>
      <c r="AF45" s="94">
        <f>AF44</f>
        <v>4.866339625286242E-3</v>
      </c>
      <c r="AG45" s="94">
        <f t="shared" ref="AG45:AP45" si="29">AG44</f>
        <v>4.6306212027653736E-3</v>
      </c>
      <c r="AH45" s="94">
        <f t="shared" si="29"/>
        <v>9.6424114003104352E-4</v>
      </c>
      <c r="AI45" s="94">
        <f t="shared" si="29"/>
        <v>1.854406263191158E-5</v>
      </c>
      <c r="AJ45" s="94">
        <f t="shared" si="29"/>
        <v>1.0684865207155729E-3</v>
      </c>
      <c r="AK45" s="94">
        <f t="shared" si="29"/>
        <v>8.4669850210974463E-4</v>
      </c>
      <c r="AL45" s="94">
        <f t="shared" si="29"/>
        <v>2.5904486078174205E-4</v>
      </c>
      <c r="AM45" s="94">
        <f t="shared" si="29"/>
        <v>5.4399420764165824E-5</v>
      </c>
      <c r="AN45" s="94">
        <f t="shared" si="29"/>
        <v>1.8626492408153816</v>
      </c>
      <c r="AO45" s="94">
        <f t="shared" si="29"/>
        <v>1.0643736556791331E-4</v>
      </c>
      <c r="AP45" s="94">
        <f t="shared" si="29"/>
        <v>4.771362295272682E-5</v>
      </c>
    </row>
    <row r="46" spans="1:42" x14ac:dyDescent="0.25">
      <c r="A46" s="561"/>
      <c r="B46" s="87"/>
      <c r="C46" s="166"/>
      <c r="D46" s="166"/>
      <c r="E46" s="87"/>
      <c r="F46" s="87"/>
      <c r="G46" s="556"/>
      <c r="H46" s="50"/>
      <c r="I46" s="50"/>
      <c r="J46" s="50"/>
      <c r="K46" s="557"/>
      <c r="L46" s="557"/>
      <c r="M46" s="557"/>
      <c r="N46" s="557"/>
      <c r="O46" s="557"/>
      <c r="P46" s="557"/>
      <c r="Q46" s="50"/>
      <c r="R46" s="557"/>
      <c r="S46" s="557"/>
      <c r="T46" s="74"/>
      <c r="U46" s="74"/>
      <c r="V46" s="74"/>
      <c r="W46" s="74"/>
      <c r="X46" s="74"/>
      <c r="Y46" s="74"/>
      <c r="Z46" s="75"/>
      <c r="AA46" s="75"/>
      <c r="AB46" s="75"/>
      <c r="AC46" s="75"/>
      <c r="AD46" s="75"/>
      <c r="AE46" s="52"/>
      <c r="AF46" s="74"/>
      <c r="AG46" s="74"/>
      <c r="AH46" s="74"/>
      <c r="AI46" s="74"/>
      <c r="AJ46" s="74"/>
      <c r="AK46" s="74"/>
      <c r="AL46" s="75"/>
      <c r="AM46" s="75"/>
      <c r="AN46" s="76"/>
      <c r="AO46" s="74"/>
      <c r="AP46" s="74"/>
    </row>
    <row r="47" spans="1:42" x14ac:dyDescent="0.25">
      <c r="A47" s="577" t="s">
        <v>593</v>
      </c>
      <c r="B47" s="89"/>
      <c r="C47" s="90"/>
      <c r="D47" s="90"/>
      <c r="E47" s="90"/>
      <c r="F47" s="90"/>
      <c r="G47" s="559"/>
      <c r="H47" s="56"/>
      <c r="I47" s="559"/>
      <c r="J47" s="64"/>
      <c r="K47" s="48"/>
      <c r="L47" s="48"/>
      <c r="M47" s="48"/>
      <c r="N47" s="48"/>
      <c r="O47" s="48"/>
      <c r="P47" s="48"/>
      <c r="Q47" s="64"/>
      <c r="R47" s="64"/>
      <c r="S47" s="64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69"/>
      <c r="AF47" s="48"/>
      <c r="AG47" s="48"/>
      <c r="AH47" s="48"/>
      <c r="AI47" s="48"/>
      <c r="AJ47" s="48"/>
      <c r="AK47" s="48"/>
      <c r="AL47" s="48"/>
      <c r="AM47" s="48"/>
      <c r="AN47" s="69"/>
      <c r="AO47" s="48"/>
      <c r="AP47" s="48"/>
    </row>
    <row r="48" spans="1:42" x14ac:dyDescent="0.25">
      <c r="A48" s="91" t="s">
        <v>610</v>
      </c>
      <c r="B48" s="89" t="s">
        <v>107</v>
      </c>
      <c r="C48" s="92">
        <v>2</v>
      </c>
      <c r="D48" s="90">
        <v>2015</v>
      </c>
      <c r="E48" s="90">
        <v>15</v>
      </c>
      <c r="F48" s="90">
        <v>60</v>
      </c>
      <c r="G48" s="145">
        <v>0.83610719342181306</v>
      </c>
      <c r="H48" s="145">
        <v>0.79560737551603999</v>
      </c>
      <c r="I48" s="145">
        <v>0.165670507085864</v>
      </c>
      <c r="J48" s="145">
        <v>3.18613688227605E-3</v>
      </c>
      <c r="K48" s="145">
        <v>0.138831589940137</v>
      </c>
      <c r="L48" s="56">
        <v>7.99995847163921E-3</v>
      </c>
      <c r="M48" s="56">
        <v>3.6749815577381599E-2</v>
      </c>
      <c r="N48" s="145">
        <v>0.127725080361664</v>
      </c>
      <c r="O48" s="56">
        <v>1.9999896145790402E-3</v>
      </c>
      <c r="P48" s="56">
        <v>1.57499200131354E-2</v>
      </c>
      <c r="Q48" s="145">
        <v>320.029950432367</v>
      </c>
      <c r="R48" s="56">
        <f>0.000057143*Q48</f>
        <v>1.8287471457556746E-2</v>
      </c>
      <c r="S48" s="93">
        <f>0.000025616*Q48</f>
        <v>8.1978872102755132E-3</v>
      </c>
      <c r="T48" s="59">
        <f>C48*($F48*$G48)/453.59</f>
        <v>0.22119725569482918</v>
      </c>
      <c r="U48" s="59">
        <f>C48*($F48*$H48)/453.59</f>
        <v>0.21048278194388062</v>
      </c>
      <c r="V48" s="59">
        <f>C48*(($F48*$I48))/453.59</f>
        <v>4.3829142728683795E-2</v>
      </c>
      <c r="W48" s="59">
        <f>C48*($F48*$J48)/453.59</f>
        <v>8.429119378141626E-4</v>
      </c>
      <c r="X48" s="59">
        <f>C48*(($F48*($K48+$L48+$M48)))/453.59</f>
        <v>4.8567569123435128E-2</v>
      </c>
      <c r="Y48" s="59">
        <f>C48*(($F48*($N48+$O48+$P48)))/453.59</f>
        <v>3.8486295550442938E-2</v>
      </c>
      <c r="Z48" s="59">
        <f>C48*(F48)*$B$453</f>
        <v>1.1774766399170092E-2</v>
      </c>
      <c r="AA48" s="59">
        <f>Z48*0.21</f>
        <v>2.4727009438257194E-3</v>
      </c>
      <c r="AB48" s="59">
        <f>C48*(($F48*($Q48)))/453.59</f>
        <v>84.665874582517347</v>
      </c>
      <c r="AC48" s="59">
        <f>C48*(($F48*($R48)))/453.59</f>
        <v>4.8380620712687875E-3</v>
      </c>
      <c r="AD48" s="59">
        <f>C48*(($F48*($S48)))/453.59</f>
        <v>2.1688010433057645E-3</v>
      </c>
      <c r="AE48" s="63">
        <f>2*22</f>
        <v>44</v>
      </c>
      <c r="AF48" s="59">
        <f t="shared" ref="AF48:AP48" si="30">T48*$AE48/2000</f>
        <v>4.866339625286242E-3</v>
      </c>
      <c r="AG48" s="59">
        <f t="shared" si="30"/>
        <v>4.6306212027653736E-3</v>
      </c>
      <c r="AH48" s="59">
        <f t="shared" si="30"/>
        <v>9.6424114003104352E-4</v>
      </c>
      <c r="AI48" s="59">
        <f t="shared" si="30"/>
        <v>1.854406263191158E-5</v>
      </c>
      <c r="AJ48" s="59">
        <f t="shared" si="30"/>
        <v>1.0684865207155729E-3</v>
      </c>
      <c r="AK48" s="59">
        <f t="shared" si="30"/>
        <v>8.4669850210974463E-4</v>
      </c>
      <c r="AL48" s="59">
        <f t="shared" si="30"/>
        <v>2.5904486078174205E-4</v>
      </c>
      <c r="AM48" s="59">
        <f t="shared" si="30"/>
        <v>5.4399420764165824E-5</v>
      </c>
      <c r="AN48" s="59">
        <f t="shared" si="30"/>
        <v>1.8626492408153816</v>
      </c>
      <c r="AO48" s="59">
        <f t="shared" si="30"/>
        <v>1.0643736556791331E-4</v>
      </c>
      <c r="AP48" s="59">
        <f t="shared" si="30"/>
        <v>4.771362295272682E-5</v>
      </c>
    </row>
    <row r="49" spans="1:42" x14ac:dyDescent="0.25">
      <c r="A49" s="88" t="s">
        <v>38</v>
      </c>
      <c r="B49" s="89"/>
      <c r="C49" s="90"/>
      <c r="D49" s="90"/>
      <c r="E49" s="90"/>
      <c r="F49" s="90"/>
      <c r="G49" s="559"/>
      <c r="H49" s="57"/>
      <c r="I49" s="559"/>
      <c r="J49" s="139"/>
      <c r="K49" s="48"/>
      <c r="L49" s="48"/>
      <c r="M49" s="48"/>
      <c r="N49" s="48"/>
      <c r="O49" s="48"/>
      <c r="P49" s="48"/>
      <c r="Q49" s="139"/>
      <c r="R49" s="64"/>
      <c r="S49" s="64"/>
      <c r="T49" s="94">
        <f t="shared" ref="T49:AD49" si="31">SUM(T48:T48)</f>
        <v>0.22119725569482918</v>
      </c>
      <c r="U49" s="94">
        <f t="shared" si="31"/>
        <v>0.21048278194388062</v>
      </c>
      <c r="V49" s="94">
        <f t="shared" si="31"/>
        <v>4.3829142728683795E-2</v>
      </c>
      <c r="W49" s="94">
        <f t="shared" si="31"/>
        <v>8.429119378141626E-4</v>
      </c>
      <c r="X49" s="94">
        <f t="shared" si="31"/>
        <v>4.8567569123435128E-2</v>
      </c>
      <c r="Y49" s="94">
        <f t="shared" si="31"/>
        <v>3.8486295550442938E-2</v>
      </c>
      <c r="Z49" s="94">
        <f t="shared" si="31"/>
        <v>1.1774766399170092E-2</v>
      </c>
      <c r="AA49" s="94">
        <f t="shared" si="31"/>
        <v>2.4727009438257194E-3</v>
      </c>
      <c r="AB49" s="94">
        <f t="shared" si="31"/>
        <v>84.665874582517347</v>
      </c>
      <c r="AC49" s="94">
        <f t="shared" si="31"/>
        <v>4.8380620712687875E-3</v>
      </c>
      <c r="AD49" s="94">
        <f t="shared" si="31"/>
        <v>2.1688010433057645E-3</v>
      </c>
      <c r="AE49" s="69"/>
      <c r="AF49" s="95">
        <f t="shared" ref="AF49:AP49" si="32">SUM(AF48:AF48)</f>
        <v>4.866339625286242E-3</v>
      </c>
      <c r="AG49" s="95">
        <f t="shared" si="32"/>
        <v>4.6306212027653736E-3</v>
      </c>
      <c r="AH49" s="95">
        <f t="shared" si="32"/>
        <v>9.6424114003104352E-4</v>
      </c>
      <c r="AI49" s="95">
        <f t="shared" si="32"/>
        <v>1.854406263191158E-5</v>
      </c>
      <c r="AJ49" s="95">
        <f t="shared" si="32"/>
        <v>1.0684865207155729E-3</v>
      </c>
      <c r="AK49" s="95">
        <f t="shared" si="32"/>
        <v>8.4669850210974463E-4</v>
      </c>
      <c r="AL49" s="95">
        <f t="shared" si="32"/>
        <v>2.5904486078174205E-4</v>
      </c>
      <c r="AM49" s="95">
        <f t="shared" si="32"/>
        <v>5.4399420764165824E-5</v>
      </c>
      <c r="AN49" s="95">
        <f t="shared" si="32"/>
        <v>1.8626492408153816</v>
      </c>
      <c r="AO49" s="95">
        <f t="shared" si="32"/>
        <v>1.0643736556791331E-4</v>
      </c>
      <c r="AP49" s="95">
        <f t="shared" si="32"/>
        <v>4.771362295272682E-5</v>
      </c>
    </row>
    <row r="50" spans="1:42" x14ac:dyDescent="0.25">
      <c r="A50" s="88"/>
      <c r="B50" s="89"/>
      <c r="C50" s="90"/>
      <c r="D50" s="90"/>
      <c r="E50" s="90"/>
      <c r="F50" s="90"/>
      <c r="G50" s="559"/>
      <c r="H50" s="57"/>
      <c r="I50" s="559"/>
      <c r="J50" s="139"/>
      <c r="K50" s="48"/>
      <c r="L50" s="48"/>
      <c r="M50" s="48"/>
      <c r="N50" s="48"/>
      <c r="O50" s="48"/>
      <c r="P50" s="48"/>
      <c r="Q50" s="139"/>
      <c r="R50" s="64"/>
      <c r="S50" s="64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69"/>
      <c r="AF50" s="95"/>
      <c r="AG50" s="95"/>
      <c r="AH50" s="95"/>
      <c r="AI50" s="95"/>
      <c r="AJ50" s="95"/>
      <c r="AK50" s="95"/>
      <c r="AL50" s="95"/>
      <c r="AM50" s="95"/>
      <c r="AN50" s="76"/>
      <c r="AO50" s="95"/>
      <c r="AP50" s="95"/>
    </row>
    <row r="51" spans="1:42" x14ac:dyDescent="0.25">
      <c r="A51" s="577" t="s">
        <v>594</v>
      </c>
      <c r="B51" s="89"/>
      <c r="C51" s="90"/>
      <c r="D51" s="90"/>
      <c r="E51" s="90"/>
      <c r="F51" s="90"/>
      <c r="G51" s="559"/>
      <c r="H51" s="57"/>
      <c r="I51" s="559"/>
      <c r="J51" s="139"/>
      <c r="K51" s="48"/>
      <c r="L51" s="48"/>
      <c r="M51" s="48"/>
      <c r="N51" s="48"/>
      <c r="O51" s="48"/>
      <c r="P51" s="48"/>
      <c r="Q51" s="139"/>
      <c r="R51" s="64"/>
      <c r="S51" s="64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69"/>
      <c r="AF51" s="59"/>
      <c r="AG51" s="59"/>
      <c r="AH51" s="59"/>
      <c r="AI51" s="59"/>
      <c r="AJ51" s="59"/>
      <c r="AK51" s="59"/>
      <c r="AL51" s="61"/>
      <c r="AM51" s="61"/>
      <c r="AN51" s="63"/>
      <c r="AO51" s="61"/>
      <c r="AP51" s="61"/>
    </row>
    <row r="52" spans="1:42" x14ac:dyDescent="0.25">
      <c r="A52" s="91" t="s">
        <v>610</v>
      </c>
      <c r="B52" s="89" t="s">
        <v>107</v>
      </c>
      <c r="C52" s="92">
        <v>2</v>
      </c>
      <c r="D52" s="90">
        <v>2015</v>
      </c>
      <c r="E52" s="90">
        <v>15</v>
      </c>
      <c r="F52" s="90">
        <v>60</v>
      </c>
      <c r="G52" s="145">
        <v>0.83610719342181306</v>
      </c>
      <c r="H52" s="145">
        <v>0.79560737551603999</v>
      </c>
      <c r="I52" s="145">
        <v>0.165670507085864</v>
      </c>
      <c r="J52" s="145">
        <v>3.18613688227605E-3</v>
      </c>
      <c r="K52" s="145">
        <v>0.138831589940137</v>
      </c>
      <c r="L52" s="56">
        <v>7.99995847163921E-3</v>
      </c>
      <c r="M52" s="56">
        <v>3.6749815577381599E-2</v>
      </c>
      <c r="N52" s="145">
        <v>0.127725080361664</v>
      </c>
      <c r="O52" s="56">
        <v>1.9999896145790402E-3</v>
      </c>
      <c r="P52" s="56">
        <v>1.57499200131354E-2</v>
      </c>
      <c r="Q52" s="145">
        <v>320.029950432367</v>
      </c>
      <c r="R52" s="56">
        <f>0.000057143*Q52</f>
        <v>1.8287471457556746E-2</v>
      </c>
      <c r="S52" s="93">
        <f>0.000025616*Q52</f>
        <v>8.1978872102755132E-3</v>
      </c>
      <c r="T52" s="59">
        <f>C52*($F52*$G52)/453.59</f>
        <v>0.22119725569482918</v>
      </c>
      <c r="U52" s="59">
        <f>C52*($F52*$H52)/453.59</f>
        <v>0.21048278194388062</v>
      </c>
      <c r="V52" s="59">
        <f>C52*(($F52*$I52))/453.59</f>
        <v>4.3829142728683795E-2</v>
      </c>
      <c r="W52" s="59">
        <f>C52*($F52*$J52)/453.59</f>
        <v>8.429119378141626E-4</v>
      </c>
      <c r="X52" s="59">
        <f>C52*(($F52*($K52+$L52+$M52)))/453.59</f>
        <v>4.8567569123435128E-2</v>
      </c>
      <c r="Y52" s="59">
        <f>C52*(($F52*($N52+$O52+$P52)))/453.59</f>
        <v>3.8486295550442938E-2</v>
      </c>
      <c r="Z52" s="59">
        <f>C52*(F52)*$B$453</f>
        <v>1.1774766399170092E-2</v>
      </c>
      <c r="AA52" s="59">
        <f>Z52*0.21</f>
        <v>2.4727009438257194E-3</v>
      </c>
      <c r="AB52" s="59">
        <f>C52*(($F52*($Q52)))/453.59</f>
        <v>84.665874582517347</v>
      </c>
      <c r="AC52" s="59">
        <f>C52*(($F52*($R52)))/453.59</f>
        <v>4.8380620712687875E-3</v>
      </c>
      <c r="AD52" s="59">
        <f>C52*(($F52*($S52)))/453.59</f>
        <v>2.1688010433057645E-3</v>
      </c>
      <c r="AE52" s="63">
        <f>2*22</f>
        <v>44</v>
      </c>
      <c r="AF52" s="59">
        <f t="shared" ref="AF52:AP52" si="33">T52*$AE52/2000</f>
        <v>4.866339625286242E-3</v>
      </c>
      <c r="AG52" s="59">
        <f t="shared" si="33"/>
        <v>4.6306212027653736E-3</v>
      </c>
      <c r="AH52" s="59">
        <f t="shared" si="33"/>
        <v>9.6424114003104352E-4</v>
      </c>
      <c r="AI52" s="59">
        <f t="shared" si="33"/>
        <v>1.854406263191158E-5</v>
      </c>
      <c r="AJ52" s="59">
        <f t="shared" si="33"/>
        <v>1.0684865207155729E-3</v>
      </c>
      <c r="AK52" s="59">
        <f t="shared" si="33"/>
        <v>8.4669850210974463E-4</v>
      </c>
      <c r="AL52" s="59">
        <f t="shared" si="33"/>
        <v>2.5904486078174205E-4</v>
      </c>
      <c r="AM52" s="59">
        <f t="shared" si="33"/>
        <v>5.4399420764165824E-5</v>
      </c>
      <c r="AN52" s="59">
        <f t="shared" si="33"/>
        <v>1.8626492408153816</v>
      </c>
      <c r="AO52" s="59">
        <f t="shared" si="33"/>
        <v>1.0643736556791331E-4</v>
      </c>
      <c r="AP52" s="59">
        <f t="shared" si="33"/>
        <v>4.771362295272682E-5</v>
      </c>
    </row>
    <row r="53" spans="1:42" x14ac:dyDescent="0.25">
      <c r="A53" s="88" t="s">
        <v>38</v>
      </c>
      <c r="B53" s="89"/>
      <c r="C53" s="90"/>
      <c r="D53" s="90"/>
      <c r="E53" s="90"/>
      <c r="F53" s="90"/>
      <c r="G53" s="559"/>
      <c r="H53" s="57"/>
      <c r="I53" s="559"/>
      <c r="J53" s="139"/>
      <c r="K53" s="48"/>
      <c r="L53" s="48"/>
      <c r="M53" s="48"/>
      <c r="N53" s="48"/>
      <c r="O53" s="48"/>
      <c r="P53" s="48"/>
      <c r="Q53" s="139"/>
      <c r="R53" s="64"/>
      <c r="S53" s="64"/>
      <c r="T53" s="94">
        <f>T52</f>
        <v>0.22119725569482918</v>
      </c>
      <c r="U53" s="94">
        <f t="shared" ref="U53:AD53" si="34">U52</f>
        <v>0.21048278194388062</v>
      </c>
      <c r="V53" s="94">
        <f t="shared" si="34"/>
        <v>4.3829142728683795E-2</v>
      </c>
      <c r="W53" s="94">
        <f t="shared" si="34"/>
        <v>8.429119378141626E-4</v>
      </c>
      <c r="X53" s="94">
        <f t="shared" si="34"/>
        <v>4.8567569123435128E-2</v>
      </c>
      <c r="Y53" s="94">
        <f t="shared" si="34"/>
        <v>3.8486295550442938E-2</v>
      </c>
      <c r="Z53" s="94">
        <f t="shared" si="34"/>
        <v>1.1774766399170092E-2</v>
      </c>
      <c r="AA53" s="94">
        <f t="shared" si="34"/>
        <v>2.4727009438257194E-3</v>
      </c>
      <c r="AB53" s="94">
        <f t="shared" si="34"/>
        <v>84.665874582517347</v>
      </c>
      <c r="AC53" s="94">
        <f t="shared" si="34"/>
        <v>4.8380620712687875E-3</v>
      </c>
      <c r="AD53" s="94">
        <f t="shared" si="34"/>
        <v>2.1688010433057645E-3</v>
      </c>
      <c r="AE53" s="69"/>
      <c r="AF53" s="94">
        <f>AF52</f>
        <v>4.866339625286242E-3</v>
      </c>
      <c r="AG53" s="94">
        <f t="shared" ref="AG53:AP53" si="35">AG52</f>
        <v>4.6306212027653736E-3</v>
      </c>
      <c r="AH53" s="94">
        <f t="shared" si="35"/>
        <v>9.6424114003104352E-4</v>
      </c>
      <c r="AI53" s="94">
        <f t="shared" si="35"/>
        <v>1.854406263191158E-5</v>
      </c>
      <c r="AJ53" s="94">
        <f t="shared" si="35"/>
        <v>1.0684865207155729E-3</v>
      </c>
      <c r="AK53" s="94">
        <f t="shared" si="35"/>
        <v>8.4669850210974463E-4</v>
      </c>
      <c r="AL53" s="94">
        <f t="shared" si="35"/>
        <v>2.5904486078174205E-4</v>
      </c>
      <c r="AM53" s="94">
        <f t="shared" si="35"/>
        <v>5.4399420764165824E-5</v>
      </c>
      <c r="AN53" s="94">
        <f t="shared" si="35"/>
        <v>1.8626492408153816</v>
      </c>
      <c r="AO53" s="94">
        <f t="shared" si="35"/>
        <v>1.0643736556791331E-4</v>
      </c>
      <c r="AP53" s="94">
        <f t="shared" si="35"/>
        <v>4.771362295272682E-5</v>
      </c>
    </row>
    <row r="54" spans="1:42" x14ac:dyDescent="0.25">
      <c r="A54" s="88"/>
      <c r="B54" s="89"/>
      <c r="C54" s="90"/>
      <c r="D54" s="90"/>
      <c r="E54" s="90"/>
      <c r="F54" s="90"/>
      <c r="G54" s="559"/>
      <c r="H54" s="57"/>
      <c r="I54" s="559"/>
      <c r="J54" s="139"/>
      <c r="K54" s="48"/>
      <c r="L54" s="48"/>
      <c r="M54" s="48"/>
      <c r="N54" s="48"/>
      <c r="O54" s="48"/>
      <c r="P54" s="48"/>
      <c r="Q54" s="139"/>
      <c r="R54" s="64"/>
      <c r="S54" s="64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69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</row>
    <row r="55" spans="1:42" x14ac:dyDescent="0.25">
      <c r="A55" s="577" t="s">
        <v>604</v>
      </c>
      <c r="B55" s="89"/>
      <c r="C55" s="90"/>
      <c r="D55" s="90"/>
      <c r="E55" s="90"/>
      <c r="F55" s="90"/>
      <c r="G55" s="559"/>
      <c r="H55" s="57"/>
      <c r="I55" s="559"/>
      <c r="J55" s="139"/>
      <c r="K55" s="48"/>
      <c r="L55" s="48"/>
      <c r="M55" s="48"/>
      <c r="N55" s="48"/>
      <c r="O55" s="48"/>
      <c r="P55" s="48"/>
      <c r="Q55" s="139"/>
      <c r="R55" s="64"/>
      <c r="S55" s="64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69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</row>
    <row r="56" spans="1:42" x14ac:dyDescent="0.25">
      <c r="A56" s="91" t="s">
        <v>610</v>
      </c>
      <c r="B56" s="89" t="s">
        <v>107</v>
      </c>
      <c r="C56" s="92">
        <v>1</v>
      </c>
      <c r="D56" s="90">
        <v>2015</v>
      </c>
      <c r="E56" s="90">
        <v>15</v>
      </c>
      <c r="F56" s="90">
        <v>60</v>
      </c>
      <c r="G56" s="145">
        <v>0.83610719342181306</v>
      </c>
      <c r="H56" s="145">
        <v>0.79560737551603999</v>
      </c>
      <c r="I56" s="145">
        <v>0.165670507085864</v>
      </c>
      <c r="J56" s="145">
        <v>3.18613688227605E-3</v>
      </c>
      <c r="K56" s="145">
        <v>0.138831589940137</v>
      </c>
      <c r="L56" s="56">
        <v>7.99995847163921E-3</v>
      </c>
      <c r="M56" s="56">
        <v>3.6749815577381599E-2</v>
      </c>
      <c r="N56" s="145">
        <v>0.127725080361664</v>
      </c>
      <c r="O56" s="56">
        <v>1.9999896145790402E-3</v>
      </c>
      <c r="P56" s="56">
        <v>1.57499200131354E-2</v>
      </c>
      <c r="Q56" s="145">
        <v>320.029950432367</v>
      </c>
      <c r="R56" s="56">
        <f>0.000057143*Q56</f>
        <v>1.8287471457556746E-2</v>
      </c>
      <c r="S56" s="93">
        <f>0.000025616*Q56</f>
        <v>8.1978872102755132E-3</v>
      </c>
      <c r="T56" s="59">
        <f>C56*($F56*$G56)/453.59</f>
        <v>0.11059862784741459</v>
      </c>
      <c r="U56" s="59">
        <f>C56*($F56*$H56)/453.59</f>
        <v>0.10524139097194031</v>
      </c>
      <c r="V56" s="59">
        <f>C56*(($F56*$I56))/453.59</f>
        <v>2.1914571364341898E-2</v>
      </c>
      <c r="W56" s="59">
        <f>C56*($F56*$J56)/453.59</f>
        <v>4.214559689070813E-4</v>
      </c>
      <c r="X56" s="59">
        <f>C56*(($F56*($K56+$L56+$M56)))/453.59</f>
        <v>2.4283784561717564E-2</v>
      </c>
      <c r="Y56" s="59">
        <f>C56*(($F56*($N56+$O56+$P56)))/453.59</f>
        <v>1.9243147775221469E-2</v>
      </c>
      <c r="Z56" s="59">
        <f>C56*(F56)*$B$453</f>
        <v>5.8873831995850459E-3</v>
      </c>
      <c r="AA56" s="59">
        <f>Z56*0.21</f>
        <v>1.2363504719128597E-3</v>
      </c>
      <c r="AB56" s="59">
        <f>C56*(($F56*($Q56)))/453.59</f>
        <v>42.332937291258673</v>
      </c>
      <c r="AC56" s="59">
        <f>C56*(($F56*($R56)))/453.59</f>
        <v>2.4190310356343937E-3</v>
      </c>
      <c r="AD56" s="59">
        <f>C56*(($F56*($S56)))/453.59</f>
        <v>1.0844005216528823E-3</v>
      </c>
      <c r="AE56" s="63">
        <f>2*22</f>
        <v>44</v>
      </c>
      <c r="AF56" s="59">
        <f t="shared" ref="AF56:AP57" si="36">T56*$AE56/2000</f>
        <v>2.433169812643121E-3</v>
      </c>
      <c r="AG56" s="59">
        <f t="shared" si="36"/>
        <v>2.3153106013826868E-3</v>
      </c>
      <c r="AH56" s="59">
        <f t="shared" si="36"/>
        <v>4.8212057001552176E-4</v>
      </c>
      <c r="AI56" s="59">
        <f t="shared" si="36"/>
        <v>9.27203131595579E-6</v>
      </c>
      <c r="AJ56" s="59">
        <f t="shared" si="36"/>
        <v>5.3424326035778644E-4</v>
      </c>
      <c r="AK56" s="59">
        <f t="shared" si="36"/>
        <v>4.2334925105487231E-4</v>
      </c>
      <c r="AL56" s="59">
        <f t="shared" si="36"/>
        <v>1.2952243039087102E-4</v>
      </c>
      <c r="AM56" s="59">
        <f t="shared" si="36"/>
        <v>2.7199710382082912E-5</v>
      </c>
      <c r="AN56" s="59">
        <f t="shared" si="36"/>
        <v>0.93132462040769082</v>
      </c>
      <c r="AO56" s="59">
        <f t="shared" si="36"/>
        <v>5.3218682783956657E-5</v>
      </c>
      <c r="AP56" s="59">
        <f t="shared" si="36"/>
        <v>2.385681147636341E-5</v>
      </c>
    </row>
    <row r="57" spans="1:42" x14ac:dyDescent="0.25">
      <c r="A57" s="91" t="s">
        <v>205</v>
      </c>
      <c r="B57" s="89" t="s">
        <v>128</v>
      </c>
      <c r="C57" s="90">
        <v>1</v>
      </c>
      <c r="D57" s="90">
        <v>2015</v>
      </c>
      <c r="E57" s="90">
        <v>35</v>
      </c>
      <c r="F57" s="90">
        <v>80</v>
      </c>
      <c r="G57" s="145">
        <v>1.1475010375994501</v>
      </c>
      <c r="H57" s="145">
        <v>6.1597902567033698</v>
      </c>
      <c r="I57" s="145">
        <v>0.27527412390358202</v>
      </c>
      <c r="J57" s="145">
        <v>1.0711818E-2</v>
      </c>
      <c r="K57" s="145">
        <v>7.9574350742464495E-2</v>
      </c>
      <c r="L57" s="567">
        <v>3.5999811999999999E-2</v>
      </c>
      <c r="M57" s="567">
        <v>6.1739677E-2</v>
      </c>
      <c r="N57" s="145">
        <v>7.32084026830674E-2</v>
      </c>
      <c r="O57" s="567">
        <v>8.9999529999999998E-3</v>
      </c>
      <c r="P57" s="567">
        <v>2.6459862000000001E-2</v>
      </c>
      <c r="Q57" s="145">
        <v>1735.6021746639301</v>
      </c>
      <c r="R57" s="56">
        <f>0.000057143*Q57</f>
        <v>9.9177515066820959E-2</v>
      </c>
      <c r="S57" s="93">
        <f>0.000025616*Q57</f>
        <v>4.445918530619123E-2</v>
      </c>
      <c r="T57" s="59">
        <f>C57*($F57*$G57)/453.59</f>
        <v>0.20238559714269716</v>
      </c>
      <c r="U57" s="59">
        <f>C57*($F57*$H57)/453.59</f>
        <v>1.0864067120886034</v>
      </c>
      <c r="V57" s="59">
        <f>C57*(($F57*$I57))/453.59</f>
        <v>4.8550298534550063E-2</v>
      </c>
      <c r="W57" s="59">
        <f>C57*($F57*$J57)/453.59</f>
        <v>1.8892511739676801E-3</v>
      </c>
      <c r="X57" s="59">
        <f>C57*(($F57*($K57+$L57+$M57)))/453.59</f>
        <v>3.1272971580936879E-2</v>
      </c>
      <c r="Y57" s="59">
        <f>C57*(($F57*($N57+$O57+$P57)))/453.59</f>
        <v>1.9165893019346531E-2</v>
      </c>
      <c r="Z57" s="59">
        <f>C57*(F57)*$B$453</f>
        <v>7.8498442661133934E-3</v>
      </c>
      <c r="AA57" s="59">
        <f>Z57*0.21</f>
        <v>1.6484672958838125E-3</v>
      </c>
      <c r="AB57" s="59">
        <f>C57*(($F57*($Q57)))/453.59</f>
        <v>306.10942475167974</v>
      </c>
      <c r="AC57" s="59">
        <f>C57*(($F57*($R57)))/453.59</f>
        <v>1.7492010858585236E-2</v>
      </c>
      <c r="AD57" s="59">
        <f>C57*(($F57*($S57)))/453.59</f>
        <v>7.8412990244390284E-3</v>
      </c>
      <c r="AE57" s="63">
        <v>44</v>
      </c>
      <c r="AF57" s="59">
        <f t="shared" si="36"/>
        <v>4.4524831371393373E-3</v>
      </c>
      <c r="AG57" s="59">
        <f t="shared" si="36"/>
        <v>2.3900947665949274E-2</v>
      </c>
      <c r="AH57" s="59">
        <f t="shared" si="36"/>
        <v>1.0681065677601014E-3</v>
      </c>
      <c r="AI57" s="59">
        <f t="shared" si="36"/>
        <v>4.1563525827288966E-5</v>
      </c>
      <c r="AJ57" s="59">
        <f t="shared" si="36"/>
        <v>6.8800537478061127E-4</v>
      </c>
      <c r="AK57" s="59">
        <f t="shared" si="36"/>
        <v>4.2164964642562371E-4</v>
      </c>
      <c r="AL57" s="59">
        <f t="shared" si="36"/>
        <v>1.7269657385449467E-4</v>
      </c>
      <c r="AM57" s="59">
        <f t="shared" si="36"/>
        <v>3.6266280509443874E-5</v>
      </c>
      <c r="AN57" s="59">
        <f t="shared" si="36"/>
        <v>6.7344073445369537</v>
      </c>
      <c r="AO57" s="59">
        <f t="shared" si="36"/>
        <v>3.8482423888887518E-4</v>
      </c>
      <c r="AP57" s="59">
        <f t="shared" si="36"/>
        <v>1.7250857853765863E-4</v>
      </c>
    </row>
    <row r="58" spans="1:42" x14ac:dyDescent="0.25">
      <c r="A58" s="88" t="s">
        <v>38</v>
      </c>
      <c r="B58" s="87"/>
      <c r="C58" s="166"/>
      <c r="D58" s="166"/>
      <c r="E58" s="87"/>
      <c r="F58" s="87"/>
      <c r="G58" s="556"/>
      <c r="H58" s="50"/>
      <c r="I58" s="50"/>
      <c r="J58" s="50"/>
      <c r="K58" s="557"/>
      <c r="L58" s="557"/>
      <c r="M58" s="557"/>
      <c r="N58" s="557"/>
      <c r="O58" s="557"/>
      <c r="P58" s="557"/>
      <c r="Q58" s="50"/>
      <c r="R58" s="557"/>
      <c r="S58" s="557"/>
      <c r="T58" s="94">
        <f t="shared" ref="T58:AD58" si="37">SUM(T56:T57)</f>
        <v>0.31298422499011175</v>
      </c>
      <c r="U58" s="94">
        <f t="shared" si="37"/>
        <v>1.1916481030605437</v>
      </c>
      <c r="V58" s="94">
        <f t="shared" si="37"/>
        <v>7.046486989889196E-2</v>
      </c>
      <c r="W58" s="94">
        <f t="shared" si="37"/>
        <v>2.3107071428747615E-3</v>
      </c>
      <c r="X58" s="94">
        <f t="shared" si="37"/>
        <v>5.5556756142654443E-2</v>
      </c>
      <c r="Y58" s="94">
        <f t="shared" si="37"/>
        <v>3.8409040794568E-2</v>
      </c>
      <c r="Z58" s="94">
        <f t="shared" si="37"/>
        <v>1.3737227465698439E-2</v>
      </c>
      <c r="AA58" s="94">
        <f t="shared" si="37"/>
        <v>2.8848177677966722E-3</v>
      </c>
      <c r="AB58" s="94">
        <f t="shared" si="37"/>
        <v>348.44236204293838</v>
      </c>
      <c r="AC58" s="94">
        <f t="shared" si="37"/>
        <v>1.991104189421963E-2</v>
      </c>
      <c r="AD58" s="94">
        <f t="shared" si="37"/>
        <v>8.92569954609191E-3</v>
      </c>
      <c r="AE58" s="52"/>
      <c r="AF58" s="95">
        <f t="shared" ref="AF58:AP58" si="38">SUM(AF56:AF57)</f>
        <v>6.8856529497824583E-3</v>
      </c>
      <c r="AG58" s="95">
        <f t="shared" si="38"/>
        <v>2.6216258267331961E-2</v>
      </c>
      <c r="AH58" s="95">
        <f t="shared" si="38"/>
        <v>1.5502271377756231E-3</v>
      </c>
      <c r="AI58" s="95">
        <f t="shared" si="38"/>
        <v>5.0835557143244758E-5</v>
      </c>
      <c r="AJ58" s="95">
        <f t="shared" si="38"/>
        <v>1.2222486351383976E-3</v>
      </c>
      <c r="AK58" s="95">
        <f t="shared" si="38"/>
        <v>8.4499889748049597E-4</v>
      </c>
      <c r="AL58" s="95">
        <f t="shared" si="38"/>
        <v>3.0221900424536572E-4</v>
      </c>
      <c r="AM58" s="95">
        <f t="shared" si="38"/>
        <v>6.3465990891526779E-5</v>
      </c>
      <c r="AN58" s="95">
        <f t="shared" si="38"/>
        <v>7.6657319649446443</v>
      </c>
      <c r="AO58" s="95">
        <f t="shared" si="38"/>
        <v>4.3804292167283184E-4</v>
      </c>
      <c r="AP58" s="95">
        <f t="shared" si="38"/>
        <v>1.9636539001402205E-4</v>
      </c>
    </row>
    <row r="59" spans="1:42" x14ac:dyDescent="0.25">
      <c r="A59" s="88"/>
      <c r="B59" s="89"/>
      <c r="C59" s="90"/>
      <c r="D59" s="90"/>
      <c r="E59" s="90"/>
      <c r="F59" s="90"/>
      <c r="G59" s="559"/>
      <c r="H59" s="57"/>
      <c r="I59" s="559"/>
      <c r="J59" s="139"/>
      <c r="K59" s="48"/>
      <c r="L59" s="48"/>
      <c r="M59" s="48"/>
      <c r="N59" s="48"/>
      <c r="O59" s="48"/>
      <c r="P59" s="48"/>
      <c r="Q59" s="139"/>
      <c r="R59" s="64"/>
      <c r="S59" s="64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69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</row>
    <row r="60" spans="1:42" x14ac:dyDescent="0.25">
      <c r="A60" s="577" t="s">
        <v>597</v>
      </c>
      <c r="B60" s="89"/>
      <c r="C60" s="90"/>
      <c r="D60" s="90"/>
      <c r="E60" s="90"/>
      <c r="F60" s="90"/>
      <c r="G60" s="559"/>
      <c r="H60" s="57"/>
      <c r="I60" s="559"/>
      <c r="J60" s="139"/>
      <c r="K60" s="48"/>
      <c r="L60" s="48"/>
      <c r="M60" s="48"/>
      <c r="N60" s="48"/>
      <c r="O60" s="48"/>
      <c r="P60" s="48"/>
      <c r="Q60" s="139"/>
      <c r="R60" s="64"/>
      <c r="S60" s="64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69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</row>
    <row r="61" spans="1:42" x14ac:dyDescent="0.25">
      <c r="A61" s="91" t="s">
        <v>610</v>
      </c>
      <c r="B61" s="89" t="s">
        <v>107</v>
      </c>
      <c r="C61" s="92">
        <v>2</v>
      </c>
      <c r="D61" s="90">
        <v>2015</v>
      </c>
      <c r="E61" s="90">
        <v>15</v>
      </c>
      <c r="F61" s="90">
        <v>60</v>
      </c>
      <c r="G61" s="145">
        <v>0.83610719342181306</v>
      </c>
      <c r="H61" s="145">
        <v>0.79560737551603999</v>
      </c>
      <c r="I61" s="145">
        <v>0.165670507085864</v>
      </c>
      <c r="J61" s="145">
        <v>3.18613688227605E-3</v>
      </c>
      <c r="K61" s="145">
        <v>0.138831589940137</v>
      </c>
      <c r="L61" s="56">
        <v>7.99995847163921E-3</v>
      </c>
      <c r="M61" s="56">
        <v>3.6749815577381599E-2</v>
      </c>
      <c r="N61" s="145">
        <v>0.127725080361664</v>
      </c>
      <c r="O61" s="56">
        <v>1.9999896145790402E-3</v>
      </c>
      <c r="P61" s="56">
        <v>1.57499200131354E-2</v>
      </c>
      <c r="Q61" s="145">
        <v>320.029950432367</v>
      </c>
      <c r="R61" s="56">
        <f>0.000057143*Q61</f>
        <v>1.8287471457556746E-2</v>
      </c>
      <c r="S61" s="93">
        <f>0.000025616*Q61</f>
        <v>8.1978872102755132E-3</v>
      </c>
      <c r="T61" s="59">
        <f>C61*($F61*$G61)/453.59</f>
        <v>0.22119725569482918</v>
      </c>
      <c r="U61" s="59">
        <f>C61*($F61*$H61)/453.59</f>
        <v>0.21048278194388062</v>
      </c>
      <c r="V61" s="59">
        <f>C61*(($F61*$I61))/453.59</f>
        <v>4.3829142728683795E-2</v>
      </c>
      <c r="W61" s="59">
        <f>C61*($F61*$J61)/453.59</f>
        <v>8.429119378141626E-4</v>
      </c>
      <c r="X61" s="59">
        <f>C61*(($F61*($K61+$L61+$M61)))/453.59</f>
        <v>4.8567569123435128E-2</v>
      </c>
      <c r="Y61" s="59">
        <f>C61*(($F61*($N61+$O61+$P61)))/453.59</f>
        <v>3.8486295550442938E-2</v>
      </c>
      <c r="Z61" s="59">
        <f>C61*(F61)*$B$453</f>
        <v>1.1774766399170092E-2</v>
      </c>
      <c r="AA61" s="59">
        <f>Z61*0.21</f>
        <v>2.4727009438257194E-3</v>
      </c>
      <c r="AB61" s="59">
        <f>C61*(($F61*($Q61)))/453.59</f>
        <v>84.665874582517347</v>
      </c>
      <c r="AC61" s="59">
        <f>C61*(($F61*($R61)))/453.59</f>
        <v>4.8380620712687875E-3</v>
      </c>
      <c r="AD61" s="59">
        <f>C61*(($F61*($S61)))/453.59</f>
        <v>2.1688010433057645E-3</v>
      </c>
      <c r="AE61" s="63">
        <f>2*22</f>
        <v>44</v>
      </c>
      <c r="AF61" s="59">
        <f t="shared" ref="AF61:AP61" si="39">T61*$AE61/2000</f>
        <v>4.866339625286242E-3</v>
      </c>
      <c r="AG61" s="59">
        <f t="shared" si="39"/>
        <v>4.6306212027653736E-3</v>
      </c>
      <c r="AH61" s="59">
        <f t="shared" si="39"/>
        <v>9.6424114003104352E-4</v>
      </c>
      <c r="AI61" s="59">
        <f t="shared" si="39"/>
        <v>1.854406263191158E-5</v>
      </c>
      <c r="AJ61" s="59">
        <f t="shared" si="39"/>
        <v>1.0684865207155729E-3</v>
      </c>
      <c r="AK61" s="59">
        <f t="shared" si="39"/>
        <v>8.4669850210974463E-4</v>
      </c>
      <c r="AL61" s="59">
        <f t="shared" si="39"/>
        <v>2.5904486078174205E-4</v>
      </c>
      <c r="AM61" s="59">
        <f t="shared" si="39"/>
        <v>5.4399420764165824E-5</v>
      </c>
      <c r="AN61" s="59">
        <f t="shared" si="39"/>
        <v>1.8626492408153816</v>
      </c>
      <c r="AO61" s="59">
        <f t="shared" si="39"/>
        <v>1.0643736556791331E-4</v>
      </c>
      <c r="AP61" s="59">
        <f t="shared" si="39"/>
        <v>4.771362295272682E-5</v>
      </c>
    </row>
    <row r="62" spans="1:42" x14ac:dyDescent="0.25">
      <c r="A62" s="88" t="s">
        <v>38</v>
      </c>
      <c r="B62" s="87"/>
      <c r="C62" s="166"/>
      <c r="D62" s="166"/>
      <c r="E62" s="87"/>
      <c r="F62" s="87"/>
      <c r="G62" s="556"/>
      <c r="H62" s="50"/>
      <c r="I62" s="50"/>
      <c r="J62" s="50"/>
      <c r="K62" s="557"/>
      <c r="L62" s="557"/>
      <c r="M62" s="557"/>
      <c r="N62" s="557"/>
      <c r="O62" s="557"/>
      <c r="P62" s="557"/>
      <c r="Q62" s="50"/>
      <c r="R62" s="557"/>
      <c r="S62" s="557"/>
      <c r="T62" s="94">
        <f>T61</f>
        <v>0.22119725569482918</v>
      </c>
      <c r="U62" s="94">
        <f t="shared" ref="U62:AD62" si="40">U61</f>
        <v>0.21048278194388062</v>
      </c>
      <c r="V62" s="94">
        <f t="shared" si="40"/>
        <v>4.3829142728683795E-2</v>
      </c>
      <c r="W62" s="94">
        <f t="shared" si="40"/>
        <v>8.429119378141626E-4</v>
      </c>
      <c r="X62" s="94">
        <f t="shared" si="40"/>
        <v>4.8567569123435128E-2</v>
      </c>
      <c r="Y62" s="94">
        <f t="shared" si="40"/>
        <v>3.8486295550442938E-2</v>
      </c>
      <c r="Z62" s="94">
        <f t="shared" si="40"/>
        <v>1.1774766399170092E-2</v>
      </c>
      <c r="AA62" s="94">
        <f t="shared" si="40"/>
        <v>2.4727009438257194E-3</v>
      </c>
      <c r="AB62" s="94">
        <f t="shared" si="40"/>
        <v>84.665874582517347</v>
      </c>
      <c r="AC62" s="94">
        <f t="shared" si="40"/>
        <v>4.8380620712687875E-3</v>
      </c>
      <c r="AD62" s="94">
        <f t="shared" si="40"/>
        <v>2.1688010433057645E-3</v>
      </c>
      <c r="AE62" s="69"/>
      <c r="AF62" s="94">
        <f>AF61</f>
        <v>4.866339625286242E-3</v>
      </c>
      <c r="AG62" s="94">
        <f t="shared" ref="AG62:AP62" si="41">AG61</f>
        <v>4.6306212027653736E-3</v>
      </c>
      <c r="AH62" s="94">
        <f t="shared" si="41"/>
        <v>9.6424114003104352E-4</v>
      </c>
      <c r="AI62" s="94">
        <f t="shared" si="41"/>
        <v>1.854406263191158E-5</v>
      </c>
      <c r="AJ62" s="94">
        <f t="shared" si="41"/>
        <v>1.0684865207155729E-3</v>
      </c>
      <c r="AK62" s="94">
        <f t="shared" si="41"/>
        <v>8.4669850210974463E-4</v>
      </c>
      <c r="AL62" s="94">
        <f t="shared" si="41"/>
        <v>2.5904486078174205E-4</v>
      </c>
      <c r="AM62" s="94">
        <f t="shared" si="41"/>
        <v>5.4399420764165824E-5</v>
      </c>
      <c r="AN62" s="94">
        <f t="shared" si="41"/>
        <v>1.8626492408153816</v>
      </c>
      <c r="AO62" s="94">
        <f t="shared" si="41"/>
        <v>1.0643736556791331E-4</v>
      </c>
      <c r="AP62" s="94">
        <f t="shared" si="41"/>
        <v>4.771362295272682E-5</v>
      </c>
    </row>
    <row r="63" spans="1:42" x14ac:dyDescent="0.25">
      <c r="A63" s="88"/>
      <c r="B63" s="89"/>
      <c r="C63" s="90"/>
      <c r="D63" s="90"/>
      <c r="E63" s="90"/>
      <c r="F63" s="90"/>
      <c r="G63" s="559"/>
      <c r="H63" s="57"/>
      <c r="I63" s="559"/>
      <c r="J63" s="139"/>
      <c r="K63" s="48"/>
      <c r="L63" s="48"/>
      <c r="M63" s="48"/>
      <c r="N63" s="48"/>
      <c r="O63" s="48"/>
      <c r="P63" s="48"/>
      <c r="Q63" s="139"/>
      <c r="R63" s="64"/>
      <c r="S63" s="64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69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</row>
    <row r="64" spans="1:42" x14ac:dyDescent="0.25">
      <c r="A64" s="577" t="s">
        <v>584</v>
      </c>
      <c r="B64" s="89"/>
      <c r="C64" s="90"/>
      <c r="D64" s="90"/>
      <c r="E64" s="90"/>
      <c r="F64" s="90"/>
      <c r="G64" s="559"/>
      <c r="H64" s="57"/>
      <c r="I64" s="559"/>
      <c r="J64" s="139"/>
      <c r="K64" s="48"/>
      <c r="L64" s="48"/>
      <c r="M64" s="48"/>
      <c r="N64" s="48"/>
      <c r="O64" s="48"/>
      <c r="P64" s="48"/>
      <c r="Q64" s="139"/>
      <c r="R64" s="64"/>
      <c r="S64" s="64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69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</row>
    <row r="65" spans="1:42" x14ac:dyDescent="0.25">
      <c r="A65" s="91" t="s">
        <v>610</v>
      </c>
      <c r="B65" s="89" t="s">
        <v>107</v>
      </c>
      <c r="C65" s="92">
        <v>2</v>
      </c>
      <c r="D65" s="90">
        <v>2015</v>
      </c>
      <c r="E65" s="90">
        <v>15</v>
      </c>
      <c r="F65" s="90">
        <v>60</v>
      </c>
      <c r="G65" s="145">
        <v>0.83610719342181306</v>
      </c>
      <c r="H65" s="145">
        <v>0.79560737551603999</v>
      </c>
      <c r="I65" s="145">
        <v>0.165670507085864</v>
      </c>
      <c r="J65" s="145">
        <v>3.18613688227605E-3</v>
      </c>
      <c r="K65" s="145">
        <v>0.138831589940137</v>
      </c>
      <c r="L65" s="56">
        <v>7.99995847163921E-3</v>
      </c>
      <c r="M65" s="56">
        <v>3.6749815577381599E-2</v>
      </c>
      <c r="N65" s="145">
        <v>0.127725080361664</v>
      </c>
      <c r="O65" s="56">
        <v>1.9999896145790402E-3</v>
      </c>
      <c r="P65" s="56">
        <v>1.57499200131354E-2</v>
      </c>
      <c r="Q65" s="145">
        <v>320.029950432367</v>
      </c>
      <c r="R65" s="56">
        <f>0.000057143*Q65</f>
        <v>1.8287471457556746E-2</v>
      </c>
      <c r="S65" s="93">
        <f>0.000025616*Q65</f>
        <v>8.1978872102755132E-3</v>
      </c>
      <c r="T65" s="59">
        <f>C65*($F65*$G65)/453.59</f>
        <v>0.22119725569482918</v>
      </c>
      <c r="U65" s="59">
        <f>C65*($F65*$H65)/453.59</f>
        <v>0.21048278194388062</v>
      </c>
      <c r="V65" s="59">
        <f>C65*(($F65*$I65))/453.59</f>
        <v>4.3829142728683795E-2</v>
      </c>
      <c r="W65" s="59">
        <f>C65*($F65*$J65)/453.59</f>
        <v>8.429119378141626E-4</v>
      </c>
      <c r="X65" s="59">
        <f>C65*(($F65*($K65+$L65+$M65)))/453.59</f>
        <v>4.8567569123435128E-2</v>
      </c>
      <c r="Y65" s="59">
        <f>C65*(($F65*($N65+$O65+$P65)))/453.59</f>
        <v>3.8486295550442938E-2</v>
      </c>
      <c r="Z65" s="59">
        <f>C65*(F65)*$B$453</f>
        <v>1.1774766399170092E-2</v>
      </c>
      <c r="AA65" s="59">
        <f>Z65*0.21</f>
        <v>2.4727009438257194E-3</v>
      </c>
      <c r="AB65" s="59">
        <f>C65*(($F65*($Q65)))/453.59</f>
        <v>84.665874582517347</v>
      </c>
      <c r="AC65" s="59">
        <f>C65*(($F65*($R65)))/453.59</f>
        <v>4.8380620712687875E-3</v>
      </c>
      <c r="AD65" s="59">
        <f>C65*(($F65*($S65)))/453.59</f>
        <v>2.1688010433057645E-3</v>
      </c>
      <c r="AE65" s="63">
        <f>2*22</f>
        <v>44</v>
      </c>
      <c r="AF65" s="59">
        <f t="shared" ref="AF65:AP65" si="42">T65*$AE65/2000</f>
        <v>4.866339625286242E-3</v>
      </c>
      <c r="AG65" s="59">
        <f t="shared" si="42"/>
        <v>4.6306212027653736E-3</v>
      </c>
      <c r="AH65" s="59">
        <f t="shared" si="42"/>
        <v>9.6424114003104352E-4</v>
      </c>
      <c r="AI65" s="59">
        <f t="shared" si="42"/>
        <v>1.854406263191158E-5</v>
      </c>
      <c r="AJ65" s="59">
        <f t="shared" si="42"/>
        <v>1.0684865207155729E-3</v>
      </c>
      <c r="AK65" s="59">
        <f t="shared" si="42"/>
        <v>8.4669850210974463E-4</v>
      </c>
      <c r="AL65" s="59">
        <f t="shared" si="42"/>
        <v>2.5904486078174205E-4</v>
      </c>
      <c r="AM65" s="59">
        <f t="shared" si="42"/>
        <v>5.4399420764165824E-5</v>
      </c>
      <c r="AN65" s="59">
        <f t="shared" si="42"/>
        <v>1.8626492408153816</v>
      </c>
      <c r="AO65" s="59">
        <f t="shared" si="42"/>
        <v>1.0643736556791331E-4</v>
      </c>
      <c r="AP65" s="59">
        <f t="shared" si="42"/>
        <v>4.771362295272682E-5</v>
      </c>
    </row>
    <row r="66" spans="1:42" x14ac:dyDescent="0.25">
      <c r="A66" s="88" t="s">
        <v>38</v>
      </c>
      <c r="B66" s="87"/>
      <c r="C66" s="166"/>
      <c r="D66" s="166"/>
      <c r="E66" s="87"/>
      <c r="F66" s="87"/>
      <c r="G66" s="556"/>
      <c r="H66" s="50"/>
      <c r="I66" s="50"/>
      <c r="J66" s="50"/>
      <c r="K66" s="557"/>
      <c r="L66" s="557"/>
      <c r="M66" s="557"/>
      <c r="N66" s="557"/>
      <c r="O66" s="557"/>
      <c r="P66" s="557"/>
      <c r="Q66" s="50"/>
      <c r="R66" s="557"/>
      <c r="S66" s="557"/>
      <c r="T66" s="94">
        <f>T65</f>
        <v>0.22119725569482918</v>
      </c>
      <c r="U66" s="94">
        <f t="shared" ref="U66:AD66" si="43">U65</f>
        <v>0.21048278194388062</v>
      </c>
      <c r="V66" s="94">
        <f t="shared" si="43"/>
        <v>4.3829142728683795E-2</v>
      </c>
      <c r="W66" s="94">
        <f t="shared" si="43"/>
        <v>8.429119378141626E-4</v>
      </c>
      <c r="X66" s="94">
        <f t="shared" si="43"/>
        <v>4.8567569123435128E-2</v>
      </c>
      <c r="Y66" s="94">
        <f t="shared" si="43"/>
        <v>3.8486295550442938E-2</v>
      </c>
      <c r="Z66" s="94">
        <f t="shared" si="43"/>
        <v>1.1774766399170092E-2</v>
      </c>
      <c r="AA66" s="94">
        <f t="shared" si="43"/>
        <v>2.4727009438257194E-3</v>
      </c>
      <c r="AB66" s="94">
        <f t="shared" si="43"/>
        <v>84.665874582517347</v>
      </c>
      <c r="AC66" s="94">
        <f t="shared" si="43"/>
        <v>4.8380620712687875E-3</v>
      </c>
      <c r="AD66" s="94">
        <f t="shared" si="43"/>
        <v>2.1688010433057645E-3</v>
      </c>
      <c r="AE66" s="69"/>
      <c r="AF66" s="94">
        <f>AF65</f>
        <v>4.866339625286242E-3</v>
      </c>
      <c r="AG66" s="94">
        <f t="shared" ref="AG66:AP66" si="44">AG65</f>
        <v>4.6306212027653736E-3</v>
      </c>
      <c r="AH66" s="94">
        <f t="shared" si="44"/>
        <v>9.6424114003104352E-4</v>
      </c>
      <c r="AI66" s="94">
        <f t="shared" si="44"/>
        <v>1.854406263191158E-5</v>
      </c>
      <c r="AJ66" s="94">
        <f t="shared" si="44"/>
        <v>1.0684865207155729E-3</v>
      </c>
      <c r="AK66" s="94">
        <f t="shared" si="44"/>
        <v>8.4669850210974463E-4</v>
      </c>
      <c r="AL66" s="94">
        <f t="shared" si="44"/>
        <v>2.5904486078174205E-4</v>
      </c>
      <c r="AM66" s="94">
        <f t="shared" si="44"/>
        <v>5.4399420764165824E-5</v>
      </c>
      <c r="AN66" s="94">
        <f t="shared" si="44"/>
        <v>1.8626492408153816</v>
      </c>
      <c r="AO66" s="94">
        <f t="shared" si="44"/>
        <v>1.0643736556791331E-4</v>
      </c>
      <c r="AP66" s="94">
        <f t="shared" si="44"/>
        <v>4.771362295272682E-5</v>
      </c>
    </row>
    <row r="67" spans="1:42" x14ac:dyDescent="0.25">
      <c r="A67" s="88"/>
      <c r="B67" s="89"/>
      <c r="C67" s="90"/>
      <c r="D67" s="90"/>
      <c r="E67" s="90"/>
      <c r="F67" s="90"/>
      <c r="G67" s="559"/>
      <c r="H67" s="57"/>
      <c r="I67" s="559"/>
      <c r="J67" s="139"/>
      <c r="K67" s="48"/>
      <c r="L67" s="48"/>
      <c r="M67" s="48"/>
      <c r="N67" s="48"/>
      <c r="O67" s="48"/>
      <c r="P67" s="48"/>
      <c r="Q67" s="139"/>
      <c r="R67" s="64"/>
      <c r="S67" s="64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69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</row>
    <row r="68" spans="1:42" x14ac:dyDescent="0.25">
      <c r="A68" s="577" t="s">
        <v>605</v>
      </c>
      <c r="B68" s="89"/>
      <c r="C68" s="90"/>
      <c r="D68" s="90"/>
      <c r="E68" s="90"/>
      <c r="F68" s="90"/>
      <c r="G68" s="559"/>
      <c r="H68" s="56"/>
      <c r="I68" s="559"/>
      <c r="J68" s="64"/>
      <c r="K68" s="48"/>
      <c r="L68" s="48"/>
      <c r="M68" s="48"/>
      <c r="N68" s="48"/>
      <c r="O68" s="48"/>
      <c r="P68" s="48"/>
      <c r="Q68" s="64"/>
      <c r="R68" s="64"/>
      <c r="S68" s="64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69"/>
      <c r="AF68" s="95"/>
      <c r="AG68" s="95"/>
      <c r="AH68" s="95"/>
      <c r="AI68" s="95"/>
      <c r="AJ68" s="95"/>
      <c r="AK68" s="95"/>
      <c r="AL68" s="95"/>
      <c r="AM68" s="95"/>
      <c r="AN68" s="76"/>
      <c r="AO68" s="95"/>
      <c r="AP68" s="95"/>
    </row>
    <row r="69" spans="1:42" x14ac:dyDescent="0.25">
      <c r="A69" s="91" t="s">
        <v>610</v>
      </c>
      <c r="B69" s="89" t="s">
        <v>107</v>
      </c>
      <c r="C69" s="92">
        <v>2</v>
      </c>
      <c r="D69" s="90">
        <v>2015</v>
      </c>
      <c r="E69" s="90">
        <v>15</v>
      </c>
      <c r="F69" s="90">
        <v>60</v>
      </c>
      <c r="G69" s="145">
        <v>0.83610719342181306</v>
      </c>
      <c r="H69" s="145">
        <v>0.79560737551603999</v>
      </c>
      <c r="I69" s="145">
        <v>0.165670507085864</v>
      </c>
      <c r="J69" s="145">
        <v>3.18613688227605E-3</v>
      </c>
      <c r="K69" s="145">
        <v>0.138831589940137</v>
      </c>
      <c r="L69" s="56">
        <v>7.99995847163921E-3</v>
      </c>
      <c r="M69" s="56">
        <v>3.6749815577381599E-2</v>
      </c>
      <c r="N69" s="145">
        <v>0.127725080361664</v>
      </c>
      <c r="O69" s="56">
        <v>1.9999896145790402E-3</v>
      </c>
      <c r="P69" s="56">
        <v>1.57499200131354E-2</v>
      </c>
      <c r="Q69" s="145">
        <v>320.029950432367</v>
      </c>
      <c r="R69" s="56">
        <f>0.000057143*Q69</f>
        <v>1.8287471457556746E-2</v>
      </c>
      <c r="S69" s="93">
        <f>0.000025616*Q69</f>
        <v>8.1978872102755132E-3</v>
      </c>
      <c r="T69" s="59">
        <f>C69*($F69*$G69)/453.59</f>
        <v>0.22119725569482918</v>
      </c>
      <c r="U69" s="59">
        <f>C69*($F69*$H69)/453.59</f>
        <v>0.21048278194388062</v>
      </c>
      <c r="V69" s="59">
        <f>C69*(($F69*$I69))/453.59</f>
        <v>4.3829142728683795E-2</v>
      </c>
      <c r="W69" s="59">
        <f>C69*($F69*$J69)/453.59</f>
        <v>8.429119378141626E-4</v>
      </c>
      <c r="X69" s="59">
        <f>C69*(($F69*($K69+$L69+$M69)))/453.59</f>
        <v>4.8567569123435128E-2</v>
      </c>
      <c r="Y69" s="59">
        <f>C69*(($F69*($N69+$O69+$P69)))/453.59</f>
        <v>3.8486295550442938E-2</v>
      </c>
      <c r="Z69" s="59">
        <f>C69*(F69)*$B$453</f>
        <v>1.1774766399170092E-2</v>
      </c>
      <c r="AA69" s="59">
        <f>Z69*0.21</f>
        <v>2.4727009438257194E-3</v>
      </c>
      <c r="AB69" s="59">
        <f>C69*(($F69*($Q69)))/453.59</f>
        <v>84.665874582517347</v>
      </c>
      <c r="AC69" s="59">
        <f>C69*(($F69*($R69)))/453.59</f>
        <v>4.8380620712687875E-3</v>
      </c>
      <c r="AD69" s="59">
        <f>C69*(($F69*($S69)))/453.59</f>
        <v>2.1688010433057645E-3</v>
      </c>
      <c r="AE69" s="63">
        <f>2*22</f>
        <v>44</v>
      </c>
      <c r="AF69" s="59">
        <f t="shared" ref="AF69:AP69" si="45">T69*$AE69/2000</f>
        <v>4.866339625286242E-3</v>
      </c>
      <c r="AG69" s="59">
        <f t="shared" si="45"/>
        <v>4.6306212027653736E-3</v>
      </c>
      <c r="AH69" s="59">
        <f t="shared" si="45"/>
        <v>9.6424114003104352E-4</v>
      </c>
      <c r="AI69" s="59">
        <f t="shared" si="45"/>
        <v>1.854406263191158E-5</v>
      </c>
      <c r="AJ69" s="59">
        <f t="shared" si="45"/>
        <v>1.0684865207155729E-3</v>
      </c>
      <c r="AK69" s="59">
        <f t="shared" si="45"/>
        <v>8.4669850210974463E-4</v>
      </c>
      <c r="AL69" s="59">
        <f t="shared" si="45"/>
        <v>2.5904486078174205E-4</v>
      </c>
      <c r="AM69" s="59">
        <f t="shared" si="45"/>
        <v>5.4399420764165824E-5</v>
      </c>
      <c r="AN69" s="59">
        <f t="shared" si="45"/>
        <v>1.8626492408153816</v>
      </c>
      <c r="AO69" s="59">
        <f t="shared" si="45"/>
        <v>1.0643736556791331E-4</v>
      </c>
      <c r="AP69" s="59">
        <f t="shared" si="45"/>
        <v>4.771362295272682E-5</v>
      </c>
    </row>
    <row r="70" spans="1:42" x14ac:dyDescent="0.25">
      <c r="A70" s="88" t="s">
        <v>38</v>
      </c>
      <c r="B70" s="89"/>
      <c r="C70" s="90"/>
      <c r="D70" s="90"/>
      <c r="E70" s="90"/>
      <c r="F70" s="90"/>
      <c r="G70" s="559"/>
      <c r="H70" s="57"/>
      <c r="I70" s="559"/>
      <c r="J70" s="139"/>
      <c r="K70" s="48"/>
      <c r="L70" s="48"/>
      <c r="M70" s="48"/>
      <c r="N70" s="48"/>
      <c r="O70" s="48"/>
      <c r="P70" s="48"/>
      <c r="Q70" s="139"/>
      <c r="R70" s="64"/>
      <c r="S70" s="64"/>
      <c r="T70" s="94">
        <f t="shared" ref="T70:AD70" si="46">SUM(T69:T69)</f>
        <v>0.22119725569482918</v>
      </c>
      <c r="U70" s="94">
        <f t="shared" si="46"/>
        <v>0.21048278194388062</v>
      </c>
      <c r="V70" s="94">
        <f t="shared" si="46"/>
        <v>4.3829142728683795E-2</v>
      </c>
      <c r="W70" s="94">
        <f t="shared" si="46"/>
        <v>8.429119378141626E-4</v>
      </c>
      <c r="X70" s="94">
        <f t="shared" si="46"/>
        <v>4.8567569123435128E-2</v>
      </c>
      <c r="Y70" s="94">
        <f t="shared" si="46"/>
        <v>3.8486295550442938E-2</v>
      </c>
      <c r="Z70" s="94">
        <f t="shared" si="46"/>
        <v>1.1774766399170092E-2</v>
      </c>
      <c r="AA70" s="94">
        <f t="shared" si="46"/>
        <v>2.4727009438257194E-3</v>
      </c>
      <c r="AB70" s="94">
        <f t="shared" si="46"/>
        <v>84.665874582517347</v>
      </c>
      <c r="AC70" s="94">
        <f t="shared" si="46"/>
        <v>4.8380620712687875E-3</v>
      </c>
      <c r="AD70" s="94">
        <f t="shared" si="46"/>
        <v>2.1688010433057645E-3</v>
      </c>
      <c r="AE70" s="69"/>
      <c r="AF70" s="95">
        <f t="shared" ref="AF70:AP70" si="47">SUM(AF69:AF69)</f>
        <v>4.866339625286242E-3</v>
      </c>
      <c r="AG70" s="95">
        <f t="shared" si="47"/>
        <v>4.6306212027653736E-3</v>
      </c>
      <c r="AH70" s="95">
        <f t="shared" si="47"/>
        <v>9.6424114003104352E-4</v>
      </c>
      <c r="AI70" s="95">
        <f t="shared" si="47"/>
        <v>1.854406263191158E-5</v>
      </c>
      <c r="AJ70" s="95">
        <f t="shared" si="47"/>
        <v>1.0684865207155729E-3</v>
      </c>
      <c r="AK70" s="95">
        <f t="shared" si="47"/>
        <v>8.4669850210974463E-4</v>
      </c>
      <c r="AL70" s="95">
        <f t="shared" si="47"/>
        <v>2.5904486078174205E-4</v>
      </c>
      <c r="AM70" s="95">
        <f t="shared" si="47"/>
        <v>5.4399420764165824E-5</v>
      </c>
      <c r="AN70" s="95">
        <f t="shared" si="47"/>
        <v>1.8626492408153816</v>
      </c>
      <c r="AO70" s="95">
        <f t="shared" si="47"/>
        <v>1.0643736556791331E-4</v>
      </c>
      <c r="AP70" s="95">
        <f t="shared" si="47"/>
        <v>4.771362295272682E-5</v>
      </c>
    </row>
    <row r="71" spans="1:42" x14ac:dyDescent="0.25">
      <c r="A71" s="88"/>
      <c r="B71" s="89"/>
      <c r="C71" s="90"/>
      <c r="D71" s="90"/>
      <c r="E71" s="90"/>
      <c r="F71" s="90"/>
      <c r="G71" s="559"/>
      <c r="H71" s="57"/>
      <c r="I71" s="559"/>
      <c r="J71" s="139"/>
      <c r="K71" s="48"/>
      <c r="L71" s="48"/>
      <c r="M71" s="48"/>
      <c r="N71" s="48"/>
      <c r="O71" s="48"/>
      <c r="P71" s="48"/>
      <c r="Q71" s="139"/>
      <c r="R71" s="64"/>
      <c r="S71" s="64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69"/>
      <c r="AF71" s="59"/>
      <c r="AG71" s="59"/>
      <c r="AH71" s="59"/>
      <c r="AI71" s="59"/>
      <c r="AJ71" s="59"/>
      <c r="AK71" s="59"/>
      <c r="AL71" s="61"/>
      <c r="AM71" s="61"/>
      <c r="AN71" s="63"/>
      <c r="AO71" s="61"/>
      <c r="AP71" s="61"/>
    </row>
    <row r="72" spans="1:42" x14ac:dyDescent="0.25">
      <c r="A72" s="577" t="s">
        <v>600</v>
      </c>
      <c r="B72" s="89"/>
      <c r="C72" s="90"/>
      <c r="D72" s="90"/>
      <c r="E72" s="90"/>
      <c r="F72" s="90"/>
      <c r="G72" s="559"/>
      <c r="H72" s="57"/>
      <c r="I72" s="559"/>
      <c r="J72" s="139"/>
      <c r="K72" s="48"/>
      <c r="L72" s="48"/>
      <c r="M72" s="48"/>
      <c r="N72" s="48"/>
      <c r="O72" s="48"/>
      <c r="P72" s="48"/>
      <c r="Q72" s="139"/>
      <c r="R72" s="64"/>
      <c r="S72" s="64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69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</row>
    <row r="73" spans="1:42" x14ac:dyDescent="0.25">
      <c r="A73" s="91" t="s">
        <v>608</v>
      </c>
      <c r="B73" s="89" t="s">
        <v>107</v>
      </c>
      <c r="C73" s="92">
        <v>3</v>
      </c>
      <c r="D73" s="90">
        <v>2015</v>
      </c>
      <c r="E73" s="90">
        <v>15</v>
      </c>
      <c r="F73" s="90">
        <v>60</v>
      </c>
      <c r="G73" s="145">
        <v>0.83610719342181306</v>
      </c>
      <c r="H73" s="145">
        <v>0.79560737551603999</v>
      </c>
      <c r="I73" s="145">
        <v>0.165670507085864</v>
      </c>
      <c r="J73" s="145">
        <v>3.18613688227605E-3</v>
      </c>
      <c r="K73" s="145">
        <v>0.138831589940137</v>
      </c>
      <c r="L73" s="56">
        <v>7.99995847163921E-3</v>
      </c>
      <c r="M73" s="56">
        <v>3.6749815577381599E-2</v>
      </c>
      <c r="N73" s="145">
        <v>0.127725080361664</v>
      </c>
      <c r="O73" s="56">
        <v>1.9999896145790402E-3</v>
      </c>
      <c r="P73" s="56">
        <v>1.57499200131354E-2</v>
      </c>
      <c r="Q73" s="145">
        <v>320.029950432367</v>
      </c>
      <c r="R73" s="56">
        <f>0.000057143*Q73</f>
        <v>1.8287471457556746E-2</v>
      </c>
      <c r="S73" s="93">
        <f>0.000025616*Q73</f>
        <v>8.1978872102755132E-3</v>
      </c>
      <c r="T73" s="59">
        <f>C73*($F73*$G73)/453.59</f>
        <v>0.33179588354224376</v>
      </c>
      <c r="U73" s="59">
        <f>C73*($F73*$H73)/453.59</f>
        <v>0.31572417291582094</v>
      </c>
      <c r="V73" s="59">
        <f>C73*(($F73*$I73))/453.59</f>
        <v>6.5743714093025693E-2</v>
      </c>
      <c r="W73" s="59">
        <f>C73*($F73*$J73)/453.59</f>
        <v>1.2643679067212438E-3</v>
      </c>
      <c r="X73" s="59">
        <f>C73*(($F73*($K73+$L73+$M73)))/453.59</f>
        <v>7.2851353685152692E-2</v>
      </c>
      <c r="Y73" s="59">
        <f>C73*(($F73*($N73+$O73+$P73)))/453.59</f>
        <v>5.772944332566441E-2</v>
      </c>
      <c r="Z73" s="59">
        <f>C73*(F73)*$B$453</f>
        <v>1.7662149598755138E-2</v>
      </c>
      <c r="AA73" s="59">
        <f>Z73*0.21</f>
        <v>3.7090514157385786E-3</v>
      </c>
      <c r="AB73" s="59">
        <f>C73*(($F73*($Q73)))/453.59</f>
        <v>126.99881187377602</v>
      </c>
      <c r="AC73" s="59">
        <f>C73*(($F73*($R73)))/453.59</f>
        <v>7.2570931069031817E-3</v>
      </c>
      <c r="AD73" s="59">
        <f>C73*(($F73*($S73)))/453.59</f>
        <v>3.2532015649586465E-3</v>
      </c>
      <c r="AE73" s="63">
        <f>5*22</f>
        <v>110</v>
      </c>
      <c r="AF73" s="59">
        <f t="shared" ref="AF73:AP75" si="48">T73*$AE73/2000</f>
        <v>1.8248773594823409E-2</v>
      </c>
      <c r="AG73" s="59">
        <f t="shared" si="48"/>
        <v>1.7364829510370154E-2</v>
      </c>
      <c r="AH73" s="59">
        <f t="shared" si="48"/>
        <v>3.6159042751164132E-3</v>
      </c>
      <c r="AI73" s="59">
        <f t="shared" si="48"/>
        <v>6.9540234869668407E-5</v>
      </c>
      <c r="AJ73" s="59">
        <f t="shared" si="48"/>
        <v>4.0068244526833986E-3</v>
      </c>
      <c r="AK73" s="59">
        <f t="shared" si="48"/>
        <v>3.1751193829115424E-3</v>
      </c>
      <c r="AL73" s="59">
        <f t="shared" si="48"/>
        <v>9.7141822793153252E-4</v>
      </c>
      <c r="AM73" s="59">
        <f t="shared" si="48"/>
        <v>2.0399782786562182E-4</v>
      </c>
      <c r="AN73" s="59">
        <f t="shared" si="48"/>
        <v>6.9849346530576817</v>
      </c>
      <c r="AO73" s="59">
        <f t="shared" si="48"/>
        <v>3.9914012087967501E-4</v>
      </c>
      <c r="AP73" s="59">
        <f t="shared" si="48"/>
        <v>1.7892608607272557E-4</v>
      </c>
    </row>
    <row r="74" spans="1:42" x14ac:dyDescent="0.25">
      <c r="A74" s="91" t="s">
        <v>609</v>
      </c>
      <c r="B74" s="89" t="s">
        <v>107</v>
      </c>
      <c r="C74" s="92">
        <v>2</v>
      </c>
      <c r="D74" s="90">
        <v>2015</v>
      </c>
      <c r="E74" s="90">
        <v>15</v>
      </c>
      <c r="F74" s="90">
        <v>60</v>
      </c>
      <c r="G74" s="145">
        <v>0.83610719342181306</v>
      </c>
      <c r="H74" s="145">
        <v>0.79560737551603999</v>
      </c>
      <c r="I74" s="145">
        <v>0.165670507085864</v>
      </c>
      <c r="J74" s="145">
        <v>3.18613688227605E-3</v>
      </c>
      <c r="K74" s="145">
        <v>0.138831589940137</v>
      </c>
      <c r="L74" s="56">
        <v>7.99995847163921E-3</v>
      </c>
      <c r="M74" s="56">
        <v>3.6749815577381599E-2</v>
      </c>
      <c r="N74" s="145">
        <v>0.127725080361664</v>
      </c>
      <c r="O74" s="56">
        <v>1.9999896145790402E-3</v>
      </c>
      <c r="P74" s="56">
        <v>1.57499200131354E-2</v>
      </c>
      <c r="Q74" s="145">
        <v>320.029950432367</v>
      </c>
      <c r="R74" s="56">
        <f>0.000057143*Q74</f>
        <v>1.8287471457556746E-2</v>
      </c>
      <c r="S74" s="93">
        <f>0.000025616*Q74</f>
        <v>8.1978872102755132E-3</v>
      </c>
      <c r="T74" s="59">
        <f>C74*($F74*$G74)/453.59</f>
        <v>0.22119725569482918</v>
      </c>
      <c r="U74" s="59">
        <f>C74*($F74*$H74)/453.59</f>
        <v>0.21048278194388062</v>
      </c>
      <c r="V74" s="59">
        <f>C74*(($F74*$I74))/453.59</f>
        <v>4.3829142728683795E-2</v>
      </c>
      <c r="W74" s="59">
        <f>C74*($F74*$J74)/453.59</f>
        <v>8.429119378141626E-4</v>
      </c>
      <c r="X74" s="59">
        <f>C74*(($F74*($K74+$L74+$M74)))/453.59</f>
        <v>4.8567569123435128E-2</v>
      </c>
      <c r="Y74" s="59">
        <f>C74*(($F74*($N74+$O74+$P74)))/453.59</f>
        <v>3.8486295550442938E-2</v>
      </c>
      <c r="Z74" s="59">
        <f>C74*(F74)*$B$453</f>
        <v>1.1774766399170092E-2</v>
      </c>
      <c r="AA74" s="59">
        <f>Z74*0.21</f>
        <v>2.4727009438257194E-3</v>
      </c>
      <c r="AB74" s="59">
        <f>C74*(($F74*($Q74)))/453.59</f>
        <v>84.665874582517347</v>
      </c>
      <c r="AC74" s="59">
        <f>C74*(($F74*($R74)))/453.59</f>
        <v>4.8380620712687875E-3</v>
      </c>
      <c r="AD74" s="59">
        <f>C74*(($F74*($S74)))/453.59</f>
        <v>2.1688010433057645E-3</v>
      </c>
      <c r="AE74" s="63">
        <f>5*22</f>
        <v>110</v>
      </c>
      <c r="AF74" s="59">
        <f t="shared" si="48"/>
        <v>1.2165849063215604E-2</v>
      </c>
      <c r="AG74" s="59">
        <f t="shared" si="48"/>
        <v>1.1576553006913433E-2</v>
      </c>
      <c r="AH74" s="59">
        <f t="shared" si="48"/>
        <v>2.4106028500776085E-3</v>
      </c>
      <c r="AI74" s="59">
        <f t="shared" si="48"/>
        <v>4.6360156579778938E-5</v>
      </c>
      <c r="AJ74" s="59">
        <f t="shared" si="48"/>
        <v>2.6712163017889321E-3</v>
      </c>
      <c r="AK74" s="59">
        <f t="shared" si="48"/>
        <v>2.1167462552743616E-3</v>
      </c>
      <c r="AL74" s="59">
        <f t="shared" si="48"/>
        <v>6.4761215195435502E-4</v>
      </c>
      <c r="AM74" s="59">
        <f t="shared" si="48"/>
        <v>1.3599855191041458E-4</v>
      </c>
      <c r="AN74" s="59">
        <f t="shared" si="48"/>
        <v>4.6566231020384539</v>
      </c>
      <c r="AO74" s="59">
        <f t="shared" si="48"/>
        <v>2.6609341391978328E-4</v>
      </c>
      <c r="AP74" s="59">
        <f t="shared" si="48"/>
        <v>1.1928405738181705E-4</v>
      </c>
    </row>
    <row r="75" spans="1:42" x14ac:dyDescent="0.25">
      <c r="A75" s="91" t="s">
        <v>157</v>
      </c>
      <c r="B75" s="89" t="s">
        <v>128</v>
      </c>
      <c r="C75" s="90">
        <v>5</v>
      </c>
      <c r="D75" s="90">
        <v>2015</v>
      </c>
      <c r="E75" s="90">
        <v>35</v>
      </c>
      <c r="F75" s="90">
        <v>80</v>
      </c>
      <c r="G75" s="145">
        <v>1.1475010375994501</v>
      </c>
      <c r="H75" s="145">
        <v>6.1597902567033698</v>
      </c>
      <c r="I75" s="145">
        <v>0.27527412390358202</v>
      </c>
      <c r="J75" s="145">
        <v>1.0711818E-2</v>
      </c>
      <c r="K75" s="145">
        <v>7.9574350742464495E-2</v>
      </c>
      <c r="L75" s="567">
        <v>3.5999811999999999E-2</v>
      </c>
      <c r="M75" s="567">
        <v>6.1739677E-2</v>
      </c>
      <c r="N75" s="145">
        <v>7.32084026830674E-2</v>
      </c>
      <c r="O75" s="567">
        <v>8.9999529999999998E-3</v>
      </c>
      <c r="P75" s="567">
        <v>2.6459862000000001E-2</v>
      </c>
      <c r="Q75" s="145">
        <v>1735.6021746639301</v>
      </c>
      <c r="R75" s="56">
        <f>0.000057143*Q75</f>
        <v>9.9177515066820959E-2</v>
      </c>
      <c r="S75" s="93">
        <f>0.000025616*Q75</f>
        <v>4.445918530619123E-2</v>
      </c>
      <c r="T75" s="59">
        <f>C75*($F75*$G75)/453.59</f>
        <v>1.0119279857134857</v>
      </c>
      <c r="U75" s="59">
        <f>C75*($F75*$H75)/453.59</f>
        <v>5.432033560443017</v>
      </c>
      <c r="V75" s="59">
        <f>C75*(($F75*$I75))/453.59</f>
        <v>0.24275149267275034</v>
      </c>
      <c r="W75" s="59">
        <f>C75*($F75*$J75)/453.59</f>
        <v>9.4462558698383998E-3</v>
      </c>
      <c r="X75" s="59">
        <f>C75*(($F75*($K75+$L75+$M75)))/453.59</f>
        <v>0.15636485790468441</v>
      </c>
      <c r="Y75" s="59">
        <f>C75*(($F75*($N75+$O75+$P75)))/453.59</f>
        <v>9.5829465096732652E-2</v>
      </c>
      <c r="Z75" s="59">
        <f>C75*(F75)*$B$453</f>
        <v>3.924922133056697E-2</v>
      </c>
      <c r="AA75" s="59">
        <f>Z75*0.21</f>
        <v>8.2423364794190629E-3</v>
      </c>
      <c r="AB75" s="59">
        <f>C75*(($F75*($Q75)))/453.59</f>
        <v>1530.5471237583988</v>
      </c>
      <c r="AC75" s="59">
        <f>C75*(($F75*($R75)))/453.59</f>
        <v>8.7460054292926165E-2</v>
      </c>
      <c r="AD75" s="59">
        <f>C75*(($F75*($S75)))/453.59</f>
        <v>3.9206495122195137E-2</v>
      </c>
      <c r="AE75" s="63">
        <f t="shared" ref="AE75" si="49">5*22</f>
        <v>110</v>
      </c>
      <c r="AF75" s="59">
        <f t="shared" si="48"/>
        <v>5.5656039214241719E-2</v>
      </c>
      <c r="AG75" s="59">
        <f t="shared" si="48"/>
        <v>0.29876184582436593</v>
      </c>
      <c r="AH75" s="59">
        <f t="shared" si="48"/>
        <v>1.3351332097001269E-2</v>
      </c>
      <c r="AI75" s="59">
        <f t="shared" si="48"/>
        <v>5.1954407284111209E-4</v>
      </c>
      <c r="AJ75" s="59">
        <f t="shared" si="48"/>
        <v>8.6000671847576426E-3</v>
      </c>
      <c r="AK75" s="59">
        <f t="shared" si="48"/>
        <v>5.2706205803202963E-3</v>
      </c>
      <c r="AL75" s="59">
        <f t="shared" si="48"/>
        <v>2.1587071731811835E-3</v>
      </c>
      <c r="AM75" s="59">
        <f t="shared" si="48"/>
        <v>4.5332850636804842E-4</v>
      </c>
      <c r="AN75" s="59">
        <f t="shared" si="48"/>
        <v>84.180091806711928</v>
      </c>
      <c r="AO75" s="59">
        <f t="shared" si="48"/>
        <v>4.8103029861109384E-3</v>
      </c>
      <c r="AP75" s="59">
        <f t="shared" si="48"/>
        <v>2.1563572317207327E-3</v>
      </c>
    </row>
    <row r="76" spans="1:42" x14ac:dyDescent="0.25">
      <c r="A76" s="88" t="s">
        <v>38</v>
      </c>
      <c r="B76" s="89"/>
      <c r="C76" s="90"/>
      <c r="D76" s="90"/>
      <c r="E76" s="90"/>
      <c r="F76" s="90"/>
      <c r="G76" s="559"/>
      <c r="H76" s="56"/>
      <c r="I76" s="559"/>
      <c r="J76" s="64"/>
      <c r="K76" s="48"/>
      <c r="L76" s="48"/>
      <c r="M76" s="48"/>
      <c r="N76" s="48"/>
      <c r="O76" s="48"/>
      <c r="P76" s="48"/>
      <c r="Q76" s="64"/>
      <c r="R76" s="64"/>
      <c r="S76" s="64"/>
      <c r="T76" s="94">
        <f>SUM(T73:T75)</f>
        <v>1.5649211249505588</v>
      </c>
      <c r="U76" s="94">
        <f t="shared" ref="U76:AD76" si="50">SUM(U73:U75)</f>
        <v>5.9582405153027187</v>
      </c>
      <c r="V76" s="94">
        <f t="shared" si="50"/>
        <v>0.35232434949445984</v>
      </c>
      <c r="W76" s="94">
        <f t="shared" si="50"/>
        <v>1.1553535714373807E-2</v>
      </c>
      <c r="X76" s="94">
        <f t="shared" si="50"/>
        <v>0.27778378071327225</v>
      </c>
      <c r="Y76" s="94">
        <f t="shared" si="50"/>
        <v>0.19204520397284</v>
      </c>
      <c r="Z76" s="94">
        <f t="shared" si="50"/>
        <v>6.86861373284922E-2</v>
      </c>
      <c r="AA76" s="94">
        <f t="shared" si="50"/>
        <v>1.442408883898336E-2</v>
      </c>
      <c r="AB76" s="94">
        <f t="shared" si="50"/>
        <v>1742.2118102146922</v>
      </c>
      <c r="AC76" s="94">
        <f t="shared" si="50"/>
        <v>9.9555209471098138E-2</v>
      </c>
      <c r="AD76" s="94">
        <f t="shared" si="50"/>
        <v>4.462849773045955E-2</v>
      </c>
      <c r="AE76" s="69"/>
      <c r="AF76" s="94">
        <f>AF73</f>
        <v>1.8248773594823409E-2</v>
      </c>
      <c r="AG76" s="94">
        <f t="shared" ref="AG76:AP76" si="51">AG73</f>
        <v>1.7364829510370154E-2</v>
      </c>
      <c r="AH76" s="94">
        <f t="shared" si="51"/>
        <v>3.6159042751164132E-3</v>
      </c>
      <c r="AI76" s="94">
        <f t="shared" si="51"/>
        <v>6.9540234869668407E-5</v>
      </c>
      <c r="AJ76" s="94">
        <f t="shared" si="51"/>
        <v>4.0068244526833986E-3</v>
      </c>
      <c r="AK76" s="94">
        <f t="shared" si="51"/>
        <v>3.1751193829115424E-3</v>
      </c>
      <c r="AL76" s="94">
        <f t="shared" si="51"/>
        <v>9.7141822793153252E-4</v>
      </c>
      <c r="AM76" s="94">
        <f t="shared" si="51"/>
        <v>2.0399782786562182E-4</v>
      </c>
      <c r="AN76" s="94">
        <f t="shared" si="51"/>
        <v>6.9849346530576817</v>
      </c>
      <c r="AO76" s="94">
        <f t="shared" si="51"/>
        <v>3.9914012087967501E-4</v>
      </c>
      <c r="AP76" s="94">
        <f t="shared" si="51"/>
        <v>1.7892608607272557E-4</v>
      </c>
    </row>
    <row r="77" spans="1:42" x14ac:dyDescent="0.25">
      <c r="A77" s="88"/>
      <c r="B77" s="89"/>
      <c r="C77" s="90"/>
      <c r="D77" s="90"/>
      <c r="E77" s="90"/>
      <c r="F77" s="90"/>
      <c r="G77" s="559"/>
      <c r="H77" s="56"/>
      <c r="I77" s="559"/>
      <c r="J77" s="64"/>
      <c r="K77" s="48"/>
      <c r="L77" s="48"/>
      <c r="M77" s="48"/>
      <c r="N77" s="48"/>
      <c r="O77" s="48"/>
      <c r="P77" s="48"/>
      <c r="Q77" s="64"/>
      <c r="R77" s="64"/>
      <c r="S77" s="6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69"/>
      <c r="AF77" s="59"/>
      <c r="AG77" s="59"/>
      <c r="AH77" s="59"/>
      <c r="AI77" s="59"/>
      <c r="AJ77" s="59"/>
      <c r="AK77" s="59"/>
      <c r="AL77" s="61"/>
      <c r="AM77" s="61"/>
      <c r="AN77" s="63"/>
      <c r="AO77" s="61"/>
      <c r="AP77" s="61"/>
    </row>
    <row r="78" spans="1:42" x14ac:dyDescent="0.25">
      <c r="A78" s="577" t="s">
        <v>606</v>
      </c>
      <c r="B78" s="89"/>
      <c r="C78" s="90"/>
      <c r="D78" s="90"/>
      <c r="E78" s="90"/>
      <c r="F78" s="90"/>
      <c r="G78" s="559"/>
      <c r="H78" s="56"/>
      <c r="I78" s="559"/>
      <c r="J78" s="64"/>
      <c r="K78" s="48"/>
      <c r="L78" s="48"/>
      <c r="M78" s="48"/>
      <c r="N78" s="48"/>
      <c r="O78" s="48"/>
      <c r="P78" s="48"/>
      <c r="Q78" s="64"/>
      <c r="R78" s="64"/>
      <c r="S78" s="6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69"/>
      <c r="AF78" s="59"/>
      <c r="AG78" s="59"/>
      <c r="AH78" s="59"/>
      <c r="AI78" s="59"/>
      <c r="AJ78" s="59"/>
      <c r="AK78" s="59"/>
      <c r="AL78" s="61"/>
      <c r="AM78" s="61"/>
      <c r="AN78" s="63"/>
      <c r="AO78" s="61"/>
      <c r="AP78" s="61"/>
    </row>
    <row r="79" spans="1:42" x14ac:dyDescent="0.25">
      <c r="A79" s="91" t="s">
        <v>610</v>
      </c>
      <c r="B79" s="89" t="s">
        <v>107</v>
      </c>
      <c r="C79" s="92">
        <v>2</v>
      </c>
      <c r="D79" s="90">
        <v>2015</v>
      </c>
      <c r="E79" s="90">
        <v>15</v>
      </c>
      <c r="F79" s="90">
        <v>60</v>
      </c>
      <c r="G79" s="145">
        <v>0.83610719342181306</v>
      </c>
      <c r="H79" s="145">
        <v>0.79560737551603999</v>
      </c>
      <c r="I79" s="145">
        <v>0.165670507085864</v>
      </c>
      <c r="J79" s="145">
        <v>3.18613688227605E-3</v>
      </c>
      <c r="K79" s="145">
        <v>0.138831589940137</v>
      </c>
      <c r="L79" s="56">
        <v>7.99995847163921E-3</v>
      </c>
      <c r="M79" s="56">
        <v>3.6749815577381599E-2</v>
      </c>
      <c r="N79" s="145">
        <v>0.127725080361664</v>
      </c>
      <c r="O79" s="56">
        <v>1.9999896145790402E-3</v>
      </c>
      <c r="P79" s="56">
        <v>1.57499200131354E-2</v>
      </c>
      <c r="Q79" s="145">
        <v>320.029950432367</v>
      </c>
      <c r="R79" s="56">
        <f>0.000057143*Q79</f>
        <v>1.8287471457556746E-2</v>
      </c>
      <c r="S79" s="93">
        <f>0.000025616*Q79</f>
        <v>8.1978872102755132E-3</v>
      </c>
      <c r="T79" s="59">
        <f>C79*($F79*$G79)/453.59</f>
        <v>0.22119725569482918</v>
      </c>
      <c r="U79" s="59">
        <f>C79*($F79*$H79)/453.59</f>
        <v>0.21048278194388062</v>
      </c>
      <c r="V79" s="59">
        <f>C79*(($F79*$I79))/453.59</f>
        <v>4.3829142728683795E-2</v>
      </c>
      <c r="W79" s="59">
        <f>C79*($F79*$J79)/453.59</f>
        <v>8.429119378141626E-4</v>
      </c>
      <c r="X79" s="59">
        <f>C79*(($F79*($K79+$L79+$M79)))/453.59</f>
        <v>4.8567569123435128E-2</v>
      </c>
      <c r="Y79" s="59">
        <f>C79*(($F79*($N79+$O79+$P79)))/453.59</f>
        <v>3.8486295550442938E-2</v>
      </c>
      <c r="Z79" s="59">
        <f>C79*(F79)*$B$453</f>
        <v>1.1774766399170092E-2</v>
      </c>
      <c r="AA79" s="59">
        <f>Z79*0.21</f>
        <v>2.4727009438257194E-3</v>
      </c>
      <c r="AB79" s="59">
        <f>C79*(($F79*($Q79)))/453.59</f>
        <v>84.665874582517347</v>
      </c>
      <c r="AC79" s="59">
        <f>C79*(($F79*($R79)))/453.59</f>
        <v>4.8380620712687875E-3</v>
      </c>
      <c r="AD79" s="59">
        <f>C79*(($F79*($S79)))/453.59</f>
        <v>2.1688010433057645E-3</v>
      </c>
      <c r="AE79" s="63">
        <f>2*22</f>
        <v>44</v>
      </c>
      <c r="AF79" s="59">
        <f t="shared" ref="AF79:AP79" si="52">T79*$AE79/2000</f>
        <v>4.866339625286242E-3</v>
      </c>
      <c r="AG79" s="59">
        <f t="shared" si="52"/>
        <v>4.6306212027653736E-3</v>
      </c>
      <c r="AH79" s="59">
        <f t="shared" si="52"/>
        <v>9.6424114003104352E-4</v>
      </c>
      <c r="AI79" s="59">
        <f t="shared" si="52"/>
        <v>1.854406263191158E-5</v>
      </c>
      <c r="AJ79" s="59">
        <f t="shared" si="52"/>
        <v>1.0684865207155729E-3</v>
      </c>
      <c r="AK79" s="59">
        <f t="shared" si="52"/>
        <v>8.4669850210974463E-4</v>
      </c>
      <c r="AL79" s="59">
        <f t="shared" si="52"/>
        <v>2.5904486078174205E-4</v>
      </c>
      <c r="AM79" s="59">
        <f t="shared" si="52"/>
        <v>5.4399420764165824E-5</v>
      </c>
      <c r="AN79" s="59">
        <f t="shared" si="52"/>
        <v>1.8626492408153816</v>
      </c>
      <c r="AO79" s="59">
        <f t="shared" si="52"/>
        <v>1.0643736556791331E-4</v>
      </c>
      <c r="AP79" s="59">
        <f t="shared" si="52"/>
        <v>4.771362295272682E-5</v>
      </c>
    </row>
    <row r="80" spans="1:42" x14ac:dyDescent="0.25">
      <c r="A80" s="88" t="s">
        <v>38</v>
      </c>
      <c r="B80" s="89"/>
      <c r="C80" s="90"/>
      <c r="D80" s="90"/>
      <c r="E80" s="90"/>
      <c r="F80" s="90"/>
      <c r="G80" s="559"/>
      <c r="H80" s="56"/>
      <c r="I80" s="559"/>
      <c r="J80" s="64"/>
      <c r="K80" s="48"/>
      <c r="L80" s="48"/>
      <c r="M80" s="48"/>
      <c r="N80" s="48"/>
      <c r="O80" s="48"/>
      <c r="P80" s="48"/>
      <c r="Q80" s="64"/>
      <c r="R80" s="64"/>
      <c r="S80" s="64"/>
      <c r="T80" s="94">
        <f>T79</f>
        <v>0.22119725569482918</v>
      </c>
      <c r="U80" s="94">
        <f t="shared" ref="U80:AD80" si="53">U79</f>
        <v>0.21048278194388062</v>
      </c>
      <c r="V80" s="94">
        <f t="shared" si="53"/>
        <v>4.3829142728683795E-2</v>
      </c>
      <c r="W80" s="94">
        <f t="shared" si="53"/>
        <v>8.429119378141626E-4</v>
      </c>
      <c r="X80" s="94">
        <f t="shared" si="53"/>
        <v>4.8567569123435128E-2</v>
      </c>
      <c r="Y80" s="94">
        <f t="shared" si="53"/>
        <v>3.8486295550442938E-2</v>
      </c>
      <c r="Z80" s="94">
        <f t="shared" si="53"/>
        <v>1.1774766399170092E-2</v>
      </c>
      <c r="AA80" s="94">
        <f t="shared" si="53"/>
        <v>2.4727009438257194E-3</v>
      </c>
      <c r="AB80" s="94">
        <f t="shared" si="53"/>
        <v>84.665874582517347</v>
      </c>
      <c r="AC80" s="94">
        <f t="shared" si="53"/>
        <v>4.8380620712687875E-3</v>
      </c>
      <c r="AD80" s="94">
        <f t="shared" si="53"/>
        <v>2.1688010433057645E-3</v>
      </c>
      <c r="AE80" s="69"/>
      <c r="AF80" s="94">
        <f>AF79</f>
        <v>4.866339625286242E-3</v>
      </c>
      <c r="AG80" s="94">
        <f t="shared" ref="AG80:AP80" si="54">AG79</f>
        <v>4.6306212027653736E-3</v>
      </c>
      <c r="AH80" s="94">
        <f t="shared" si="54"/>
        <v>9.6424114003104352E-4</v>
      </c>
      <c r="AI80" s="94">
        <f t="shared" si="54"/>
        <v>1.854406263191158E-5</v>
      </c>
      <c r="AJ80" s="94">
        <f t="shared" si="54"/>
        <v>1.0684865207155729E-3</v>
      </c>
      <c r="AK80" s="94">
        <f t="shared" si="54"/>
        <v>8.4669850210974463E-4</v>
      </c>
      <c r="AL80" s="94">
        <f t="shared" si="54"/>
        <v>2.5904486078174205E-4</v>
      </c>
      <c r="AM80" s="94">
        <f t="shared" si="54"/>
        <v>5.4399420764165824E-5</v>
      </c>
      <c r="AN80" s="94">
        <f t="shared" si="54"/>
        <v>1.8626492408153816</v>
      </c>
      <c r="AO80" s="94">
        <f t="shared" si="54"/>
        <v>1.0643736556791331E-4</v>
      </c>
      <c r="AP80" s="94">
        <f t="shared" si="54"/>
        <v>4.771362295272682E-5</v>
      </c>
    </row>
    <row r="81" spans="1:67" x14ac:dyDescent="0.25">
      <c r="A81" s="88"/>
      <c r="B81" s="89"/>
      <c r="C81" s="90"/>
      <c r="D81" s="90"/>
      <c r="E81" s="90"/>
      <c r="F81" s="90"/>
      <c r="G81" s="167"/>
      <c r="H81" s="55"/>
      <c r="I81" s="168"/>
      <c r="J81" s="169"/>
      <c r="K81" s="48"/>
      <c r="L81" s="48"/>
      <c r="M81" s="48"/>
      <c r="N81" s="48"/>
      <c r="O81" s="48"/>
      <c r="P81" s="48"/>
      <c r="Q81" s="169"/>
      <c r="R81" s="64"/>
      <c r="S81" s="6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69"/>
      <c r="AF81" s="59"/>
      <c r="AG81" s="59"/>
      <c r="AH81" s="59"/>
      <c r="AI81" s="59"/>
      <c r="AJ81" s="59"/>
      <c r="AK81" s="59"/>
      <c r="AL81" s="61"/>
      <c r="AM81" s="61"/>
      <c r="AN81" s="63"/>
      <c r="AO81" s="61"/>
      <c r="AP81" s="61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</row>
    <row r="82" spans="1:67" x14ac:dyDescent="0.25">
      <c r="A82" s="88"/>
      <c r="B82" s="89"/>
      <c r="C82" s="90"/>
      <c r="D82" s="90"/>
      <c r="E82" s="90"/>
      <c r="F82" s="90"/>
      <c r="G82" s="559"/>
      <c r="H82" s="57"/>
      <c r="I82" s="559"/>
      <c r="J82" s="139"/>
      <c r="K82" s="48"/>
      <c r="L82" s="48"/>
      <c r="M82" s="48"/>
      <c r="N82" s="48"/>
      <c r="O82" s="48"/>
      <c r="P82" s="48"/>
      <c r="Q82" s="139"/>
      <c r="R82" s="64"/>
      <c r="S82" s="64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69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</row>
    <row r="83" spans="1:67" x14ac:dyDescent="0.25">
      <c r="R83" s="101"/>
      <c r="S83" s="70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</row>
    <row r="84" spans="1:67" x14ac:dyDescent="0.25">
      <c r="R84" s="101"/>
      <c r="S84" s="70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</row>
    <row r="85" spans="1:67" x14ac:dyDescent="0.25"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100"/>
      <c r="AF85" s="70"/>
      <c r="AG85" s="70"/>
      <c r="AH85" s="70"/>
      <c r="AI85" s="70"/>
      <c r="AJ85" s="70"/>
      <c r="AK85" s="70"/>
      <c r="AL85" s="70"/>
      <c r="AM85" s="70"/>
      <c r="AN85" s="10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</row>
    <row r="86" spans="1:67" x14ac:dyDescent="0.25"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100"/>
      <c r="AF86" s="70"/>
      <c r="AG86" s="70"/>
      <c r="AH86" s="70"/>
      <c r="AI86" s="70"/>
      <c r="AJ86" s="70"/>
      <c r="AK86" s="70"/>
      <c r="AL86" s="70"/>
      <c r="AM86" s="70"/>
      <c r="AN86" s="10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100"/>
      <c r="AF87" s="70"/>
      <c r="AG87" s="70"/>
      <c r="AH87" s="70"/>
      <c r="AI87" s="70"/>
      <c r="AJ87" s="70"/>
      <c r="AK87" s="70"/>
      <c r="AL87" s="70"/>
      <c r="AM87" s="70"/>
      <c r="AN87" s="10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100"/>
      <c r="AF88" s="70"/>
      <c r="AG88" s="70"/>
      <c r="AH88" s="70"/>
      <c r="AI88" s="70"/>
      <c r="AJ88" s="70"/>
      <c r="AK88" s="70"/>
      <c r="AL88" s="70"/>
      <c r="AM88" s="70"/>
      <c r="AN88" s="10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100"/>
      <c r="AF89" s="70"/>
      <c r="AG89" s="70"/>
      <c r="AH89" s="70"/>
      <c r="AI89" s="70"/>
      <c r="AJ89" s="70"/>
      <c r="AK89" s="70"/>
      <c r="AL89" s="70"/>
      <c r="AM89" s="70"/>
      <c r="AN89" s="10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  <row r="90" spans="1:67" x14ac:dyDescent="0.25"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100"/>
      <c r="AF90" s="70"/>
      <c r="AG90" s="70"/>
      <c r="AH90" s="70"/>
      <c r="AI90" s="70"/>
      <c r="AJ90" s="70"/>
      <c r="AK90" s="70"/>
      <c r="AL90" s="70"/>
      <c r="AM90" s="70"/>
      <c r="AN90" s="10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</row>
    <row r="91" spans="1:67" ht="15.6" x14ac:dyDescent="0.35">
      <c r="A91" s="730" t="s">
        <v>353</v>
      </c>
      <c r="B91" s="730" t="s">
        <v>63</v>
      </c>
      <c r="C91" s="730" t="s">
        <v>130</v>
      </c>
      <c r="D91" s="86"/>
      <c r="E91" s="86" t="s">
        <v>64</v>
      </c>
      <c r="F91" s="86" t="s">
        <v>65</v>
      </c>
      <c r="G91" s="555" t="s">
        <v>66</v>
      </c>
      <c r="H91" s="555" t="s">
        <v>67</v>
      </c>
      <c r="I91" s="557" t="s">
        <v>68</v>
      </c>
      <c r="J91" s="555" t="s">
        <v>69</v>
      </c>
      <c r="K91" s="720" t="s">
        <v>70</v>
      </c>
      <c r="L91" s="733"/>
      <c r="M91" s="733"/>
      <c r="N91" s="720" t="s">
        <v>71</v>
      </c>
      <c r="O91" s="733"/>
      <c r="P91" s="733"/>
      <c r="Q91" s="555" t="s">
        <v>72</v>
      </c>
      <c r="R91" s="557" t="s">
        <v>73</v>
      </c>
      <c r="S91" s="557" t="s">
        <v>74</v>
      </c>
      <c r="T91" s="715" t="s">
        <v>75</v>
      </c>
      <c r="U91" s="724"/>
      <c r="V91" s="724"/>
      <c r="W91" s="724"/>
      <c r="X91" s="724"/>
      <c r="Y91" s="725"/>
      <c r="Z91" s="725"/>
      <c r="AA91" s="725"/>
      <c r="AB91" s="725"/>
      <c r="AC91" s="725"/>
      <c r="AD91" s="717"/>
      <c r="AE91" s="69"/>
      <c r="AF91" s="726" t="s">
        <v>76</v>
      </c>
      <c r="AG91" s="727"/>
      <c r="AH91" s="727"/>
      <c r="AI91" s="727"/>
      <c r="AJ91" s="727"/>
      <c r="AK91" s="728"/>
      <c r="AL91" s="728"/>
      <c r="AM91" s="728"/>
      <c r="AN91" s="728"/>
      <c r="AO91" s="728"/>
      <c r="AP91" s="729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</row>
    <row r="92" spans="1:67" ht="66" x14ac:dyDescent="0.25">
      <c r="A92" s="731"/>
      <c r="B92" s="731"/>
      <c r="C92" s="732"/>
      <c r="D92" s="166"/>
      <c r="E92" s="87" t="s">
        <v>78</v>
      </c>
      <c r="F92" s="87" t="s">
        <v>79</v>
      </c>
      <c r="G92" s="556" t="s">
        <v>80</v>
      </c>
      <c r="H92" s="50" t="s">
        <v>80</v>
      </c>
      <c r="I92" s="50" t="s">
        <v>80</v>
      </c>
      <c r="J92" s="50" t="s">
        <v>80</v>
      </c>
      <c r="K92" s="557" t="s">
        <v>80</v>
      </c>
      <c r="L92" s="557" t="s">
        <v>82</v>
      </c>
      <c r="M92" s="557" t="s">
        <v>83</v>
      </c>
      <c r="N92" s="557" t="s">
        <v>80</v>
      </c>
      <c r="O92" s="557" t="s">
        <v>82</v>
      </c>
      <c r="P92" s="557" t="s">
        <v>83</v>
      </c>
      <c r="Q92" s="50" t="s">
        <v>80</v>
      </c>
      <c r="R92" s="557" t="s">
        <v>80</v>
      </c>
      <c r="S92" s="557" t="s">
        <v>80</v>
      </c>
      <c r="T92" s="74" t="s">
        <v>66</v>
      </c>
      <c r="U92" s="74" t="s">
        <v>84</v>
      </c>
      <c r="V92" s="74" t="s">
        <v>85</v>
      </c>
      <c r="W92" s="74" t="s">
        <v>69</v>
      </c>
      <c r="X92" s="74" t="s">
        <v>70</v>
      </c>
      <c r="Y92" s="74" t="s">
        <v>71</v>
      </c>
      <c r="Z92" s="75" t="s">
        <v>86</v>
      </c>
      <c r="AA92" s="75" t="s">
        <v>87</v>
      </c>
      <c r="AB92" s="75" t="s">
        <v>72</v>
      </c>
      <c r="AC92" s="75" t="s">
        <v>73</v>
      </c>
      <c r="AD92" s="75" t="s">
        <v>74</v>
      </c>
      <c r="AE92" s="52" t="s">
        <v>355</v>
      </c>
      <c r="AF92" s="74" t="s">
        <v>66</v>
      </c>
      <c r="AG92" s="74" t="s">
        <v>84</v>
      </c>
      <c r="AH92" s="74" t="s">
        <v>85</v>
      </c>
      <c r="AI92" s="74" t="s">
        <v>69</v>
      </c>
      <c r="AJ92" s="74" t="s">
        <v>70</v>
      </c>
      <c r="AK92" s="74" t="s">
        <v>71</v>
      </c>
      <c r="AL92" s="75" t="s">
        <v>86</v>
      </c>
      <c r="AM92" s="75" t="s">
        <v>87</v>
      </c>
      <c r="AN92" s="76" t="s">
        <v>72</v>
      </c>
      <c r="AO92" s="74" t="s">
        <v>73</v>
      </c>
      <c r="AP92" s="74" t="s">
        <v>74</v>
      </c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</row>
    <row r="93" spans="1:67" x14ac:dyDescent="0.25">
      <c r="A93" s="177" t="s">
        <v>354</v>
      </c>
      <c r="B93" s="87"/>
      <c r="C93" s="166"/>
      <c r="D93" s="166"/>
      <c r="E93" s="87"/>
      <c r="F93" s="87"/>
      <c r="G93" s="556"/>
      <c r="H93" s="50"/>
      <c r="I93" s="50"/>
      <c r="J93" s="50"/>
      <c r="K93" s="557"/>
      <c r="L93" s="557"/>
      <c r="M93" s="557"/>
      <c r="N93" s="557"/>
      <c r="O93" s="557"/>
      <c r="P93" s="557"/>
      <c r="Q93" s="50"/>
      <c r="R93" s="557"/>
      <c r="S93" s="557"/>
      <c r="T93" s="74"/>
      <c r="U93" s="74"/>
      <c r="V93" s="74"/>
      <c r="W93" s="74"/>
      <c r="X93" s="74"/>
      <c r="Y93" s="74"/>
      <c r="Z93" s="75"/>
      <c r="AA93" s="75"/>
      <c r="AB93" s="75"/>
      <c r="AC93" s="75"/>
      <c r="AD93" s="75"/>
      <c r="AE93" s="52"/>
      <c r="AF93" s="74"/>
      <c r="AG93" s="74"/>
      <c r="AH93" s="74"/>
      <c r="AI93" s="74"/>
      <c r="AJ93" s="74"/>
      <c r="AK93" s="74"/>
      <c r="AL93" s="75"/>
      <c r="AM93" s="75"/>
      <c r="AN93" s="76"/>
      <c r="AO93" s="74"/>
      <c r="AP93" s="74"/>
    </row>
    <row r="94" spans="1:67" x14ac:dyDescent="0.25">
      <c r="A94" s="91" t="s">
        <v>114</v>
      </c>
      <c r="B94" s="89" t="s">
        <v>107</v>
      </c>
      <c r="C94" s="92">
        <v>2</v>
      </c>
      <c r="D94" s="90"/>
      <c r="E94" s="90">
        <v>15</v>
      </c>
      <c r="F94" s="90">
        <v>60</v>
      </c>
      <c r="G94" s="145">
        <v>0.83610719342181306</v>
      </c>
      <c r="H94" s="145">
        <v>0.79560737551603999</v>
      </c>
      <c r="I94" s="145">
        <v>0.165670507085864</v>
      </c>
      <c r="J94" s="145">
        <v>3.18613688227605E-3</v>
      </c>
      <c r="K94" s="145">
        <v>0.138831589940137</v>
      </c>
      <c r="L94" s="56">
        <v>7.99995847163921E-3</v>
      </c>
      <c r="M94" s="56">
        <v>3.6749815577381599E-2</v>
      </c>
      <c r="N94" s="145">
        <v>0.127725080361664</v>
      </c>
      <c r="O94" s="56">
        <v>1.9999896145790402E-3</v>
      </c>
      <c r="P94" s="56">
        <v>1.57499200131354E-2</v>
      </c>
      <c r="Q94" s="145">
        <v>320.029950432367</v>
      </c>
      <c r="R94" s="56">
        <f>0.000057143*Q94</f>
        <v>1.8287471457556746E-2</v>
      </c>
      <c r="S94" s="93">
        <f>0.000025616*Q94</f>
        <v>8.1978872102755132E-3</v>
      </c>
      <c r="T94" s="59">
        <f>C94*($F94*$G94)/453.59</f>
        <v>0.22119725569482918</v>
      </c>
      <c r="U94" s="59">
        <f>C94*($F94*$H94)/453.59</f>
        <v>0.21048278194388062</v>
      </c>
      <c r="V94" s="59">
        <f>C94*(($F94*$I94))/453.59</f>
        <v>4.3829142728683795E-2</v>
      </c>
      <c r="W94" s="59">
        <f>C94*($F94*$J94)/453.59</f>
        <v>8.429119378141626E-4</v>
      </c>
      <c r="X94" s="59">
        <f>C94*(($F94*($K94+$L94+$M94)))/453.59</f>
        <v>4.8567569123435128E-2</v>
      </c>
      <c r="Y94" s="59">
        <f>C94*(($F94*($N94+$O94+$P94)))/453.59</f>
        <v>3.8486295550442938E-2</v>
      </c>
      <c r="Z94" s="59">
        <f>C94*(F94)*$B$453</f>
        <v>1.1774766399170092E-2</v>
      </c>
      <c r="AA94" s="59">
        <f>Z94*0.21</f>
        <v>2.4727009438257194E-3</v>
      </c>
      <c r="AB94" s="59">
        <f>C94*(($F94*($Q94)))/453.59</f>
        <v>84.665874582517347</v>
      </c>
      <c r="AC94" s="59">
        <f>C94*(($F94*($R94)))/453.59</f>
        <v>4.8380620712687875E-3</v>
      </c>
      <c r="AD94" s="59">
        <f>C94*(($F94*($S94)))/453.59</f>
        <v>2.1688010433057645E-3</v>
      </c>
      <c r="AE94" s="63">
        <v>30</v>
      </c>
      <c r="AF94" s="59">
        <f t="shared" ref="AF94:AP94" si="55">T94*$AE94/2000</f>
        <v>3.317958835422438E-3</v>
      </c>
      <c r="AG94" s="59">
        <f t="shared" si="55"/>
        <v>3.1572417291582094E-3</v>
      </c>
      <c r="AH94" s="59">
        <f t="shared" si="55"/>
        <v>6.5743714093025691E-4</v>
      </c>
      <c r="AI94" s="59">
        <f t="shared" si="55"/>
        <v>1.2643679067212439E-5</v>
      </c>
      <c r="AJ94" s="59">
        <f t="shared" si="55"/>
        <v>7.2851353685152696E-4</v>
      </c>
      <c r="AK94" s="59">
        <f t="shared" si="55"/>
        <v>5.7729443325664411E-4</v>
      </c>
      <c r="AL94" s="59">
        <f t="shared" si="55"/>
        <v>1.7662149598755139E-4</v>
      </c>
      <c r="AM94" s="59">
        <f t="shared" si="55"/>
        <v>3.7090514157385788E-5</v>
      </c>
      <c r="AN94" s="59">
        <f t="shared" si="55"/>
        <v>1.2699881187377602</v>
      </c>
      <c r="AO94" s="219">
        <f t="shared" si="55"/>
        <v>7.2570931069031815E-5</v>
      </c>
      <c r="AP94" s="219">
        <f t="shared" si="55"/>
        <v>3.2532015649586464E-5</v>
      </c>
    </row>
    <row r="443" spans="1:1" ht="26.4" x14ac:dyDescent="0.25">
      <c r="A443" s="96" t="s">
        <v>133</v>
      </c>
    </row>
    <row r="445" spans="1:1" x14ac:dyDescent="0.25">
      <c r="A445" s="41" t="s">
        <v>93</v>
      </c>
    </row>
    <row r="446" spans="1:1" x14ac:dyDescent="0.25">
      <c r="A446" s="41" t="s">
        <v>94</v>
      </c>
    </row>
    <row r="447" spans="1:1" x14ac:dyDescent="0.25">
      <c r="A447" s="41" t="s">
        <v>95</v>
      </c>
    </row>
    <row r="448" spans="1:1" x14ac:dyDescent="0.25">
      <c r="A448" s="42" t="s">
        <v>108</v>
      </c>
    </row>
    <row r="449" spans="1:2" x14ac:dyDescent="0.25">
      <c r="A449" s="41" t="s">
        <v>97</v>
      </c>
    </row>
    <row r="450" spans="1:2" x14ac:dyDescent="0.25">
      <c r="A450" s="41" t="s">
        <v>98</v>
      </c>
    </row>
    <row r="451" spans="1:2" x14ac:dyDescent="0.25">
      <c r="A451" s="41" t="s">
        <v>99</v>
      </c>
    </row>
    <row r="452" spans="1:2" x14ac:dyDescent="0.25">
      <c r="A452" s="41" t="s">
        <v>0</v>
      </c>
    </row>
    <row r="453" spans="1:2" x14ac:dyDescent="0.25">
      <c r="A453" s="42" t="s">
        <v>109</v>
      </c>
      <c r="B453" s="41">
        <f>(0.016*(0.03/2)^0.65*(2/3)^1.5)-0.00047</f>
        <v>9.8123053326417428E-5</v>
      </c>
    </row>
    <row r="454" spans="1:2" x14ac:dyDescent="0.25">
      <c r="A454" s="42" t="s">
        <v>110</v>
      </c>
      <c r="B454" s="41">
        <f>(0.016*(0.03/2)^0.65*(13/3)^1.5)-0.00047</f>
        <v>8.9448292388582783E-3</v>
      </c>
    </row>
    <row r="455" spans="1:2" x14ac:dyDescent="0.25">
      <c r="A455" s="42" t="s">
        <v>111</v>
      </c>
      <c r="B455" s="41">
        <f>(0.016*(0.03/2)^0.65*(20/3)^1.5)-0.00047</f>
        <v>1.7495628397607786E-2</v>
      </c>
    </row>
  </sheetData>
  <mergeCells count="14">
    <mergeCell ref="AF6:AP6"/>
    <mergeCell ref="A91:A92"/>
    <mergeCell ref="B91:B92"/>
    <mergeCell ref="C91:C92"/>
    <mergeCell ref="K91:M91"/>
    <mergeCell ref="N91:P91"/>
    <mergeCell ref="T91:AD91"/>
    <mergeCell ref="AF91:AP91"/>
    <mergeCell ref="A6:A7"/>
    <mergeCell ref="B6:B7"/>
    <mergeCell ref="C6:C7"/>
    <mergeCell ref="K6:M6"/>
    <mergeCell ref="N6:P6"/>
    <mergeCell ref="T6:AD6"/>
  </mergeCells>
  <pageMargins left="0.75" right="0.75" top="1" bottom="1" header="0.5" footer="0.5"/>
  <pageSetup scale="10" firstPageNumber="17" orientation="landscape" useFirstPageNumber="1" r:id="rId1"/>
  <headerFooter alignWithMargins="0">
    <oddHeader>&amp;CTable A-5
Construction and Operational Truck Trip Emissions
South Orange County Reliability Project - Distribution Facilities</oddHeader>
    <oddFooter>&amp;CA-5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72"/>
  <sheetViews>
    <sheetView workbookViewId="0">
      <selection activeCell="C24" sqref="C24"/>
    </sheetView>
  </sheetViews>
  <sheetFormatPr defaultColWidth="9.109375" defaultRowHeight="13.2" x14ac:dyDescent="0.25"/>
  <cols>
    <col min="1" max="1" width="49.6640625" style="562" customWidth="1"/>
    <col min="2" max="16" width="9.109375" style="562"/>
    <col min="17" max="17" width="9.109375" style="7"/>
    <col min="18" max="16384" width="9.109375" style="562"/>
  </cols>
  <sheetData>
    <row r="1" spans="1:19" x14ac:dyDescent="0.25">
      <c r="A1" s="3" t="s">
        <v>118</v>
      </c>
      <c r="B1" s="622" t="s">
        <v>1</v>
      </c>
      <c r="C1" s="621"/>
      <c r="D1" s="621"/>
      <c r="E1" s="621"/>
      <c r="F1" s="621"/>
      <c r="G1" s="621"/>
      <c r="H1" s="621"/>
      <c r="I1" s="621"/>
      <c r="J1" s="11"/>
      <c r="K1" s="623" t="s">
        <v>2</v>
      </c>
      <c r="L1" s="750"/>
      <c r="M1" s="750"/>
      <c r="N1" s="750"/>
      <c r="O1" s="750"/>
      <c r="P1" s="750"/>
      <c r="Q1" s="750"/>
      <c r="R1" s="750"/>
      <c r="S1" s="751"/>
    </row>
    <row r="2" spans="1:19" ht="39.6" x14ac:dyDescent="0.25">
      <c r="A2" s="19" t="str">
        <f>'Reroute 2-12kV Circuits'!A7</f>
        <v xml:space="preserve">Undergrounding 1: Construction 800' of UG </v>
      </c>
      <c r="B2" s="16" t="s">
        <v>18</v>
      </c>
      <c r="C2" s="16" t="s">
        <v>19</v>
      </c>
      <c r="D2" s="16" t="s">
        <v>20</v>
      </c>
      <c r="E2" s="16" t="s">
        <v>21</v>
      </c>
      <c r="F2" s="16" t="s">
        <v>22</v>
      </c>
      <c r="G2" s="16" t="s">
        <v>23</v>
      </c>
      <c r="H2" s="17" t="s">
        <v>24</v>
      </c>
      <c r="I2" s="16" t="s">
        <v>25</v>
      </c>
      <c r="J2" s="16" t="s">
        <v>26</v>
      </c>
      <c r="K2" s="18" t="s">
        <v>27</v>
      </c>
      <c r="L2" s="18" t="s">
        <v>28</v>
      </c>
      <c r="M2" s="18" t="s">
        <v>29</v>
      </c>
      <c r="N2" s="18" t="s">
        <v>30</v>
      </c>
      <c r="O2" s="18" t="s">
        <v>31</v>
      </c>
      <c r="P2" s="18" t="s">
        <v>32</v>
      </c>
      <c r="Q2" s="17" t="s">
        <v>33</v>
      </c>
      <c r="R2" s="18" t="s">
        <v>34</v>
      </c>
      <c r="S2" s="18" t="s">
        <v>35</v>
      </c>
    </row>
    <row r="3" spans="1:19" x14ac:dyDescent="0.25">
      <c r="A3" s="27" t="s">
        <v>75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4"/>
      <c r="R3" s="213"/>
      <c r="S3" s="213"/>
    </row>
    <row r="4" spans="1:19" x14ac:dyDescent="0.25">
      <c r="A4" s="27" t="s">
        <v>119</v>
      </c>
      <c r="B4" s="215">
        <f>'Reroute 2-12kV Circuits'!Q20</f>
        <v>8.076541964514206</v>
      </c>
      <c r="C4" s="215">
        <f>'Reroute 2-12kV Circuits'!R20</f>
        <v>31.086316392538752</v>
      </c>
      <c r="D4" s="215">
        <f>'Reroute 2-12kV Circuits'!S20</f>
        <v>58.472401686628174</v>
      </c>
      <c r="E4" s="215">
        <f>'Reroute 2-12kV Circuits'!T20</f>
        <v>0.10166004820491668</v>
      </c>
      <c r="F4" s="215">
        <f>'Reroute 2-12kV Circuits'!U20</f>
        <v>2.8290924617045459</v>
      </c>
      <c r="G4" s="215">
        <f>'Reroute 2-12kV Circuits'!V20</f>
        <v>2.5178922909170458</v>
      </c>
      <c r="H4" s="215">
        <f>'Reroute 2-12kV Circuits'!W20</f>
        <v>8871.5862150720732</v>
      </c>
      <c r="I4" s="215">
        <f>'Reroute 2-12kV Circuits'!X20</f>
        <v>0.75643225415866733</v>
      </c>
      <c r="J4" s="215">
        <f>'Reroute 2-12kV Circuits'!Y20</f>
        <v>5.554878160229678</v>
      </c>
      <c r="K4" s="215">
        <f>'Reroute 2-12kV Circuits'!E54</f>
        <v>0.14154457546339841</v>
      </c>
      <c r="L4" s="215">
        <f>'Reroute 2-12kV Circuits'!F54</f>
        <v>0.56899452111709625</v>
      </c>
      <c r="M4" s="215">
        <f>'Reroute 2-12kV Circuits'!G54</f>
        <v>1.0398399548117214</v>
      </c>
      <c r="N4" s="215">
        <f>'Reroute 2-12kV Circuits'!H54</f>
        <v>1.7938433875911064E-3</v>
      </c>
      <c r="O4" s="215">
        <f>'Reroute 2-12kV Circuits'!I54</f>
        <v>5.2732462980333891E-2</v>
      </c>
      <c r="P4" s="215">
        <f>'Reroute 2-12kV Circuits'!J54</f>
        <v>4.6931892052497169E-2</v>
      </c>
      <c r="Q4" s="215">
        <f>'Reroute 2-12kV Circuits'!K54</f>
        <v>156.1901970885952</v>
      </c>
      <c r="R4" s="215">
        <f>'Reroute 2-12kV Circuits'!L54</f>
        <v>1.3290334534613464E-2</v>
      </c>
      <c r="S4" s="215">
        <f>'Reroute 2-12kV Circuits'!M54</f>
        <v>9.8784795707113543E-2</v>
      </c>
    </row>
    <row r="5" spans="1:19" x14ac:dyDescent="0.25">
      <c r="A5" s="27" t="s">
        <v>120</v>
      </c>
      <c r="B5" s="215">
        <f>'WorkerTrips Distribution'!I103</f>
        <v>0.42105684827324247</v>
      </c>
      <c r="C5" s="215">
        <f>'WorkerTrips Distribution'!G103</f>
        <v>9.14383811597388</v>
      </c>
      <c r="D5" s="215">
        <f>'WorkerTrips Distribution'!H103</f>
        <v>0.82505872110934553</v>
      </c>
      <c r="E5" s="215">
        <f>'WorkerTrips Distribution'!J103</f>
        <v>1.087870176811658E-2</v>
      </c>
      <c r="F5" s="215">
        <f>'WorkerTrips Distribution'!K103+'WorkerTrips Distribution'!M103</f>
        <v>0.25673293898055188</v>
      </c>
      <c r="G5" s="215">
        <f>'WorkerTrips Distribution'!L103+'WorkerTrips Distribution'!N103</f>
        <v>0.10965551421564478</v>
      </c>
      <c r="H5" s="215">
        <f>'WorkerTrips Distribution'!O103</f>
        <v>876.64027907435968</v>
      </c>
      <c r="I5" s="215">
        <f>'WorkerTrips Distribution'!P103</f>
        <v>4.758224208516737E-2</v>
      </c>
      <c r="J5" s="215">
        <f>'WorkerTrips Distribution'!Q103</f>
        <v>8.6577847739085875E-2</v>
      </c>
      <c r="K5" s="215">
        <f>'WorkerTrips Distribution'!S103</f>
        <v>5.0291109637856338E-2</v>
      </c>
      <c r="L5" s="215">
        <f>'WorkerTrips Distribution'!T103</f>
        <v>4.5378229661013998E-3</v>
      </c>
      <c r="M5" s="215">
        <f>'WorkerTrips Distribution'!U103</f>
        <v>2.3158126655028334E-3</v>
      </c>
      <c r="N5" s="215">
        <f>'WorkerTrips Distribution'!V103</f>
        <v>5.9832859724641188E-5</v>
      </c>
      <c r="O5" s="215">
        <f>'WorkerTrips Distribution'!W103+'WorkerTrips Distribution'!Y103</f>
        <v>1.4120311643930354E-3</v>
      </c>
      <c r="P5" s="215">
        <f>'WorkerTrips Distribution'!X103+'WorkerTrips Distribution'!Z103</f>
        <v>6.0310532818604631E-4</v>
      </c>
      <c r="Q5" s="214">
        <f>'WorkerTrips Distribution'!AA103</f>
        <v>4.8215215349089782</v>
      </c>
      <c r="R5" s="215">
        <f>'WorkerTrips Distribution'!AB103</f>
        <v>2.6170233146842052E-4</v>
      </c>
      <c r="S5" s="215">
        <f>'WorkerTrips Distribution'!AC103</f>
        <v>4.7617816256497229E-4</v>
      </c>
    </row>
    <row r="6" spans="1:19" x14ac:dyDescent="0.25">
      <c r="A6" s="27" t="s">
        <v>121</v>
      </c>
      <c r="B6" s="215">
        <f>'Construction Trucks Distributio'!V12</f>
        <v>0.35232434949445984</v>
      </c>
      <c r="C6" s="215">
        <f>'Construction Trucks Distributio'!T12</f>
        <v>1.5649211249505588</v>
      </c>
      <c r="D6" s="215">
        <f>'Construction Trucks Distributio'!U12</f>
        <v>5.9582405153027187</v>
      </c>
      <c r="E6" s="215">
        <f>'Construction Trucks Distributio'!W12</f>
        <v>1.1553535714373807E-2</v>
      </c>
      <c r="F6" s="215">
        <f>'Construction Trucks Distributio'!X12+'Construction Trucks Distributio'!Z12</f>
        <v>0.34646991804176447</v>
      </c>
      <c r="G6" s="215">
        <f>'Construction Trucks Distributio'!Y12+'Construction Trucks Distributio'!AA12</f>
        <v>0.20646929281182336</v>
      </c>
      <c r="H6" s="215">
        <f>'Construction Trucks Distributio'!AB12</f>
        <v>1742.2118102146922</v>
      </c>
      <c r="I6" s="215">
        <f>'Construction Trucks Distributio'!AC12</f>
        <v>9.9555209471098138E-2</v>
      </c>
      <c r="J6" s="215">
        <f>'Construction Trucks Distributio'!AD12</f>
        <v>4.462849773045955E-2</v>
      </c>
      <c r="K6" s="215">
        <f>'Construction Trucks Distributio'!AH12</f>
        <v>1.9377839222195291E-2</v>
      </c>
      <c r="L6" s="215">
        <f>'Construction Trucks Distributio'!AF12</f>
        <v>8.607066187228074E-2</v>
      </c>
      <c r="M6" s="215">
        <f>'Construction Trucks Distributio'!AG12</f>
        <v>0.3277032283416495</v>
      </c>
      <c r="N6" s="215">
        <f>'Construction Trucks Distributio'!AI12</f>
        <v>6.3544446429055943E-4</v>
      </c>
      <c r="O6" s="215">
        <f>'Construction Trucks Distributio'!AJ12+'Construction Trucks Distributio'!AL12</f>
        <v>1.9055845492297045E-2</v>
      </c>
      <c r="P6" s="215">
        <f>'Construction Trucks Distributio'!AK12+'Construction Trucks Distributio'!AM12</f>
        <v>1.1355811104650285E-2</v>
      </c>
      <c r="Q6" s="214">
        <f>'Construction Trucks Distributio'!AN12</f>
        <v>95.821649561808059</v>
      </c>
      <c r="R6" s="215">
        <f>'Construction Trucks Distributio'!AO12</f>
        <v>5.4755365209103969E-3</v>
      </c>
      <c r="S6" s="215">
        <f>'Construction Trucks Distributio'!AP12</f>
        <v>2.4545673751752753E-3</v>
      </c>
    </row>
    <row r="7" spans="1:19" x14ac:dyDescent="0.25">
      <c r="A7" s="19" t="s">
        <v>123</v>
      </c>
      <c r="B7" s="22">
        <f t="shared" ref="B7:S7" si="0">SUM(B4:B6)</f>
        <v>8.8499231622819075</v>
      </c>
      <c r="C7" s="22">
        <f t="shared" si="0"/>
        <v>41.795075633463192</v>
      </c>
      <c r="D7" s="22">
        <f t="shared" si="0"/>
        <v>65.255700923040237</v>
      </c>
      <c r="E7" s="22">
        <f t="shared" si="0"/>
        <v>0.12409228568740707</v>
      </c>
      <c r="F7" s="22">
        <f t="shared" si="0"/>
        <v>3.4322953187268621</v>
      </c>
      <c r="G7" s="22">
        <f t="shared" si="0"/>
        <v>2.8340170979445141</v>
      </c>
      <c r="H7" s="22">
        <f t="shared" si="0"/>
        <v>11490.438304361125</v>
      </c>
      <c r="I7" s="22">
        <f t="shared" si="0"/>
        <v>0.90356970571493278</v>
      </c>
      <c r="J7" s="22">
        <f t="shared" si="0"/>
        <v>5.686084505699224</v>
      </c>
      <c r="K7" s="22">
        <f t="shared" si="0"/>
        <v>0.21121352432345006</v>
      </c>
      <c r="L7" s="22">
        <f t="shared" si="0"/>
        <v>0.65960300595547838</v>
      </c>
      <c r="M7" s="22">
        <f t="shared" si="0"/>
        <v>1.3698589958188736</v>
      </c>
      <c r="N7" s="22">
        <f t="shared" si="0"/>
        <v>2.4891207116063069E-3</v>
      </c>
      <c r="O7" s="22">
        <f t="shared" si="0"/>
        <v>7.3200339637023965E-2</v>
      </c>
      <c r="P7" s="22">
        <f t="shared" si="0"/>
        <v>5.8890808485333498E-2</v>
      </c>
      <c r="Q7" s="22">
        <f t="shared" si="0"/>
        <v>256.83336818531222</v>
      </c>
      <c r="R7" s="22">
        <f t="shared" si="0"/>
        <v>1.9027573386992281E-2</v>
      </c>
      <c r="S7" s="22">
        <f t="shared" si="0"/>
        <v>0.10171554124485378</v>
      </c>
    </row>
    <row r="8" spans="1:19" x14ac:dyDescent="0.25">
      <c r="A8" s="216" t="s">
        <v>124</v>
      </c>
      <c r="B8" s="216">
        <v>75</v>
      </c>
      <c r="C8" s="216">
        <v>550</v>
      </c>
      <c r="D8" s="216">
        <v>100</v>
      </c>
      <c r="E8" s="216">
        <v>150</v>
      </c>
      <c r="F8" s="216">
        <v>150</v>
      </c>
      <c r="G8" s="216">
        <v>55</v>
      </c>
      <c r="H8" s="216" t="s">
        <v>126</v>
      </c>
      <c r="I8" s="216" t="s">
        <v>126</v>
      </c>
      <c r="J8" s="216" t="s">
        <v>126</v>
      </c>
      <c r="K8" s="216"/>
      <c r="L8" s="216"/>
      <c r="M8" s="216"/>
      <c r="N8" s="216"/>
      <c r="O8" s="216"/>
      <c r="P8" s="216"/>
      <c r="Q8" s="217"/>
      <c r="R8" s="216"/>
      <c r="S8" s="216"/>
    </row>
    <row r="9" spans="1:19" x14ac:dyDescent="0.25">
      <c r="A9" s="27" t="s">
        <v>125</v>
      </c>
      <c r="B9" s="27" t="s">
        <v>127</v>
      </c>
      <c r="C9" s="27" t="s">
        <v>127</v>
      </c>
      <c r="D9" s="27" t="s">
        <v>127</v>
      </c>
      <c r="E9" s="27" t="s">
        <v>127</v>
      </c>
      <c r="F9" s="27" t="s">
        <v>127</v>
      </c>
      <c r="G9" s="27" t="s">
        <v>127</v>
      </c>
      <c r="H9" s="27" t="s">
        <v>126</v>
      </c>
      <c r="I9" s="27" t="s">
        <v>126</v>
      </c>
      <c r="J9" s="27" t="s">
        <v>126</v>
      </c>
      <c r="K9" s="27"/>
      <c r="L9" s="27"/>
      <c r="M9" s="27"/>
      <c r="N9" s="27"/>
      <c r="O9" s="27"/>
      <c r="P9" s="27"/>
      <c r="Q9" s="218"/>
      <c r="R9" s="27"/>
      <c r="S9" s="27"/>
    </row>
    <row r="10" spans="1:19" x14ac:dyDescent="0.25">
      <c r="A10" s="97"/>
      <c r="J10" s="105"/>
    </row>
    <row r="11" spans="1:19" x14ac:dyDescent="0.25">
      <c r="J11" s="105"/>
      <c r="O11" s="97"/>
      <c r="R11" s="98"/>
      <c r="S11" s="98"/>
    </row>
    <row r="12" spans="1:19" ht="39.6" x14ac:dyDescent="0.25">
      <c r="A12" s="19" t="str">
        <f>'Reroute 2-12kV Circuits'!A22</f>
        <v>Conductor Pulling</v>
      </c>
      <c r="B12" s="16" t="s">
        <v>18</v>
      </c>
      <c r="C12" s="16" t="s">
        <v>19</v>
      </c>
      <c r="D12" s="16" t="s">
        <v>20</v>
      </c>
      <c r="E12" s="16" t="s">
        <v>21</v>
      </c>
      <c r="F12" s="16" t="s">
        <v>22</v>
      </c>
      <c r="G12" s="16" t="s">
        <v>23</v>
      </c>
      <c r="H12" s="17" t="s">
        <v>24</v>
      </c>
      <c r="I12" s="16" t="s">
        <v>25</v>
      </c>
      <c r="J12" s="16" t="s">
        <v>26</v>
      </c>
      <c r="K12" s="18" t="s">
        <v>27</v>
      </c>
      <c r="L12" s="18" t="s">
        <v>28</v>
      </c>
      <c r="M12" s="18" t="s">
        <v>29</v>
      </c>
      <c r="N12" s="18" t="s">
        <v>30</v>
      </c>
      <c r="O12" s="18" t="s">
        <v>31</v>
      </c>
      <c r="P12" s="18" t="s">
        <v>32</v>
      </c>
      <c r="Q12" s="17" t="s">
        <v>33</v>
      </c>
      <c r="R12" s="18" t="s">
        <v>34</v>
      </c>
      <c r="S12" s="18" t="s">
        <v>35</v>
      </c>
    </row>
    <row r="13" spans="1:19" x14ac:dyDescent="0.25">
      <c r="A13" s="27" t="s">
        <v>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4"/>
      <c r="R13" s="213"/>
      <c r="S13" s="213"/>
    </row>
    <row r="14" spans="1:19" x14ac:dyDescent="0.25">
      <c r="A14" s="27" t="s">
        <v>119</v>
      </c>
      <c r="B14" s="215">
        <f>'Reroute 2-12kV Circuits'!Q25</f>
        <v>1.9729738119093185</v>
      </c>
      <c r="C14" s="215">
        <f>'Reroute 2-12kV Circuits'!R25</f>
        <v>7.0788148311241503</v>
      </c>
      <c r="D14" s="215">
        <f>'Reroute 2-12kV Circuits'!S25</f>
        <v>16.764829549483323</v>
      </c>
      <c r="E14" s="215">
        <f>'Reroute 2-12kV Circuits'!T25</f>
        <v>3.4954847828154265E-2</v>
      </c>
      <c r="F14" s="215">
        <f>'Reroute 2-12kV Circuits'!U25</f>
        <v>0.55114076950783752</v>
      </c>
      <c r="G14" s="215">
        <f>'Reroute 2-12kV Circuits'!V25</f>
        <v>0.49051528486197538</v>
      </c>
      <c r="H14" s="215">
        <f>'Reroute 2-12kV Circuits'!W25</f>
        <v>3366.2715243864996</v>
      </c>
      <c r="I14" s="215">
        <f>'Reroute 2-12kV Circuits'!X25</f>
        <v>0.18486311553940571</v>
      </c>
      <c r="J14" s="215">
        <f>'Reroute 2-12kV Circuits'!Y25</f>
        <v>1.5926588072009156</v>
      </c>
      <c r="K14" s="215">
        <f>'Reroute 2-12kV Circuits'!E59</f>
        <v>9.8648690595465934E-4</v>
      </c>
      <c r="L14" s="215">
        <f>'Reroute 2-12kV Circuits'!F59</f>
        <v>3.5394074155620748E-3</v>
      </c>
      <c r="M14" s="215">
        <f>'Reroute 2-12kV Circuits'!G59</f>
        <v>8.3824147747416609E-3</v>
      </c>
      <c r="N14" s="215">
        <f>'Reroute 2-12kV Circuits'!H59</f>
        <v>1.7477423914077132E-5</v>
      </c>
      <c r="O14" s="215">
        <f>'Reroute 2-12kV Circuits'!I59</f>
        <v>2.7557038475391877E-4</v>
      </c>
      <c r="P14" s="215">
        <f>'Reroute 2-12kV Circuits'!J59</f>
        <v>2.4525764243098767E-4</v>
      </c>
      <c r="Q14" s="215">
        <f>'Reroute 2-12kV Circuits'!K59</f>
        <v>1.6831357621932497</v>
      </c>
      <c r="R14" s="215">
        <f>'Reroute 2-12kV Circuits'!L59</f>
        <v>9.2431557769702844E-5</v>
      </c>
      <c r="S14" s="215">
        <f>'Reroute 2-12kV Circuits'!M59</f>
        <v>7.9632940360045788E-4</v>
      </c>
    </row>
    <row r="15" spans="1:19" x14ac:dyDescent="0.25">
      <c r="A15" s="27" t="s">
        <v>120</v>
      </c>
      <c r="B15" s="215">
        <f>'WorkerTrips Distribution'!I104</f>
        <v>0.22456365241239598</v>
      </c>
      <c r="C15" s="215">
        <f>'WorkerTrips Distribution'!G104</f>
        <v>4.8767136618527367</v>
      </c>
      <c r="D15" s="215">
        <f>'WorkerTrips Distribution'!H104</f>
        <v>0.44003131792498429</v>
      </c>
      <c r="E15" s="215">
        <f>'WorkerTrips Distribution'!J104</f>
        <v>5.8019742763288432E-3</v>
      </c>
      <c r="F15" s="215">
        <f>'WorkerTrips Distribution'!K104+'WorkerTrips Distribution'!M104</f>
        <v>0.13692423412296101</v>
      </c>
      <c r="G15" s="215">
        <f>'WorkerTrips Distribution'!L104+'WorkerTrips Distribution'!N104</f>
        <v>5.8482940915010551E-2</v>
      </c>
      <c r="H15" s="215">
        <f>'WorkerTrips Distribution'!O104</f>
        <v>467.54148217299189</v>
      </c>
      <c r="I15" s="215">
        <f>'WorkerTrips Distribution'!P104</f>
        <v>2.5377195778755929E-2</v>
      </c>
      <c r="J15" s="215">
        <f>'WorkerTrips Distribution'!Q104</f>
        <v>4.6174852127512461E-2</v>
      </c>
      <c r="K15" s="215">
        <f>'WorkerTrips Distribution'!S104</f>
        <v>2.6821925140190054E-2</v>
      </c>
      <c r="L15" s="215">
        <f>'WorkerTrips Distribution'!T104</f>
        <v>2.4201722485874136E-3</v>
      </c>
      <c r="M15" s="215">
        <f>'WorkerTrips Distribution'!U104</f>
        <v>1.235100088268178E-3</v>
      </c>
      <c r="N15" s="215">
        <f>'WorkerTrips Distribution'!V104</f>
        <v>3.1910858519808641E-5</v>
      </c>
      <c r="O15" s="215">
        <f>'WorkerTrips Distribution'!W104+'WorkerTrips Distribution'!Y104</f>
        <v>7.5308328767628556E-4</v>
      </c>
      <c r="P15" s="215">
        <f>'WorkerTrips Distribution'!X104+'WorkerTrips Distribution'!Z104</f>
        <v>3.2165617503255803E-4</v>
      </c>
      <c r="Q15" s="214">
        <f>'WorkerTrips Distribution'!AA104</f>
        <v>2.5714781519514553</v>
      </c>
      <c r="R15" s="215">
        <f>'WorkerTrips Distribution'!AB104</f>
        <v>1.3957457678315759E-4</v>
      </c>
      <c r="S15" s="215">
        <f>'WorkerTrips Distribution'!AC104</f>
        <v>2.5396168670131851E-4</v>
      </c>
    </row>
    <row r="16" spans="1:19" x14ac:dyDescent="0.25">
      <c r="A16" s="27" t="s">
        <v>121</v>
      </c>
      <c r="B16" s="215">
        <f>'Construction Trucks Distributio'!V16</f>
        <v>4.3829142728683795E-2</v>
      </c>
      <c r="C16" s="215">
        <f>'Construction Trucks Distributio'!T16</f>
        <v>0.22119725569482918</v>
      </c>
      <c r="D16" s="215">
        <f>'Construction Trucks Distributio'!U16</f>
        <v>0.21048278194388062</v>
      </c>
      <c r="E16" s="215">
        <f>'Construction Trucks Distributio'!W16</f>
        <v>8.429119378141626E-4</v>
      </c>
      <c r="F16" s="215">
        <f>'Construction Trucks Distributio'!X16+'Construction Trucks Distributio'!Z16</f>
        <v>6.034233552260522E-2</v>
      </c>
      <c r="G16" s="215">
        <f>'Construction Trucks Distributio'!Y16+'Construction Trucks Distributio'!AA16</f>
        <v>4.0958996494268658E-2</v>
      </c>
      <c r="H16" s="215">
        <f>'Construction Trucks Distributio'!AB16</f>
        <v>84.665874582517347</v>
      </c>
      <c r="I16" s="215">
        <f>'Construction Trucks Distributio'!AC16</f>
        <v>4.8380620712687875E-3</v>
      </c>
      <c r="J16" s="215">
        <f>'Construction Trucks Distributio'!AD16</f>
        <v>2.1688010433057645E-3</v>
      </c>
      <c r="K16" s="215">
        <f>'Construction Trucks Distributio'!AH16</f>
        <v>2.8927234200931307E-3</v>
      </c>
      <c r="L16" s="215">
        <f>'Construction Trucks Distributio'!AF16</f>
        <v>1.4599018875858726E-2</v>
      </c>
      <c r="M16" s="215">
        <f>'Construction Trucks Distributio'!AG16</f>
        <v>1.3891863608296123E-2</v>
      </c>
      <c r="N16" s="215">
        <f>'Construction Trucks Distributio'!AI16</f>
        <v>5.563218789573473E-5</v>
      </c>
      <c r="O16" s="215">
        <f>'Construction Trucks Distributio'!AJ16+'Construction Trucks Distributio'!AL16</f>
        <v>3.9825941444919443E-3</v>
      </c>
      <c r="P16" s="215">
        <f>'Construction Trucks Distributio'!AK16+'Construction Trucks Distributio'!AM16</f>
        <v>2.7032937686217316E-3</v>
      </c>
      <c r="Q16" s="214">
        <f>'Construction Trucks Distributio'!AN16</f>
        <v>5.5879477224461453</v>
      </c>
      <c r="R16" s="215">
        <f>'Construction Trucks Distributio'!AO16</f>
        <v>3.1931209670373999E-4</v>
      </c>
      <c r="S16" s="215">
        <f>'Construction Trucks Distributio'!AP16</f>
        <v>1.4314086885818046E-4</v>
      </c>
    </row>
    <row r="17" spans="1:19" x14ac:dyDescent="0.25">
      <c r="A17" s="19" t="s">
        <v>123</v>
      </c>
      <c r="B17" s="22">
        <f t="shared" ref="B17:S17" si="1">SUM(B14:B16)</f>
        <v>2.2413666070503981</v>
      </c>
      <c r="C17" s="22">
        <f t="shared" si="1"/>
        <v>12.176725748671716</v>
      </c>
      <c r="D17" s="22">
        <f t="shared" si="1"/>
        <v>17.415343649352188</v>
      </c>
      <c r="E17" s="22">
        <f t="shared" si="1"/>
        <v>4.1599734042297269E-2</v>
      </c>
      <c r="F17" s="22">
        <f t="shared" si="1"/>
        <v>0.74840733915340374</v>
      </c>
      <c r="G17" s="22">
        <f t="shared" si="1"/>
        <v>0.58995722227125458</v>
      </c>
      <c r="H17" s="22">
        <f t="shared" si="1"/>
        <v>3918.478881142009</v>
      </c>
      <c r="I17" s="22">
        <f t="shared" si="1"/>
        <v>0.21507837338943045</v>
      </c>
      <c r="J17" s="22">
        <f t="shared" si="1"/>
        <v>1.6410024603717339</v>
      </c>
      <c r="K17" s="22">
        <f t="shared" si="1"/>
        <v>3.0701135466237844E-2</v>
      </c>
      <c r="L17" s="22">
        <f t="shared" si="1"/>
        <v>2.0558598540008216E-2</v>
      </c>
      <c r="M17" s="22">
        <f t="shared" si="1"/>
        <v>2.3509378471305964E-2</v>
      </c>
      <c r="N17" s="22">
        <f t="shared" si="1"/>
        <v>1.0502047032962051E-4</v>
      </c>
      <c r="O17" s="22">
        <f t="shared" si="1"/>
        <v>5.0112478169221488E-3</v>
      </c>
      <c r="P17" s="22">
        <f t="shared" si="1"/>
        <v>3.2702075860852773E-3</v>
      </c>
      <c r="Q17" s="22">
        <f t="shared" si="1"/>
        <v>9.842561636590851</v>
      </c>
      <c r="R17" s="22">
        <f t="shared" si="1"/>
        <v>5.5131823125660043E-4</v>
      </c>
      <c r="S17" s="22">
        <f t="shared" si="1"/>
        <v>1.1934319591599568E-3</v>
      </c>
    </row>
    <row r="18" spans="1:19" x14ac:dyDescent="0.25">
      <c r="A18" s="27" t="s">
        <v>124</v>
      </c>
      <c r="B18" s="216">
        <v>75</v>
      </c>
      <c r="C18" s="216">
        <v>550</v>
      </c>
      <c r="D18" s="216">
        <v>100</v>
      </c>
      <c r="E18" s="216">
        <v>150</v>
      </c>
      <c r="F18" s="216">
        <v>150</v>
      </c>
      <c r="G18" s="216">
        <v>55</v>
      </c>
      <c r="H18" s="216" t="s">
        <v>126</v>
      </c>
      <c r="I18" s="216" t="s">
        <v>126</v>
      </c>
      <c r="J18" s="216" t="s">
        <v>126</v>
      </c>
      <c r="K18" s="213"/>
      <c r="L18" s="213"/>
      <c r="M18" s="213"/>
      <c r="N18" s="213"/>
      <c r="O18" s="213"/>
      <c r="P18" s="213"/>
      <c r="Q18" s="214"/>
      <c r="R18" s="213"/>
      <c r="S18" s="213"/>
    </row>
    <row r="19" spans="1:19" x14ac:dyDescent="0.25">
      <c r="A19" s="27" t="s">
        <v>125</v>
      </c>
      <c r="B19" s="27" t="s">
        <v>127</v>
      </c>
      <c r="C19" s="27" t="s">
        <v>127</v>
      </c>
      <c r="D19" s="27" t="s">
        <v>127</v>
      </c>
      <c r="E19" s="27" t="s">
        <v>127</v>
      </c>
      <c r="F19" s="27" t="s">
        <v>127</v>
      </c>
      <c r="G19" s="27" t="s">
        <v>127</v>
      </c>
      <c r="H19" s="27" t="s">
        <v>126</v>
      </c>
      <c r="I19" s="27" t="s">
        <v>126</v>
      </c>
      <c r="J19" s="27" t="s">
        <v>126</v>
      </c>
      <c r="K19" s="213"/>
      <c r="L19" s="213"/>
      <c r="M19" s="213"/>
      <c r="N19" s="213"/>
      <c r="O19" s="213"/>
      <c r="P19" s="213"/>
      <c r="Q19" s="214"/>
      <c r="R19" s="213"/>
      <c r="S19" s="213"/>
    </row>
    <row r="21" spans="1:19" x14ac:dyDescent="0.25">
      <c r="J21" s="105"/>
    </row>
    <row r="22" spans="1:19" ht="39.6" x14ac:dyDescent="0.25">
      <c r="A22" s="19" t="str">
        <f>'Reroute 2-12kV Circuits'!A27</f>
        <v>Cable Poles Foundation</v>
      </c>
      <c r="B22" s="16" t="s">
        <v>18</v>
      </c>
      <c r="C22" s="16" t="s">
        <v>19</v>
      </c>
      <c r="D22" s="16" t="s">
        <v>20</v>
      </c>
      <c r="E22" s="16" t="s">
        <v>21</v>
      </c>
      <c r="F22" s="16" t="s">
        <v>22</v>
      </c>
      <c r="G22" s="16" t="s">
        <v>23</v>
      </c>
      <c r="H22" s="17" t="s">
        <v>24</v>
      </c>
      <c r="I22" s="16" t="s">
        <v>25</v>
      </c>
      <c r="J22" s="16" t="s">
        <v>26</v>
      </c>
      <c r="K22" s="18" t="s">
        <v>27</v>
      </c>
      <c r="L22" s="18" t="s">
        <v>28</v>
      </c>
      <c r="M22" s="18" t="s">
        <v>29</v>
      </c>
      <c r="N22" s="18" t="s">
        <v>30</v>
      </c>
      <c r="O22" s="18" t="s">
        <v>31</v>
      </c>
      <c r="P22" s="18" t="s">
        <v>32</v>
      </c>
      <c r="Q22" s="17" t="s">
        <v>33</v>
      </c>
      <c r="R22" s="18" t="s">
        <v>34</v>
      </c>
      <c r="S22" s="18" t="s">
        <v>35</v>
      </c>
    </row>
    <row r="23" spans="1:19" x14ac:dyDescent="0.25">
      <c r="A23" s="27" t="s">
        <v>75</v>
      </c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4"/>
      <c r="R23" s="213"/>
      <c r="S23" s="213"/>
    </row>
    <row r="24" spans="1:19" x14ac:dyDescent="0.25">
      <c r="A24" s="27" t="s">
        <v>119</v>
      </c>
      <c r="B24" s="215">
        <f>'Reroute 2-12kV Circuits'!Q36</f>
        <v>1.7849442966733429</v>
      </c>
      <c r="C24" s="215">
        <f>'Reroute 2-12kV Circuits'!R36</f>
        <v>8.021749346412566</v>
      </c>
      <c r="D24" s="215">
        <f>'Reroute 2-12kV Circuits'!S36</f>
        <v>12.460496780052566</v>
      </c>
      <c r="E24" s="215">
        <f>'Reroute 2-12kV Circuits'!T36</f>
        <v>2.4258565252704152E-2</v>
      </c>
      <c r="F24" s="215">
        <f>'Reroute 2-12kV Circuits'!U36</f>
        <v>0.50749324745422297</v>
      </c>
      <c r="G24" s="215">
        <f>'Reroute 2-12kV Circuits'!V36</f>
        <v>0.45166899023425844</v>
      </c>
      <c r="H24" s="215">
        <f>'Reroute 2-12kV Circuits'!W36</f>
        <v>2094.8528064936431</v>
      </c>
      <c r="I24" s="215">
        <f>'Reroute 2-12kV Circuits'!X36</f>
        <v>0.16555644202419587</v>
      </c>
      <c r="J24" s="215">
        <f>'Reroute 2-12kV Circuits'!Y36</f>
        <v>1.1837471941049937</v>
      </c>
      <c r="K24" s="215">
        <f>'Reroute 2-12kV Circuits'!E70</f>
        <v>4.7122529432176256E-2</v>
      </c>
      <c r="L24" s="215">
        <f>'Reroute 2-12kV Circuits'!F70</f>
        <v>0.21177418274529172</v>
      </c>
      <c r="M24" s="215">
        <f>'Reroute 2-12kV Circuits'!G70</f>
        <v>0.3289571149933877</v>
      </c>
      <c r="N24" s="215">
        <f>'Reroute 2-12kV Circuits'!H70</f>
        <v>6.4042612267138979E-4</v>
      </c>
      <c r="O24" s="215">
        <f>'Reroute 2-12kV Circuits'!I70</f>
        <v>1.3397821732791488E-2</v>
      </c>
      <c r="P24" s="215">
        <f>'Reroute 2-12kV Circuits'!J70</f>
        <v>1.1924061342184425E-2</v>
      </c>
      <c r="Q24" s="215">
        <f>'Reroute 2-12kV Circuits'!K70</f>
        <v>55.304114091432176</v>
      </c>
      <c r="R24" s="215">
        <f>'Reroute 2-12kV Circuits'!L70</f>
        <v>4.3706900694387707E-3</v>
      </c>
      <c r="S24" s="215">
        <f>'Reroute 2-12kV Circuits'!M70</f>
        <v>3.1250925924371828E-2</v>
      </c>
    </row>
    <row r="25" spans="1:19" x14ac:dyDescent="0.25">
      <c r="A25" s="27" t="s">
        <v>120</v>
      </c>
      <c r="B25" s="215">
        <f>'WorkerTrips Distribution'!I105</f>
        <v>0.33684547861859399</v>
      </c>
      <c r="C25" s="215">
        <f>'WorkerTrips Distribution'!G105</f>
        <v>7.315070492779105</v>
      </c>
      <c r="D25" s="215">
        <f>'WorkerTrips Distribution'!H105</f>
        <v>0.66004697688747649</v>
      </c>
      <c r="E25" s="215">
        <f>'WorkerTrips Distribution'!J105</f>
        <v>8.7029614144932647E-3</v>
      </c>
      <c r="F25" s="215">
        <f>'WorkerTrips Distribution'!K105+'WorkerTrips Distribution'!M105</f>
        <v>0.20538635118444151</v>
      </c>
      <c r="G25" s="215">
        <f>'WorkerTrips Distribution'!L105+'WorkerTrips Distribution'!N105</f>
        <v>8.7724411372515826E-2</v>
      </c>
      <c r="H25" s="215">
        <f>'WorkerTrips Distribution'!O105</f>
        <v>701.31222325948784</v>
      </c>
      <c r="I25" s="215">
        <f>'WorkerTrips Distribution'!P105</f>
        <v>3.8065793668133896E-2</v>
      </c>
      <c r="J25" s="215">
        <f>'WorkerTrips Distribution'!Q105</f>
        <v>6.9262278191268692E-2</v>
      </c>
      <c r="K25" s="215">
        <f>'WorkerTrips Distribution'!S105</f>
        <v>4.0232887710285076E-2</v>
      </c>
      <c r="L25" s="215">
        <f>'WorkerTrips Distribution'!T105</f>
        <v>3.6302583728811204E-3</v>
      </c>
      <c r="M25" s="215">
        <f>'WorkerTrips Distribution'!U105</f>
        <v>1.8526501324022668E-3</v>
      </c>
      <c r="N25" s="215">
        <f>'WorkerTrips Distribution'!V105</f>
        <v>4.7866287779712955E-5</v>
      </c>
      <c r="O25" s="215">
        <f>'WorkerTrips Distribution'!W105+'WorkerTrips Distribution'!Y105</f>
        <v>1.1296249315144282E-3</v>
      </c>
      <c r="P25" s="215">
        <f>'WorkerTrips Distribution'!X105+'WorkerTrips Distribution'!Z105</f>
        <v>4.8248426254883709E-4</v>
      </c>
      <c r="Q25" s="214">
        <f>'WorkerTrips Distribution'!AA105</f>
        <v>3.8572172279271832</v>
      </c>
      <c r="R25" s="215">
        <f>'WorkerTrips Distribution'!AB105</f>
        <v>2.0936186517473644E-4</v>
      </c>
      <c r="S25" s="215">
        <f>'WorkerTrips Distribution'!AC105</f>
        <v>3.8094253005197779E-4</v>
      </c>
    </row>
    <row r="26" spans="1:19" x14ac:dyDescent="0.25">
      <c r="A26" s="27" t="s">
        <v>121</v>
      </c>
      <c r="B26" s="215">
        <f>'Construction Trucks Distributio'!V21</f>
        <v>7.046486989889196E-2</v>
      </c>
      <c r="C26" s="215">
        <f>'Construction Trucks Distributio'!T21</f>
        <v>0.31298422499011175</v>
      </c>
      <c r="D26" s="215">
        <f>'Construction Trucks Distributio'!U21</f>
        <v>1.1916481030605437</v>
      </c>
      <c r="E26" s="215">
        <f>'Construction Trucks Distributio'!W21</f>
        <v>2.3107071428747615E-3</v>
      </c>
      <c r="F26" s="215">
        <f>'Construction Trucks Distributio'!X21+'Construction Trucks Distributio'!Z21</f>
        <v>6.9293983608352885E-2</v>
      </c>
      <c r="G26" s="215">
        <f>'Construction Trucks Distributio'!Y21+'Construction Trucks Distributio'!AA21</f>
        <v>4.1293858562364671E-2</v>
      </c>
      <c r="H26" s="215">
        <f>'Construction Trucks Distributio'!AB21</f>
        <v>348.44236204293838</v>
      </c>
      <c r="I26" s="215">
        <f>'Construction Trucks Distributio'!AC21</f>
        <v>1.991104189421963E-2</v>
      </c>
      <c r="J26" s="215">
        <f>'Construction Trucks Distributio'!AD21</f>
        <v>8.92569954609191E-3</v>
      </c>
      <c r="K26" s="215">
        <f>'Construction Trucks Distributio'!AH21</f>
        <v>4.6506814133268695E-3</v>
      </c>
      <c r="L26" s="215">
        <f>'Construction Trucks Distributio'!AF21</f>
        <v>2.0656958849347377E-2</v>
      </c>
      <c r="M26" s="215">
        <f>'Construction Trucks Distributio'!AG21</f>
        <v>7.8648774801995877E-2</v>
      </c>
      <c r="N26" s="215">
        <f>'Construction Trucks Distributio'!AI21</f>
        <v>1.5250667142973425E-4</v>
      </c>
      <c r="O26" s="215">
        <f>'Construction Trucks Distributio'!AJ21+'Construction Trucks Distributio'!AL21</f>
        <v>4.5734029181512901E-3</v>
      </c>
      <c r="P26" s="215">
        <f>'Construction Trucks Distributio'!AK21+'Construction Trucks Distributio'!AM21</f>
        <v>2.7253946651160685E-3</v>
      </c>
      <c r="Q26" s="214">
        <f>'Construction Trucks Distributio'!AN21</f>
        <v>22.997195894833936</v>
      </c>
      <c r="R26" s="215">
        <f>'Construction Trucks Distributio'!AO21</f>
        <v>1.3141287650184955E-3</v>
      </c>
      <c r="S26" s="215">
        <f>'Construction Trucks Distributio'!AP21</f>
        <v>5.8909617004206615E-4</v>
      </c>
    </row>
    <row r="27" spans="1:19" x14ac:dyDescent="0.25">
      <c r="A27" s="19" t="s">
        <v>123</v>
      </c>
      <c r="B27" s="22">
        <f t="shared" ref="B27:S27" si="2">SUM(B24:B26)</f>
        <v>2.1922546451908289</v>
      </c>
      <c r="C27" s="22">
        <f t="shared" si="2"/>
        <v>15.649804064181783</v>
      </c>
      <c r="D27" s="22">
        <f t="shared" si="2"/>
        <v>14.312191860000587</v>
      </c>
      <c r="E27" s="22">
        <f t="shared" si="2"/>
        <v>3.5272233810072176E-2</v>
      </c>
      <c r="F27" s="22">
        <f t="shared" si="2"/>
        <v>0.78217358224701738</v>
      </c>
      <c r="G27" s="22">
        <f t="shared" si="2"/>
        <v>0.58068726016913896</v>
      </c>
      <c r="H27" s="22">
        <f t="shared" si="2"/>
        <v>3144.6073917960694</v>
      </c>
      <c r="I27" s="22">
        <f t="shared" si="2"/>
        <v>0.22353327758654939</v>
      </c>
      <c r="J27" s="22">
        <f t="shared" si="2"/>
        <v>1.2619351718423544</v>
      </c>
      <c r="K27" s="22">
        <f t="shared" si="2"/>
        <v>9.2006098555788202E-2</v>
      </c>
      <c r="L27" s="22">
        <f t="shared" si="2"/>
        <v>0.23606139996752021</v>
      </c>
      <c r="M27" s="22">
        <f t="shared" si="2"/>
        <v>0.40945853992778586</v>
      </c>
      <c r="N27" s="22">
        <f t="shared" si="2"/>
        <v>8.40799081880837E-4</v>
      </c>
      <c r="O27" s="22">
        <f t="shared" si="2"/>
        <v>1.9100849582457204E-2</v>
      </c>
      <c r="P27" s="22">
        <f t="shared" si="2"/>
        <v>1.513194026984933E-2</v>
      </c>
      <c r="Q27" s="22">
        <f t="shared" si="2"/>
        <v>82.158527214193299</v>
      </c>
      <c r="R27" s="22">
        <f t="shared" si="2"/>
        <v>5.8941806996320022E-3</v>
      </c>
      <c r="S27" s="22">
        <f t="shared" si="2"/>
        <v>3.2220964624465873E-2</v>
      </c>
    </row>
    <row r="28" spans="1:19" x14ac:dyDescent="0.25">
      <c r="A28" s="27" t="s">
        <v>124</v>
      </c>
      <c r="B28" s="216">
        <v>75</v>
      </c>
      <c r="C28" s="216">
        <v>550</v>
      </c>
      <c r="D28" s="216">
        <v>100</v>
      </c>
      <c r="E28" s="216">
        <v>150</v>
      </c>
      <c r="F28" s="216">
        <v>150</v>
      </c>
      <c r="G28" s="216">
        <v>55</v>
      </c>
      <c r="H28" s="216" t="s">
        <v>126</v>
      </c>
      <c r="I28" s="216" t="s">
        <v>126</v>
      </c>
      <c r="J28" s="216" t="s">
        <v>126</v>
      </c>
      <c r="K28" s="213"/>
      <c r="L28" s="213"/>
      <c r="M28" s="213"/>
      <c r="N28" s="213"/>
      <c r="O28" s="213"/>
      <c r="P28" s="213"/>
      <c r="Q28" s="214"/>
      <c r="R28" s="213"/>
      <c r="S28" s="213"/>
    </row>
    <row r="29" spans="1:19" x14ac:dyDescent="0.25">
      <c r="A29" s="27" t="s">
        <v>125</v>
      </c>
      <c r="B29" s="27" t="s">
        <v>127</v>
      </c>
      <c r="C29" s="27" t="s">
        <v>127</v>
      </c>
      <c r="D29" s="27" t="s">
        <v>127</v>
      </c>
      <c r="E29" s="27" t="s">
        <v>127</v>
      </c>
      <c r="F29" s="27" t="s">
        <v>127</v>
      </c>
      <c r="G29" s="27" t="s">
        <v>127</v>
      </c>
      <c r="H29" s="27" t="s">
        <v>126</v>
      </c>
      <c r="I29" s="27" t="s">
        <v>126</v>
      </c>
      <c r="J29" s="27" t="s">
        <v>126</v>
      </c>
      <c r="K29" s="213"/>
      <c r="L29" s="213"/>
      <c r="M29" s="213"/>
      <c r="N29" s="213"/>
      <c r="O29" s="213"/>
      <c r="P29" s="213"/>
      <c r="Q29" s="214"/>
      <c r="R29" s="213"/>
      <c r="S29" s="213"/>
    </row>
    <row r="30" spans="1:19" x14ac:dyDescent="0.25">
      <c r="A30" s="97"/>
      <c r="B30" s="97"/>
      <c r="C30" s="97"/>
      <c r="D30" s="97"/>
      <c r="E30" s="97"/>
      <c r="F30" s="97"/>
      <c r="G30" s="97"/>
      <c r="H30" s="97"/>
      <c r="I30" s="97"/>
      <c r="J30" s="107"/>
    </row>
    <row r="31" spans="1:19" x14ac:dyDescent="0.25">
      <c r="J31" s="105"/>
    </row>
    <row r="32" spans="1:19" ht="39.6" x14ac:dyDescent="0.25">
      <c r="A32" s="22" t="str">
        <f>'Construct 4 Foundations'!A7</f>
        <v>Construct Foundations</v>
      </c>
      <c r="B32" s="16" t="s">
        <v>18</v>
      </c>
      <c r="C32" s="16" t="s">
        <v>19</v>
      </c>
      <c r="D32" s="16" t="s">
        <v>20</v>
      </c>
      <c r="E32" s="16" t="s">
        <v>21</v>
      </c>
      <c r="F32" s="16" t="s">
        <v>22</v>
      </c>
      <c r="G32" s="16" t="s">
        <v>23</v>
      </c>
      <c r="H32" s="17" t="s">
        <v>24</v>
      </c>
      <c r="I32" s="16" t="s">
        <v>25</v>
      </c>
      <c r="J32" s="16" t="s">
        <v>26</v>
      </c>
      <c r="K32" s="18" t="s">
        <v>27</v>
      </c>
      <c r="L32" s="18" t="s">
        <v>28</v>
      </c>
      <c r="M32" s="18" t="s">
        <v>29</v>
      </c>
      <c r="N32" s="18" t="s">
        <v>30</v>
      </c>
      <c r="O32" s="18" t="s">
        <v>31</v>
      </c>
      <c r="P32" s="18" t="s">
        <v>32</v>
      </c>
      <c r="Q32" s="17" t="s">
        <v>33</v>
      </c>
      <c r="R32" s="18" t="s">
        <v>34</v>
      </c>
      <c r="S32" s="18" t="s">
        <v>35</v>
      </c>
    </row>
    <row r="33" spans="1:19" x14ac:dyDescent="0.25">
      <c r="A33" s="27" t="s">
        <v>75</v>
      </c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4"/>
      <c r="R33" s="213"/>
      <c r="S33" s="213"/>
    </row>
    <row r="34" spans="1:19" x14ac:dyDescent="0.25">
      <c r="A34" s="27" t="s">
        <v>119</v>
      </c>
      <c r="B34" s="215">
        <f>'Construct 4 Foundations'!Q13</f>
        <v>2.2818608804218221</v>
      </c>
      <c r="C34" s="215">
        <f>'Construct 4 Foundations'!R13</f>
        <v>10.098470671722989</v>
      </c>
      <c r="D34" s="215">
        <f>'Construct 4 Foundations'!S13</f>
        <v>16.382319752454379</v>
      </c>
      <c r="E34" s="215">
        <f>'Construct 4 Foundations'!T13</f>
        <v>3.2314769517188924E-2</v>
      </c>
      <c r="F34" s="215">
        <f>'Construct 4 Foundations'!U13</f>
        <v>0.65140066908940553</v>
      </c>
      <c r="G34" s="215">
        <f>'Construct 4 Foundations'!V13</f>
        <v>0.57974659548957086</v>
      </c>
      <c r="H34" s="215">
        <f>'Construct 4 Foundations'!W13</f>
        <v>2819.1957312109625</v>
      </c>
      <c r="I34" s="215">
        <f>'Construct 4 Foundations'!X13</f>
        <v>0.21205332591453951</v>
      </c>
      <c r="J34" s="215">
        <f>'Construct 4 Foundations'!Y13</f>
        <v>1.5563203764831663</v>
      </c>
      <c r="K34" s="215">
        <f>'Construct 4 Foundations'!E35</f>
        <v>2.3056948492740859E-2</v>
      </c>
      <c r="L34" s="215">
        <f>'Construct 4 Foundations'!F35</f>
        <v>0.11856404017402189</v>
      </c>
      <c r="M34" s="215">
        <f>'Construct 4 Foundations'!G35</f>
        <v>0.14923908902592048</v>
      </c>
      <c r="N34" s="215">
        <f>'Construct 4 Foundations'!H35</f>
        <v>2.9679148348400985E-4</v>
      </c>
      <c r="O34" s="215">
        <f>'Construct 4 Foundations'!I35</f>
        <v>6.7364217307062067E-3</v>
      </c>
      <c r="P34" s="215">
        <f>'Construct 4 Foundations'!J35</f>
        <v>5.9954153403285236E-3</v>
      </c>
      <c r="Q34" s="215">
        <f>'Construct 4 Foundations'!K35</f>
        <v>25.532798273850258</v>
      </c>
      <c r="R34" s="215">
        <f>'Construct 4 Foundations'!L35</f>
        <v>2.1280003679927627E-3</v>
      </c>
      <c r="S34" s="215">
        <f>'Construct 4 Foundations'!M35</f>
        <v>1.4177713457462444E-2</v>
      </c>
    </row>
    <row r="35" spans="1:19" x14ac:dyDescent="0.25">
      <c r="A35" s="27" t="s">
        <v>120</v>
      </c>
      <c r="B35" s="215">
        <f>'WorkerTrips Distribution'!I106</f>
        <v>0.33684547861859399</v>
      </c>
      <c r="C35" s="215">
        <f>'WorkerTrips Distribution'!J106</f>
        <v>8.7029614144932647E-3</v>
      </c>
      <c r="D35" s="215">
        <f>'WorkerTrips Distribution'!K106</f>
        <v>0.10412336015157872</v>
      </c>
      <c r="E35" s="215">
        <f>'WorkerTrips Distribution'!L106</f>
        <v>4.6206585049042084E-2</v>
      </c>
      <c r="F35" s="215">
        <f>'WorkerTrips Distribution'!K106+'WorkerTrips Distribution'!M106</f>
        <v>0.20538635118444151</v>
      </c>
      <c r="G35" s="215">
        <f>'WorkerTrips Distribution'!L106+'WorkerTrips Distribution'!N106</f>
        <v>8.7724411372515826E-2</v>
      </c>
      <c r="H35" s="215">
        <f>'WorkerTrips Distribution'!O106</f>
        <v>701.31222325948784</v>
      </c>
      <c r="I35" s="215">
        <f>'WorkerTrips Distribution'!P106</f>
        <v>3.8065793668133896E-2</v>
      </c>
      <c r="J35" s="215">
        <f>'WorkerTrips Distribution'!Q106</f>
        <v>6.9262278191268692E-2</v>
      </c>
      <c r="K35" s="215">
        <f>'WorkerTrips Distribution'!S106</f>
        <v>0.40232887710285076</v>
      </c>
      <c r="L35" s="215">
        <f>'WorkerTrips Distribution'!T106</f>
        <v>3.6302583728811205E-2</v>
      </c>
      <c r="M35" s="215">
        <f>'WorkerTrips Distribution'!U106</f>
        <v>1.8526501324022667E-2</v>
      </c>
      <c r="N35" s="215">
        <f>'WorkerTrips Distribution'!V106</f>
        <v>4.7866287779712956E-4</v>
      </c>
      <c r="O35" s="215">
        <f>'WorkerTrips Distribution'!W106+'WorkerTrips Distribution'!Y106</f>
        <v>1.1296249315144283E-2</v>
      </c>
      <c r="P35" s="215">
        <f>'WorkerTrips Distribution'!X106+'WorkerTrips Distribution'!Z106</f>
        <v>4.8248426254883705E-3</v>
      </c>
      <c r="Q35" s="215">
        <f>'WorkerTrips Distribution'!AA106</f>
        <v>38.572172279271825</v>
      </c>
      <c r="R35" s="215">
        <f>'WorkerTrips Distribution'!AB106</f>
        <v>2.0936186517473642E-3</v>
      </c>
      <c r="S35" s="215">
        <f>'WorkerTrips Distribution'!AC106</f>
        <v>3.8094253005197779E-3</v>
      </c>
    </row>
    <row r="36" spans="1:19" x14ac:dyDescent="0.25">
      <c r="A36" s="27" t="s">
        <v>121</v>
      </c>
      <c r="B36" s="215">
        <f>'Construction Trucks Distributio'!V26</f>
        <v>7.046486989889196E-2</v>
      </c>
      <c r="C36" s="215">
        <f>'Construction Trucks Distributio'!T26</f>
        <v>0.31298422499011175</v>
      </c>
      <c r="D36" s="215">
        <f>'Construction Trucks Distributio'!U26</f>
        <v>1.1916481030605437</v>
      </c>
      <c r="E36" s="215">
        <f>'Construction Trucks Distributio'!W26</f>
        <v>2.3107071428747615E-3</v>
      </c>
      <c r="F36" s="215">
        <f>'Construction Trucks Distributio'!X26+'Construction Trucks Distributio'!Z26</f>
        <v>6.9293983608352885E-2</v>
      </c>
      <c r="G36" s="215">
        <f>'Construction Trucks Distributio'!Y26+'Construction Trucks Distributio'!AA26</f>
        <v>4.1293858562364671E-2</v>
      </c>
      <c r="H36" s="215">
        <f>'Construction Trucks Distributio'!AB26</f>
        <v>348.44236204293838</v>
      </c>
      <c r="I36" s="215">
        <f>'Construction Trucks Distributio'!AC26</f>
        <v>1.991104189421963E-2</v>
      </c>
      <c r="J36" s="215">
        <f>'Construction Trucks Distributio'!AD26</f>
        <v>8.92569954609191E-3</v>
      </c>
      <c r="K36" s="215">
        <f>'Construction Trucks Distributio'!AH26</f>
        <v>1.5502271377756231E-3</v>
      </c>
      <c r="L36" s="215">
        <f>'Construction Trucks Distributio'!AF26</f>
        <v>6.8856529497824583E-3</v>
      </c>
      <c r="M36" s="215">
        <f>'Construction Trucks Distributio'!AG26</f>
        <v>2.6216258267331961E-2</v>
      </c>
      <c r="N36" s="215">
        <f>'Construction Trucks Distributio'!AI26</f>
        <v>5.0835557143244758E-5</v>
      </c>
      <c r="O36" s="215">
        <f>'Construction Trucks Distributio'!AJ26+'Construction Trucks Distributio'!AL26</f>
        <v>1.5244676393837632E-3</v>
      </c>
      <c r="P36" s="215">
        <f>'Construction Trucks Distributio'!AK26+'Construction Trucks Distributio'!AM26</f>
        <v>9.0846488837202275E-4</v>
      </c>
      <c r="Q36" s="215">
        <f>'Construction Trucks Distributio'!AN26</f>
        <v>7.6657319649446443</v>
      </c>
      <c r="R36" s="215">
        <f>'Construction Trucks Distributio'!AO26</f>
        <v>4.3804292167283184E-4</v>
      </c>
      <c r="S36" s="215">
        <f>'Construction Trucks Distributio'!AP26</f>
        <v>1.9636539001402205E-4</v>
      </c>
    </row>
    <row r="37" spans="1:19" x14ac:dyDescent="0.25">
      <c r="A37" s="19" t="s">
        <v>123</v>
      </c>
      <c r="B37" s="22">
        <f t="shared" ref="B37:S37" si="3">SUM(B34:B36)</f>
        <v>2.6891712289393079</v>
      </c>
      <c r="C37" s="22">
        <f t="shared" si="3"/>
        <v>10.420157858127594</v>
      </c>
      <c r="D37" s="22">
        <f t="shared" si="3"/>
        <v>17.678091215666502</v>
      </c>
      <c r="E37" s="22">
        <f t="shared" si="3"/>
        <v>8.0832061709105771E-2</v>
      </c>
      <c r="F37" s="22">
        <f t="shared" si="3"/>
        <v>0.92608100388219994</v>
      </c>
      <c r="G37" s="22">
        <f t="shared" si="3"/>
        <v>0.70876486542445138</v>
      </c>
      <c r="H37" s="22">
        <f t="shared" si="3"/>
        <v>3868.9503165133888</v>
      </c>
      <c r="I37" s="22">
        <f t="shared" si="3"/>
        <v>0.27003016147689302</v>
      </c>
      <c r="J37" s="22">
        <f t="shared" si="3"/>
        <v>1.634508354220527</v>
      </c>
      <c r="K37" s="22">
        <f t="shared" si="3"/>
        <v>0.42693605273336727</v>
      </c>
      <c r="L37" s="22">
        <f t="shared" si="3"/>
        <v>0.16175227685261556</v>
      </c>
      <c r="M37" s="22">
        <f t="shared" si="3"/>
        <v>0.1939818486172751</v>
      </c>
      <c r="N37" s="22">
        <f t="shared" si="3"/>
        <v>8.262899184243842E-4</v>
      </c>
      <c r="O37" s="22">
        <f t="shared" si="3"/>
        <v>1.9557138685234253E-2</v>
      </c>
      <c r="P37" s="22">
        <f t="shared" si="3"/>
        <v>1.1728722854188918E-2</v>
      </c>
      <c r="Q37" s="22">
        <f t="shared" si="3"/>
        <v>71.770702518066727</v>
      </c>
      <c r="R37" s="22">
        <f t="shared" si="3"/>
        <v>4.6596619414129587E-3</v>
      </c>
      <c r="S37" s="22">
        <f t="shared" si="3"/>
        <v>1.8183504147996243E-2</v>
      </c>
    </row>
    <row r="38" spans="1:19" x14ac:dyDescent="0.25">
      <c r="A38" s="27" t="s">
        <v>124</v>
      </c>
      <c r="B38" s="216">
        <v>75</v>
      </c>
      <c r="C38" s="216">
        <v>550</v>
      </c>
      <c r="D38" s="216">
        <v>100</v>
      </c>
      <c r="E38" s="216">
        <v>150</v>
      </c>
      <c r="F38" s="216">
        <v>150</v>
      </c>
      <c r="G38" s="216">
        <v>55</v>
      </c>
      <c r="H38" s="216" t="s">
        <v>126</v>
      </c>
      <c r="I38" s="216" t="s">
        <v>126</v>
      </c>
      <c r="J38" s="216" t="s">
        <v>126</v>
      </c>
      <c r="K38" s="215"/>
      <c r="L38" s="215"/>
      <c r="M38" s="215"/>
      <c r="N38" s="215"/>
      <c r="O38" s="215"/>
      <c r="P38" s="215"/>
      <c r="Q38" s="215"/>
      <c r="R38" s="215"/>
      <c r="S38" s="215"/>
    </row>
    <row r="39" spans="1:19" x14ac:dyDescent="0.25">
      <c r="A39" s="27" t="s">
        <v>125</v>
      </c>
      <c r="B39" s="27" t="s">
        <v>127</v>
      </c>
      <c r="C39" s="27" t="s">
        <v>127</v>
      </c>
      <c r="D39" s="27" t="s">
        <v>127</v>
      </c>
      <c r="E39" s="27" t="s">
        <v>127</v>
      </c>
      <c r="F39" s="27" t="s">
        <v>127</v>
      </c>
      <c r="G39" s="27" t="s">
        <v>127</v>
      </c>
      <c r="H39" s="27" t="s">
        <v>126</v>
      </c>
      <c r="I39" s="27" t="s">
        <v>126</v>
      </c>
      <c r="J39" s="27" t="s">
        <v>126</v>
      </c>
      <c r="K39" s="215"/>
      <c r="L39" s="215"/>
      <c r="M39" s="215"/>
      <c r="N39" s="215"/>
      <c r="O39" s="215"/>
      <c r="P39" s="215"/>
      <c r="Q39" s="215"/>
      <c r="R39" s="215"/>
      <c r="S39" s="215"/>
    </row>
    <row r="40" spans="1:19" x14ac:dyDescent="0.25">
      <c r="K40" s="98"/>
      <c r="L40" s="98"/>
      <c r="M40" s="98"/>
      <c r="N40" s="98"/>
      <c r="O40" s="98"/>
      <c r="P40" s="98"/>
      <c r="Q40" s="98"/>
      <c r="R40" s="98"/>
      <c r="S40" s="98"/>
    </row>
    <row r="41" spans="1:19" x14ac:dyDescent="0.25">
      <c r="J41" s="105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39.6" x14ac:dyDescent="0.25">
      <c r="A42" s="19" t="str">
        <f>'Construct 4 Foundations'!A15</f>
        <v>Set Poles</v>
      </c>
      <c r="B42" s="16" t="s">
        <v>18</v>
      </c>
      <c r="C42" s="16" t="s">
        <v>19</v>
      </c>
      <c r="D42" s="16" t="s">
        <v>20</v>
      </c>
      <c r="E42" s="16" t="s">
        <v>21</v>
      </c>
      <c r="F42" s="16" t="s">
        <v>22</v>
      </c>
      <c r="G42" s="16" t="s">
        <v>23</v>
      </c>
      <c r="H42" s="17" t="s">
        <v>24</v>
      </c>
      <c r="I42" s="16" t="s">
        <v>25</v>
      </c>
      <c r="J42" s="16" t="s">
        <v>26</v>
      </c>
      <c r="K42" s="16" t="s">
        <v>27</v>
      </c>
      <c r="L42" s="16" t="s">
        <v>28</v>
      </c>
      <c r="M42" s="16" t="s">
        <v>29</v>
      </c>
      <c r="N42" s="16" t="s">
        <v>30</v>
      </c>
      <c r="O42" s="16" t="s">
        <v>31</v>
      </c>
      <c r="P42" s="16" t="s">
        <v>32</v>
      </c>
      <c r="Q42" s="16" t="s">
        <v>33</v>
      </c>
      <c r="R42" s="16" t="s">
        <v>34</v>
      </c>
      <c r="S42" s="16" t="s">
        <v>35</v>
      </c>
    </row>
    <row r="43" spans="1:19" x14ac:dyDescent="0.25">
      <c r="A43" s="27" t="s">
        <v>75</v>
      </c>
      <c r="B43" s="213"/>
      <c r="C43" s="213"/>
      <c r="D43" s="213"/>
      <c r="E43" s="213"/>
      <c r="F43" s="213"/>
      <c r="G43" s="213"/>
      <c r="H43" s="213"/>
      <c r="I43" s="213"/>
      <c r="J43" s="213"/>
      <c r="K43" s="215"/>
      <c r="L43" s="215"/>
      <c r="M43" s="215"/>
      <c r="N43" s="215"/>
      <c r="O43" s="215"/>
      <c r="P43" s="215"/>
      <c r="Q43" s="215"/>
      <c r="R43" s="215"/>
      <c r="S43" s="215"/>
    </row>
    <row r="44" spans="1:19" x14ac:dyDescent="0.25">
      <c r="A44" s="27" t="s">
        <v>119</v>
      </c>
      <c r="B44" s="215">
        <f>'Construct 4 Foundations'!Q19</f>
        <v>0.95734701830222235</v>
      </c>
      <c r="C44" s="215">
        <f>'Construct 4 Foundations'!R19</f>
        <v>2.9282678130145099</v>
      </c>
      <c r="D44" s="215">
        <f>'Construct 4 Foundations'!S19</f>
        <v>7.5277865940667477</v>
      </c>
      <c r="E44" s="215">
        <f>'Construct 4 Foundations'!T19</f>
        <v>1.4991370822507318E-2</v>
      </c>
      <c r="F44" s="215">
        <f>'Construct 4 Foundations'!U19</f>
        <v>0.24971155120619309</v>
      </c>
      <c r="G44" s="215">
        <f>'Construct 4 Foundations'!V19</f>
        <v>0.22224328057351186</v>
      </c>
      <c r="H44" s="215">
        <f>'Construct 4 Foundations'!W19</f>
        <v>1332.3631586756949</v>
      </c>
      <c r="I44" s="215">
        <f>'Construct 4 Foundations'!X19</f>
        <v>9.0338603350955865E-2</v>
      </c>
      <c r="J44" s="215">
        <f>'Construct 4 Foundations'!Y19</f>
        <v>0.71513972643634105</v>
      </c>
      <c r="K44" s="215">
        <f>'Construct 4 Foundations'!E41</f>
        <v>5.2643970265881489E-3</v>
      </c>
      <c r="L44" s="215">
        <f>'Construct 4 Foundations'!F41</f>
        <v>1.6086686595918429E-2</v>
      </c>
      <c r="M44" s="215">
        <f>'Construct 4 Foundations'!G41</f>
        <v>4.1391987973716328E-2</v>
      </c>
      <c r="N44" s="215">
        <f>'Construct 4 Foundations'!H41</f>
        <v>8.2452539523790257E-5</v>
      </c>
      <c r="O44" s="215">
        <f>'Construct 4 Foundations'!I41</f>
        <v>1.3733051486975541E-3</v>
      </c>
      <c r="P44" s="215">
        <f>'Construct 4 Foundations'!J41</f>
        <v>1.2222415823408233E-3</v>
      </c>
      <c r="Q44" s="215">
        <f>'Construct 4 Foundations'!K41</f>
        <v>7.3279973727163217</v>
      </c>
      <c r="R44" s="215">
        <f>'Construct 4 Foundations'!L41</f>
        <v>4.9686231843025725E-4</v>
      </c>
      <c r="S44" s="215">
        <f>'Construct 4 Foundations'!M41</f>
        <v>3.9322388575030506E-3</v>
      </c>
    </row>
    <row r="45" spans="1:19" x14ac:dyDescent="0.25">
      <c r="A45" s="27" t="s">
        <v>120</v>
      </c>
      <c r="B45" s="215">
        <f>'WorkerTrips Distribution'!I107</f>
        <v>0.33684547861859399</v>
      </c>
      <c r="C45" s="215">
        <f>'WorkerTrips Distribution'!G107</f>
        <v>7.315070492779105</v>
      </c>
      <c r="D45" s="215">
        <f>'WorkerTrips Distribution'!H107</f>
        <v>0.66004697688747649</v>
      </c>
      <c r="E45" s="215">
        <f>'WorkerTrips Distribution'!J107</f>
        <v>8.7029614144932647E-3</v>
      </c>
      <c r="F45" s="215">
        <f>'WorkerTrips Distribution'!K107+'WorkerTrips Distribution'!M107</f>
        <v>0.20538635118444151</v>
      </c>
      <c r="G45" s="215">
        <f>'WorkerTrips Distribution'!L107+'WorkerTrips Distribution'!N107</f>
        <v>8.7724411372515826E-2</v>
      </c>
      <c r="H45" s="215">
        <f>'WorkerTrips Distribution'!O107</f>
        <v>701.31222325948784</v>
      </c>
      <c r="I45" s="215">
        <f>'WorkerTrips Distribution'!P107</f>
        <v>3.8065793668133896E-2</v>
      </c>
      <c r="J45" s="215">
        <f>'WorkerTrips Distribution'!Q107</f>
        <v>6.9262278191268692E-2</v>
      </c>
      <c r="K45" s="215">
        <f>'WorkerTrips Distribution'!S107</f>
        <v>0.40232887710285076</v>
      </c>
      <c r="L45" s="215">
        <f>'WorkerTrips Distribution'!T107</f>
        <v>3.6302583728811205E-2</v>
      </c>
      <c r="M45" s="215">
        <f>'WorkerTrips Distribution'!U107</f>
        <v>1.8526501324022667E-2</v>
      </c>
      <c r="N45" s="215">
        <f>'WorkerTrips Distribution'!V107</f>
        <v>4.7866287779712956E-4</v>
      </c>
      <c r="O45" s="215">
        <f>'WorkerTrips Distribution'!W107+'WorkerTrips Distribution'!Y107</f>
        <v>1.1296249315144283E-2</v>
      </c>
      <c r="P45" s="215">
        <f>'WorkerTrips Distribution'!X107+'WorkerTrips Distribution'!Z107</f>
        <v>4.8248426254883705E-3</v>
      </c>
      <c r="Q45" s="215">
        <f>'WorkerTrips Distribution'!AA107</f>
        <v>38.572172279271825</v>
      </c>
      <c r="R45" s="215">
        <f>'WorkerTrips Distribution'!AB107</f>
        <v>2.0936186517473642E-3</v>
      </c>
      <c r="S45" s="215">
        <f>'WorkerTrips Distribution'!AC107</f>
        <v>3.8094253005197779E-3</v>
      </c>
    </row>
    <row r="46" spans="1:19" x14ac:dyDescent="0.25">
      <c r="A46" s="27" t="s">
        <v>121</v>
      </c>
      <c r="B46" s="215">
        <f>'Construction Trucks Distributio'!V31</f>
        <v>7.046486989889196E-2</v>
      </c>
      <c r="C46" s="215">
        <f>'Construction Trucks Distributio'!T31</f>
        <v>0.31298422499011175</v>
      </c>
      <c r="D46" s="215">
        <f>'Construction Trucks Distributio'!U31</f>
        <v>1.1916481030605437</v>
      </c>
      <c r="E46" s="215">
        <f>'Construction Trucks Distributio'!W31</f>
        <v>2.3107071428747615E-3</v>
      </c>
      <c r="F46" s="215">
        <f>'Construction Trucks Distributio'!X31+'Construction Trucks Distributio'!Z31</f>
        <v>6.9293983608352885E-2</v>
      </c>
      <c r="G46" s="215">
        <f>'Construction Trucks Distributio'!Y31+'Construction Trucks Distributio'!AA31</f>
        <v>4.1293858562364671E-2</v>
      </c>
      <c r="H46" s="215">
        <f>'Construction Trucks Distributio'!AB31</f>
        <v>348.44236204293838</v>
      </c>
      <c r="I46" s="215">
        <f>'Construction Trucks Distributio'!AC31</f>
        <v>1.991104189421963E-2</v>
      </c>
      <c r="J46" s="215">
        <f>'Construction Trucks Distributio'!AD31</f>
        <v>8.92569954609191E-3</v>
      </c>
      <c r="K46" s="215">
        <f>'Construction Trucks Distributio'!AH31</f>
        <v>4.6506814133268695E-3</v>
      </c>
      <c r="L46" s="215">
        <f>'Construction Trucks Distributio'!AF31</f>
        <v>2.0656958849347377E-2</v>
      </c>
      <c r="M46" s="215">
        <f>'Construction Trucks Distributio'!AG31</f>
        <v>7.8648774801995877E-2</v>
      </c>
      <c r="N46" s="215">
        <f>'Construction Trucks Distributio'!AI31</f>
        <v>1.5250667142973425E-4</v>
      </c>
      <c r="O46" s="215">
        <f>'Construction Trucks Distributio'!AJ31+'Construction Trucks Distributio'!AL31</f>
        <v>4.5734029181512901E-3</v>
      </c>
      <c r="P46" s="215">
        <f>'Construction Trucks Distributio'!AK31+'Construction Trucks Distributio'!AM31</f>
        <v>2.7253946651160685E-3</v>
      </c>
      <c r="Q46" s="215">
        <f>'Construction Trucks Distributio'!AN31</f>
        <v>22.997195894833936</v>
      </c>
      <c r="R46" s="215">
        <f>'Construction Trucks Distributio'!AO31</f>
        <v>1.3141287650184955E-3</v>
      </c>
      <c r="S46" s="215">
        <f>'Construction Trucks Distributio'!AP31</f>
        <v>5.8909617004206615E-4</v>
      </c>
    </row>
    <row r="47" spans="1:19" x14ac:dyDescent="0.25">
      <c r="A47" s="19" t="s">
        <v>123</v>
      </c>
      <c r="B47" s="22">
        <f t="shared" ref="B47:S47" si="4">SUM(B44:B46)</f>
        <v>1.3646573668197082</v>
      </c>
      <c r="C47" s="22">
        <f t="shared" si="4"/>
        <v>10.556322530783726</v>
      </c>
      <c r="D47" s="22">
        <f t="shared" si="4"/>
        <v>9.3794816740147677</v>
      </c>
      <c r="E47" s="22">
        <f t="shared" si="4"/>
        <v>2.6005039379875347E-2</v>
      </c>
      <c r="F47" s="22">
        <f t="shared" si="4"/>
        <v>0.52439188599898756</v>
      </c>
      <c r="G47" s="22">
        <f t="shared" si="4"/>
        <v>0.35126155050839236</v>
      </c>
      <c r="H47" s="22">
        <f t="shared" si="4"/>
        <v>2382.1177439781213</v>
      </c>
      <c r="I47" s="22">
        <f t="shared" si="4"/>
        <v>0.14831543891330939</v>
      </c>
      <c r="J47" s="22">
        <f t="shared" si="4"/>
        <v>0.79332770417370169</v>
      </c>
      <c r="K47" s="22">
        <f t="shared" si="4"/>
        <v>0.41224395554276577</v>
      </c>
      <c r="L47" s="22">
        <f t="shared" si="4"/>
        <v>7.3046229174077007E-2</v>
      </c>
      <c r="M47" s="22">
        <f t="shared" si="4"/>
        <v>0.13856726409973485</v>
      </c>
      <c r="N47" s="22">
        <f t="shared" si="4"/>
        <v>7.1362208875065409E-4</v>
      </c>
      <c r="O47" s="22">
        <f t="shared" si="4"/>
        <v>1.7242957381993128E-2</v>
      </c>
      <c r="P47" s="22">
        <f t="shared" si="4"/>
        <v>8.7724788729452632E-3</v>
      </c>
      <c r="Q47" s="22">
        <f t="shared" si="4"/>
        <v>68.897365546822087</v>
      </c>
      <c r="R47" s="22">
        <f t="shared" si="4"/>
        <v>3.904609735196117E-3</v>
      </c>
      <c r="S47" s="22">
        <f t="shared" si="4"/>
        <v>8.3307603280648942E-3</v>
      </c>
    </row>
    <row r="48" spans="1:19" x14ac:dyDescent="0.25">
      <c r="A48" s="27" t="s">
        <v>124</v>
      </c>
      <c r="B48" s="216">
        <v>75</v>
      </c>
      <c r="C48" s="216">
        <v>550</v>
      </c>
      <c r="D48" s="216">
        <v>100</v>
      </c>
      <c r="E48" s="216">
        <v>150</v>
      </c>
      <c r="F48" s="216">
        <v>150</v>
      </c>
      <c r="G48" s="216">
        <v>55</v>
      </c>
      <c r="H48" s="216" t="s">
        <v>126</v>
      </c>
      <c r="I48" s="216" t="s">
        <v>126</v>
      </c>
      <c r="J48" s="216" t="s">
        <v>126</v>
      </c>
      <c r="K48" s="215"/>
      <c r="L48" s="215"/>
      <c r="M48" s="215"/>
      <c r="N48" s="215"/>
      <c r="O48" s="215"/>
      <c r="P48" s="215"/>
      <c r="Q48" s="215"/>
      <c r="R48" s="215"/>
      <c r="S48" s="215"/>
    </row>
    <row r="49" spans="1:19 16384:16384" x14ac:dyDescent="0.25">
      <c r="A49" s="27" t="s">
        <v>125</v>
      </c>
      <c r="B49" s="27" t="s">
        <v>127</v>
      </c>
      <c r="C49" s="27" t="s">
        <v>127</v>
      </c>
      <c r="D49" s="27" t="s">
        <v>127</v>
      </c>
      <c r="E49" s="27" t="s">
        <v>127</v>
      </c>
      <c r="F49" s="27" t="s">
        <v>127</v>
      </c>
      <c r="G49" s="27" t="s">
        <v>127</v>
      </c>
      <c r="H49" s="27" t="s">
        <v>126</v>
      </c>
      <c r="I49" s="27" t="s">
        <v>126</v>
      </c>
      <c r="J49" s="27" t="s">
        <v>126</v>
      </c>
      <c r="K49" s="215"/>
      <c r="L49" s="215"/>
      <c r="M49" s="215"/>
      <c r="N49" s="215"/>
      <c r="O49" s="215"/>
      <c r="P49" s="215"/>
      <c r="Q49" s="215"/>
      <c r="R49" s="215"/>
      <c r="S49" s="215"/>
    </row>
    <row r="50" spans="1:19 16384:16384" x14ac:dyDescent="0.25">
      <c r="K50" s="98"/>
      <c r="L50" s="98"/>
      <c r="M50" s="98"/>
      <c r="N50" s="98"/>
      <c r="O50" s="98"/>
      <c r="P50" s="98"/>
      <c r="Q50" s="98"/>
      <c r="R50" s="98"/>
      <c r="S50" s="98"/>
    </row>
    <row r="51" spans="1:19 16384:16384" x14ac:dyDescent="0.25">
      <c r="K51" s="98"/>
      <c r="L51" s="98"/>
      <c r="M51" s="98"/>
      <c r="N51" s="98"/>
      <c r="O51" s="98"/>
      <c r="P51" s="98"/>
      <c r="Q51" s="98"/>
      <c r="R51" s="98"/>
      <c r="S51" s="98"/>
    </row>
    <row r="52" spans="1:19 16384:16384" ht="39.6" x14ac:dyDescent="0.25">
      <c r="A52" s="19" t="str">
        <f>'Construct 4 Foundations'!A21</f>
        <v>Stringing Conductor</v>
      </c>
      <c r="B52" s="16" t="s">
        <v>18</v>
      </c>
      <c r="C52" s="16" t="s">
        <v>19</v>
      </c>
      <c r="D52" s="16" t="s">
        <v>20</v>
      </c>
      <c r="E52" s="16" t="s">
        <v>21</v>
      </c>
      <c r="F52" s="16" t="s">
        <v>22</v>
      </c>
      <c r="G52" s="16" t="s">
        <v>23</v>
      </c>
      <c r="H52" s="17" t="s">
        <v>24</v>
      </c>
      <c r="I52" s="16" t="s">
        <v>25</v>
      </c>
      <c r="J52" s="16" t="s">
        <v>26</v>
      </c>
      <c r="K52" s="16" t="s">
        <v>27</v>
      </c>
      <c r="L52" s="16" t="s">
        <v>28</v>
      </c>
      <c r="M52" s="16" t="s">
        <v>29</v>
      </c>
      <c r="N52" s="16" t="s">
        <v>30</v>
      </c>
      <c r="O52" s="16" t="s">
        <v>31</v>
      </c>
      <c r="P52" s="16" t="s">
        <v>32</v>
      </c>
      <c r="Q52" s="16" t="s">
        <v>33</v>
      </c>
      <c r="R52" s="16" t="s">
        <v>34</v>
      </c>
      <c r="S52" s="16" t="s">
        <v>35</v>
      </c>
    </row>
    <row r="53" spans="1:19 16384:16384" x14ac:dyDescent="0.25">
      <c r="A53" s="27" t="s">
        <v>75</v>
      </c>
      <c r="B53" s="213"/>
      <c r="C53" s="213"/>
      <c r="D53" s="213"/>
      <c r="E53" s="213"/>
      <c r="F53" s="213"/>
      <c r="G53" s="213"/>
      <c r="H53" s="213"/>
      <c r="I53" s="213"/>
      <c r="J53" s="213"/>
      <c r="K53" s="215"/>
      <c r="L53" s="215"/>
      <c r="M53" s="215"/>
      <c r="N53" s="215"/>
      <c r="O53" s="215"/>
      <c r="P53" s="215"/>
      <c r="Q53" s="215"/>
      <c r="R53" s="215"/>
      <c r="S53" s="215"/>
    </row>
    <row r="54" spans="1:19 16384:16384" x14ac:dyDescent="0.25">
      <c r="A54" s="27" t="s">
        <v>119</v>
      </c>
      <c r="B54" s="215">
        <f>'Construct 4 Foundations'!Q25</f>
        <v>1.4714618404134705</v>
      </c>
      <c r="C54" s="215">
        <f>'Construct 4 Foundations'!R25</f>
        <v>5.1555529222849117</v>
      </c>
      <c r="D54" s="215">
        <f>'Construct 4 Foundations'!S25</f>
        <v>12.485030892271222</v>
      </c>
      <c r="E54" s="215">
        <f>'Construct 4 Foundations'!T25</f>
        <v>2.6216135871115702E-2</v>
      </c>
      <c r="F54" s="215">
        <f>'Construct 4 Foundations'!U25</f>
        <v>0.41246966443246547</v>
      </c>
      <c r="G54" s="215">
        <f>'Construct 4 Foundations'!V25</f>
        <v>0.36709800134489423</v>
      </c>
      <c r="H54" s="215">
        <f>'Construct 4 Foundations'!W25</f>
        <v>2524.7036432898749</v>
      </c>
      <c r="I54" s="215">
        <f>'Construct 4 Foundations'!X25</f>
        <v>0.13864733665455425</v>
      </c>
      <c r="J54" s="215">
        <f>'Construct 4 Foundations'!Y25</f>
        <v>1.1860779347657662</v>
      </c>
      <c r="K54" s="215">
        <f>'Construct 4 Foundations'!E47</f>
        <v>1.3108992347063045E-2</v>
      </c>
      <c r="L54" s="215">
        <f>'Construct 4 Foundations'!F47</f>
        <v>4.3593488962116039E-2</v>
      </c>
      <c r="M54" s="215">
        <f>'Construct 4 Foundations'!G47</f>
        <v>0.10848693633645151</v>
      </c>
      <c r="N54" s="215">
        <f>'Construct 4 Foundations'!H47</f>
        <v>2.2475798392797714E-4</v>
      </c>
      <c r="O54" s="215">
        <f>'Construct 4 Foundations'!I47</f>
        <v>3.5955370801178995E-3</v>
      </c>
      <c r="P54" s="215">
        <f>'Construct 4 Foundations'!J47</f>
        <v>3.2000280013049307E-3</v>
      </c>
      <c r="Q54" s="215">
        <f>'Construct 4 Foundations'!K47</f>
        <v>21.143856073779872</v>
      </c>
      <c r="R54" s="215">
        <f>'Construct 4 Foundations'!L47</f>
        <v>1.2384077350066269E-3</v>
      </c>
      <c r="S54" s="215">
        <f>'Construct 4 Foundations'!M47</f>
        <v>1.0306258951962893E-2</v>
      </c>
    </row>
    <row r="55" spans="1:19 16384:16384" x14ac:dyDescent="0.25">
      <c r="A55" s="27" t="s">
        <v>120</v>
      </c>
      <c r="B55" s="215">
        <f>'WorkerTrips Distribution'!I108</f>
        <v>0.33684547861859399</v>
      </c>
      <c r="C55" s="215">
        <f>'WorkerTrips Distribution'!G108</f>
        <v>7.315070492779105</v>
      </c>
      <c r="D55" s="215">
        <f>'WorkerTrips Distribution'!H108</f>
        <v>0.66004697688747649</v>
      </c>
      <c r="E55" s="215">
        <f>'WorkerTrips Distribution'!J108</f>
        <v>8.7029614144932647E-3</v>
      </c>
      <c r="F55" s="215">
        <f>'WorkerTrips Distribution'!K108+'WorkerTrips Distribution'!M108</f>
        <v>0.20538635118444151</v>
      </c>
      <c r="G55" s="215">
        <f>'WorkerTrips Distribution'!L108+'WorkerTrips Distribution'!N108</f>
        <v>8.7724411372515826E-2</v>
      </c>
      <c r="H55" s="215">
        <f>'WorkerTrips Distribution'!O108</f>
        <v>701.31222325948784</v>
      </c>
      <c r="I55" s="215">
        <f>'WorkerTrips Distribution'!P108</f>
        <v>3.8065793668133896E-2</v>
      </c>
      <c r="J55" s="215">
        <f>'WorkerTrips Distribution'!Q108</f>
        <v>6.9262278191268692E-2</v>
      </c>
      <c r="K55" s="215">
        <f>'WorkerTrips Distribution'!S108</f>
        <v>0.40232887710285076</v>
      </c>
      <c r="L55" s="215">
        <f>'WorkerTrips Distribution'!T108</f>
        <v>3.6302583728811205E-2</v>
      </c>
      <c r="M55" s="215">
        <f>'WorkerTrips Distribution'!U108</f>
        <v>1.8526501324022667E-2</v>
      </c>
      <c r="N55" s="215">
        <f>'WorkerTrips Distribution'!V108</f>
        <v>4.7866287779712956E-4</v>
      </c>
      <c r="O55" s="215">
        <f>'WorkerTrips Distribution'!W108+'WorkerTrips Distribution'!Y108</f>
        <v>1.1296249315144283E-2</v>
      </c>
      <c r="P55" s="215">
        <f>'WorkerTrips Distribution'!X108+'WorkerTrips Distribution'!Z108</f>
        <v>4.8248426254883705E-3</v>
      </c>
      <c r="Q55" s="214">
        <f>'WorkerTrips Distribution'!AA108</f>
        <v>38.572172279271825</v>
      </c>
      <c r="R55" s="215">
        <f>'WorkerTrips Distribution'!AB108</f>
        <v>2.0936186517473642E-3</v>
      </c>
      <c r="S55" s="215">
        <f>'WorkerTrips Distribution'!AC108</f>
        <v>3.8094253005197779E-3</v>
      </c>
    </row>
    <row r="56" spans="1:19 16384:16384" x14ac:dyDescent="0.25">
      <c r="A56" s="27" t="s">
        <v>121</v>
      </c>
      <c r="B56" s="215">
        <f>'Construction Trucks Distributio'!V35</f>
        <v>4.3829142728683795E-2</v>
      </c>
      <c r="C56" s="215">
        <f>'Construction Trucks Distributio'!T35</f>
        <v>0.22119725569482918</v>
      </c>
      <c r="D56" s="215">
        <f>'Construction Trucks Distributio'!U35</f>
        <v>0.21048278194388062</v>
      </c>
      <c r="E56" s="215">
        <f>'Construction Trucks Distributio'!W35</f>
        <v>8.429119378141626E-4</v>
      </c>
      <c r="F56" s="215">
        <f>'Construction Trucks Distributio'!X35+'Construction Trucks Distributio'!Z35</f>
        <v>6.034233552260522E-2</v>
      </c>
      <c r="G56" s="215">
        <f>'Construction Trucks Distributio'!Y35+'Construction Trucks Distributio'!AA35</f>
        <v>4.0958996494268658E-2</v>
      </c>
      <c r="H56" s="215">
        <f>'Construction Trucks Distributio'!AB35</f>
        <v>84.665874582517347</v>
      </c>
      <c r="I56" s="215">
        <f>'Construction Trucks Distributio'!AC35</f>
        <v>4.8380620712687875E-3</v>
      </c>
      <c r="J56" s="215">
        <f>'Construction Trucks Distributio'!AD35</f>
        <v>2.1688010433057645E-3</v>
      </c>
      <c r="K56" s="215">
        <f>'Construction Trucks Distributio'!AH35</f>
        <v>2.8927234200931307E-3</v>
      </c>
      <c r="L56" s="215">
        <f>'Construction Trucks Distributio'!AF35</f>
        <v>1.4599018875858726E-2</v>
      </c>
      <c r="M56" s="215">
        <f>'Construction Trucks Distributio'!AG35</f>
        <v>1.3891863608296123E-2</v>
      </c>
      <c r="N56" s="215">
        <f>'Construction Trucks Distributio'!AI35</f>
        <v>5.563218789573473E-5</v>
      </c>
      <c r="O56" s="215">
        <f>'Construction Trucks Distributio'!AJ35+'Construction Trucks Distributio'!AL35</f>
        <v>3.9825941444919443E-3</v>
      </c>
      <c r="P56" s="215">
        <f>'Construction Trucks Distributio'!AK35+'Construction Trucks Distributio'!AM35</f>
        <v>2.7032937686217316E-3</v>
      </c>
      <c r="Q56" s="214">
        <f>'Construction Trucks Distributio'!AN35</f>
        <v>5.5879477224461453</v>
      </c>
      <c r="R56" s="215">
        <f>'Construction Trucks Distributio'!AO35</f>
        <v>3.1931209670373999E-4</v>
      </c>
      <c r="S56" s="215">
        <f>'Construction Trucks Distributio'!AP35</f>
        <v>1.4314086885818046E-4</v>
      </c>
    </row>
    <row r="57" spans="1:19 16384:16384" x14ac:dyDescent="0.25">
      <c r="A57" s="19" t="s">
        <v>123</v>
      </c>
      <c r="B57" s="22">
        <f>SUM(B54:B56)</f>
        <v>1.8521364617607483</v>
      </c>
      <c r="C57" s="22">
        <f>SUM(C54:C56)</f>
        <v>12.691820670758846</v>
      </c>
      <c r="D57" s="22">
        <f>SUM(D54:D56)</f>
        <v>13.35556065110258</v>
      </c>
      <c r="E57" s="22">
        <f>SUM(E54:E56)</f>
        <v>3.5762009223423125E-2</v>
      </c>
      <c r="F57" s="22">
        <f>SUM(F54:F56)</f>
        <v>0.67819835113951221</v>
      </c>
      <c r="G57" s="22">
        <f>SUM(G54:G56)</f>
        <v>0.49578140921167874</v>
      </c>
      <c r="H57" s="22">
        <f>SUM(H54:H56)</f>
        <v>3310.6817411318802</v>
      </c>
      <c r="I57" s="22">
        <f>SUM(I54:I56)</f>
        <v>0.18155119239395695</v>
      </c>
      <c r="J57" s="22">
        <f>SUM(J54:J56)</f>
        <v>1.2575090140003407</v>
      </c>
      <c r="K57" s="22">
        <f>SUM(K54:K56)</f>
        <v>0.4183305928700069</v>
      </c>
      <c r="L57" s="22">
        <f>SUM(L54:L56)</f>
        <v>9.4495091566785969E-2</v>
      </c>
      <c r="M57" s="22">
        <f>SUM(M54:M56)</f>
        <v>0.14090530126877029</v>
      </c>
      <c r="N57" s="22">
        <f>SUM(N54:N56)</f>
        <v>7.5905304962084138E-4</v>
      </c>
      <c r="O57" s="22">
        <f>SUM(O54:O56)</f>
        <v>1.8874380539754126E-2</v>
      </c>
      <c r="P57" s="22">
        <f>SUM(P54:P56)</f>
        <v>1.0728164395415032E-2</v>
      </c>
      <c r="Q57" s="22">
        <f>SUM(Q54:Q56)</f>
        <v>65.303976075497843</v>
      </c>
      <c r="R57" s="22">
        <f>SUM(R54:R56)</f>
        <v>3.6513384834577309E-3</v>
      </c>
      <c r="S57" s="22">
        <f>SUM(S54:S56)</f>
        <v>1.425882512134085E-2</v>
      </c>
    </row>
    <row r="58" spans="1:19 16384:16384" x14ac:dyDescent="0.25">
      <c r="A58" s="27" t="s">
        <v>124</v>
      </c>
      <c r="B58" s="216">
        <v>75</v>
      </c>
      <c r="C58" s="216">
        <v>550</v>
      </c>
      <c r="D58" s="216">
        <v>100</v>
      </c>
      <c r="E58" s="216">
        <v>150</v>
      </c>
      <c r="F58" s="216">
        <v>150</v>
      </c>
      <c r="G58" s="216">
        <v>55</v>
      </c>
      <c r="H58" s="216" t="s">
        <v>126</v>
      </c>
      <c r="I58" s="216" t="s">
        <v>126</v>
      </c>
      <c r="J58" s="216" t="s">
        <v>126</v>
      </c>
      <c r="K58" s="213"/>
      <c r="L58" s="213"/>
      <c r="M58" s="213"/>
      <c r="N58" s="213"/>
      <c r="O58" s="213"/>
      <c r="P58" s="213"/>
      <c r="Q58" s="214"/>
      <c r="R58" s="213"/>
      <c r="S58" s="213"/>
    </row>
    <row r="59" spans="1:19 16384:16384" x14ac:dyDescent="0.25">
      <c r="A59" s="27" t="s">
        <v>125</v>
      </c>
      <c r="B59" s="27" t="s">
        <v>127</v>
      </c>
      <c r="C59" s="27" t="s">
        <v>127</v>
      </c>
      <c r="D59" s="27" t="s">
        <v>127</v>
      </c>
      <c r="E59" s="27" t="s">
        <v>127</v>
      </c>
      <c r="F59" s="27" t="s">
        <v>127</v>
      </c>
      <c r="G59" s="27" t="s">
        <v>127</v>
      </c>
      <c r="H59" s="27" t="s">
        <v>126</v>
      </c>
      <c r="I59" s="27" t="s">
        <v>126</v>
      </c>
      <c r="J59" s="27" t="s">
        <v>126</v>
      </c>
      <c r="K59" s="213"/>
      <c r="L59" s="213"/>
      <c r="M59" s="213"/>
      <c r="N59" s="213"/>
      <c r="O59" s="213"/>
      <c r="P59" s="213"/>
      <c r="Q59" s="214"/>
      <c r="R59" s="213"/>
      <c r="S59" s="213"/>
    </row>
    <row r="63" spans="1:19 16384:16384" ht="39.6" x14ac:dyDescent="0.25">
      <c r="A63" s="19" t="str">
        <f>'Undergrounding 2'!A7</f>
        <v>Undergrounding 2</v>
      </c>
      <c r="B63" s="16" t="s">
        <v>18</v>
      </c>
      <c r="C63" s="16" t="s">
        <v>19</v>
      </c>
      <c r="D63" s="16" t="s">
        <v>20</v>
      </c>
      <c r="E63" s="16" t="s">
        <v>21</v>
      </c>
      <c r="F63" s="16" t="s">
        <v>22</v>
      </c>
      <c r="G63" s="16" t="s">
        <v>23</v>
      </c>
      <c r="H63" s="17" t="s">
        <v>24</v>
      </c>
      <c r="I63" s="16" t="s">
        <v>25</v>
      </c>
      <c r="J63" s="16" t="s">
        <v>26</v>
      </c>
      <c r="K63" s="18" t="s">
        <v>27</v>
      </c>
      <c r="L63" s="18" t="s">
        <v>28</v>
      </c>
      <c r="M63" s="18" t="s">
        <v>29</v>
      </c>
      <c r="N63" s="18" t="s">
        <v>30</v>
      </c>
      <c r="O63" s="18" t="s">
        <v>31</v>
      </c>
      <c r="P63" s="18" t="s">
        <v>32</v>
      </c>
      <c r="Q63" s="17" t="s">
        <v>33</v>
      </c>
      <c r="R63" s="18" t="s">
        <v>34</v>
      </c>
      <c r="S63" s="18" t="s">
        <v>35</v>
      </c>
    </row>
    <row r="64" spans="1:19 16384:16384" x14ac:dyDescent="0.25">
      <c r="A64" s="27" t="s">
        <v>75</v>
      </c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4"/>
      <c r="R64" s="213"/>
      <c r="S64" s="213"/>
      <c r="XFD64" s="98"/>
    </row>
    <row r="65" spans="1:19" x14ac:dyDescent="0.25">
      <c r="A65" s="27" t="s">
        <v>119</v>
      </c>
      <c r="B65" s="215">
        <f>'Undergrounding 2'!Q20</f>
        <v>5.6728387706105012</v>
      </c>
      <c r="C65" s="215">
        <f>'Undergrounding 2'!R20</f>
        <v>23.573699108679723</v>
      </c>
      <c r="D65" s="215">
        <f>'Undergrounding 2'!S20</f>
        <v>39.542196114159722</v>
      </c>
      <c r="E65" s="215">
        <f>'Undergrounding 2'!T20</f>
        <v>6.4181621148648393E-2</v>
      </c>
      <c r="F65" s="215">
        <f>'Undergrounding 2'!U20</f>
        <v>2.2037061928160475</v>
      </c>
      <c r="G65" s="215">
        <f>'Undergrounding 2'!V20</f>
        <v>1.961298511606282</v>
      </c>
      <c r="H65" s="215">
        <f>'Undergrounding 2'!W20</f>
        <v>5540.6783183828375</v>
      </c>
      <c r="I65" s="215">
        <f>'Undergrounding 2'!X20</f>
        <v>0.53058574578127771</v>
      </c>
      <c r="J65" s="215">
        <f>'Undergrounding 2'!Y20</f>
        <v>3.7565086308451727</v>
      </c>
      <c r="K65" s="215">
        <f>'Undergrounding 2'!E108</f>
        <v>0.14123495303501238</v>
      </c>
      <c r="L65" s="215">
        <f>'Undergrounding 2'!F108</f>
        <v>0.67053337983600836</v>
      </c>
      <c r="M65" s="215">
        <f>'Undergrounding 2'!G108</f>
        <v>0.97649114516122537</v>
      </c>
      <c r="N65" s="215">
        <f>'Undergrounding 2'!H108</f>
        <v>1.4537258646820281E-3</v>
      </c>
      <c r="O65" s="215">
        <f>'Undergrounding 2'!I108</f>
        <v>6.5579058222315814E-2</v>
      </c>
      <c r="P65" s="215">
        <f>'Undergrounding 2'!J108</f>
        <v>5.8365361817861075E-2</v>
      </c>
      <c r="Q65" s="215">
        <f>'Undergrounding 2'!K108</f>
        <v>123.33106586627628</v>
      </c>
      <c r="R65" s="215">
        <f>'Undergrounding 2'!L108</f>
        <v>1.3256229416173788E-2</v>
      </c>
      <c r="S65" s="215">
        <f>'Undergrounding 2'!M108</f>
        <v>9.2766658790316425E-2</v>
      </c>
    </row>
    <row r="66" spans="1:19" x14ac:dyDescent="0.25">
      <c r="A66" s="27" t="s">
        <v>120</v>
      </c>
      <c r="B66" s="215">
        <f>'WorkerTrips Distribution'!I109</f>
        <v>0.42105684827324247</v>
      </c>
      <c r="C66" s="215">
        <f>'WorkerTrips Distribution'!G109</f>
        <v>9.14383811597388</v>
      </c>
      <c r="D66" s="215">
        <f>'WorkerTrips Distribution'!H109</f>
        <v>0.82505872110934553</v>
      </c>
      <c r="E66" s="215">
        <f>'WorkerTrips Distribution'!J109</f>
        <v>1.087870176811658E-2</v>
      </c>
      <c r="F66" s="215">
        <f>'WorkerTrips Distribution'!K109+'WorkerTrips Distribution'!M109</f>
        <v>0.25673293898055188</v>
      </c>
      <c r="G66" s="215">
        <f>'WorkerTrips Distribution'!L109+'WorkerTrips Distribution'!N109</f>
        <v>0.10965551421564478</v>
      </c>
      <c r="H66" s="215">
        <f>'WorkerTrips Distribution'!O109</f>
        <v>876.64027907435968</v>
      </c>
      <c r="I66" s="215">
        <f>'WorkerTrips Distribution'!P109</f>
        <v>4.758224208516737E-2</v>
      </c>
      <c r="J66" s="215">
        <f>'WorkerTrips Distribution'!Q109</f>
        <v>8.6577847739085875E-2</v>
      </c>
      <c r="K66" s="215">
        <f>'WorkerTrips Distribution'!S109</f>
        <v>0.50291109637856335</v>
      </c>
      <c r="L66" s="215">
        <f>'WorkerTrips Distribution'!T109</f>
        <v>4.5378229661014007E-2</v>
      </c>
      <c r="M66" s="215">
        <f>'WorkerTrips Distribution'!U109</f>
        <v>2.3158126655028338E-2</v>
      </c>
      <c r="N66" s="215">
        <f>'WorkerTrips Distribution'!V109</f>
        <v>5.983285972464118E-4</v>
      </c>
      <c r="O66" s="215">
        <f>'WorkerTrips Distribution'!W109+'WorkerTrips Distribution'!Y109</f>
        <v>1.4120311643930353E-2</v>
      </c>
      <c r="P66" s="215">
        <f>'WorkerTrips Distribution'!X109+'WorkerTrips Distribution'!Z109</f>
        <v>6.0310532818604618E-3</v>
      </c>
      <c r="Q66" s="215">
        <f>'WorkerTrips Distribution'!AA109</f>
        <v>48.215215349089782</v>
      </c>
      <c r="R66" s="215">
        <f>'WorkerTrips Distribution'!AB109</f>
        <v>2.6170233146842053E-3</v>
      </c>
      <c r="S66" s="215">
        <f>'WorkerTrips Distribution'!AC109</f>
        <v>4.7617816256497235E-3</v>
      </c>
    </row>
    <row r="67" spans="1:19" x14ac:dyDescent="0.25">
      <c r="A67" s="27" t="s">
        <v>121</v>
      </c>
      <c r="B67" s="215">
        <f>'Construction Trucks Distributio'!V41</f>
        <v>0.35232434949445984</v>
      </c>
      <c r="C67" s="215">
        <f>'Construction Trucks Distributio'!T41</f>
        <v>1.5649211249505588</v>
      </c>
      <c r="D67" s="215">
        <f>'Construction Trucks Distributio'!U41</f>
        <v>5.9582405153027187</v>
      </c>
      <c r="E67" s="215">
        <f>'Construction Trucks Distributio'!W41</f>
        <v>1.1553535714373807E-2</v>
      </c>
      <c r="F67" s="215">
        <f>'Construction Trucks Distributio'!X41+'Construction Trucks Distributio'!Z41</f>
        <v>0.34646991804176447</v>
      </c>
      <c r="G67" s="215">
        <f>'Construction Trucks Distributio'!Y41+'Construction Trucks Distributio'!AA41</f>
        <v>0.20646929281182336</v>
      </c>
      <c r="H67" s="215">
        <f>'Construction Trucks Distributio'!AB41</f>
        <v>1742.2118102146922</v>
      </c>
      <c r="I67" s="215">
        <f>'Construction Trucks Distributio'!AC41</f>
        <v>9.9555209471098138E-2</v>
      </c>
      <c r="J67" s="215">
        <f>'Construction Trucks Distributio'!AD41</f>
        <v>4.462849773045955E-2</v>
      </c>
      <c r="K67" s="215">
        <f>'Construction Trucks Distributio'!AH41</f>
        <v>1.9377839222195291E-2</v>
      </c>
      <c r="L67" s="215">
        <f>'Construction Trucks Distributio'!AF41</f>
        <v>8.607066187228074E-2</v>
      </c>
      <c r="M67" s="215">
        <f>'Construction Trucks Distributio'!AG41</f>
        <v>0.3277032283416495</v>
      </c>
      <c r="N67" s="215">
        <f>'Construction Trucks Distributio'!AI41</f>
        <v>6.3544446429055943E-4</v>
      </c>
      <c r="O67" s="215">
        <f>'Construction Trucks Distributio'!AJ41+'Construction Trucks Distributio'!AL41</f>
        <v>1.9055845492297045E-2</v>
      </c>
      <c r="P67" s="215">
        <f>'Construction Trucks Distributio'!AK41+'Construction Trucks Distributio'!AM41</f>
        <v>1.1355811104650285E-2</v>
      </c>
      <c r="Q67" s="215">
        <f>'Construction Trucks Distributio'!AN41</f>
        <v>95.821649561808059</v>
      </c>
      <c r="R67" s="215">
        <f>'Construction Trucks Distributio'!AO41</f>
        <v>5.4755365209103969E-3</v>
      </c>
      <c r="S67" s="215">
        <f>'Construction Trucks Distributio'!AP41</f>
        <v>2.4545673751752753E-3</v>
      </c>
    </row>
    <row r="68" spans="1:19" x14ac:dyDescent="0.25">
      <c r="A68" s="19" t="s">
        <v>123</v>
      </c>
      <c r="B68" s="22">
        <f t="shared" ref="B68:S68" si="5">SUM(B65:B67)</f>
        <v>6.4462199683782035</v>
      </c>
      <c r="C68" s="22">
        <f t="shared" si="5"/>
        <v>34.282458349604163</v>
      </c>
      <c r="D68" s="22">
        <f t="shared" si="5"/>
        <v>46.325495350571785</v>
      </c>
      <c r="E68" s="22">
        <f t="shared" si="5"/>
        <v>8.6613858631138768E-2</v>
      </c>
      <c r="F68" s="22">
        <f t="shared" si="5"/>
        <v>2.8069090498383638</v>
      </c>
      <c r="G68" s="22">
        <f t="shared" si="5"/>
        <v>2.2774233186337502</v>
      </c>
      <c r="H68" s="22">
        <f t="shared" si="5"/>
        <v>8159.5304076718894</v>
      </c>
      <c r="I68" s="22">
        <f t="shared" si="5"/>
        <v>0.67772319733754327</v>
      </c>
      <c r="J68" s="22">
        <f t="shared" si="5"/>
        <v>3.8877149763147179</v>
      </c>
      <c r="K68" s="22">
        <f t="shared" si="5"/>
        <v>0.66352388863577105</v>
      </c>
      <c r="L68" s="22">
        <f t="shared" si="5"/>
        <v>0.80198227136930311</v>
      </c>
      <c r="M68" s="22">
        <f t="shared" si="5"/>
        <v>1.3273525001579032</v>
      </c>
      <c r="N68" s="22">
        <f t="shared" si="5"/>
        <v>2.6874989262189995E-3</v>
      </c>
      <c r="O68" s="22">
        <f t="shared" si="5"/>
        <v>9.8755215358543202E-2</v>
      </c>
      <c r="P68" s="22">
        <f t="shared" si="5"/>
        <v>7.5752226204371817E-2</v>
      </c>
      <c r="Q68" s="22">
        <f t="shared" si="5"/>
        <v>267.36793077717414</v>
      </c>
      <c r="R68" s="22">
        <f t="shared" si="5"/>
        <v>2.1348789251768391E-2</v>
      </c>
      <c r="S68" s="22">
        <f t="shared" si="5"/>
        <v>9.9983007791141415E-2</v>
      </c>
    </row>
    <row r="69" spans="1:19" x14ac:dyDescent="0.25">
      <c r="A69" s="216" t="s">
        <v>124</v>
      </c>
      <c r="B69" s="216">
        <v>75</v>
      </c>
      <c r="C69" s="216">
        <v>550</v>
      </c>
      <c r="D69" s="216">
        <v>100</v>
      </c>
      <c r="E69" s="216">
        <v>150</v>
      </c>
      <c r="F69" s="216">
        <v>150</v>
      </c>
      <c r="G69" s="216">
        <v>55</v>
      </c>
      <c r="H69" s="216" t="s">
        <v>126</v>
      </c>
      <c r="I69" s="216" t="s">
        <v>126</v>
      </c>
      <c r="J69" s="216" t="s">
        <v>126</v>
      </c>
      <c r="K69" s="578"/>
      <c r="L69" s="578"/>
      <c r="M69" s="578"/>
      <c r="N69" s="578"/>
      <c r="O69" s="578"/>
      <c r="P69" s="578"/>
      <c r="Q69" s="578"/>
      <c r="R69" s="578"/>
      <c r="S69" s="578"/>
    </row>
    <row r="70" spans="1:19" x14ac:dyDescent="0.25">
      <c r="A70" s="27" t="s">
        <v>125</v>
      </c>
      <c r="B70" s="27" t="s">
        <v>127</v>
      </c>
      <c r="C70" s="27" t="s">
        <v>127</v>
      </c>
      <c r="D70" s="27" t="s">
        <v>127</v>
      </c>
      <c r="E70" s="27" t="s">
        <v>127</v>
      </c>
      <c r="F70" s="27" t="s">
        <v>127</v>
      </c>
      <c r="G70" s="27" t="s">
        <v>127</v>
      </c>
      <c r="H70" s="27" t="s">
        <v>126</v>
      </c>
      <c r="I70" s="27" t="s">
        <v>126</v>
      </c>
      <c r="J70" s="27" t="s">
        <v>126</v>
      </c>
      <c r="K70" s="579"/>
      <c r="L70" s="579"/>
      <c r="M70" s="579"/>
      <c r="N70" s="579"/>
      <c r="O70" s="579"/>
      <c r="P70" s="579"/>
      <c r="Q70" s="579"/>
      <c r="R70" s="579"/>
      <c r="S70" s="579"/>
    </row>
    <row r="71" spans="1:19" x14ac:dyDescent="0.25">
      <c r="A71" s="97"/>
      <c r="J71" s="105"/>
      <c r="K71" s="98"/>
      <c r="L71" s="98"/>
      <c r="M71" s="98"/>
      <c r="N71" s="98"/>
      <c r="O71" s="98"/>
      <c r="P71" s="98"/>
      <c r="Q71" s="98"/>
      <c r="R71" s="98"/>
      <c r="S71" s="98"/>
    </row>
    <row r="72" spans="1:19" x14ac:dyDescent="0.25">
      <c r="J72" s="105"/>
      <c r="K72" s="98"/>
      <c r="L72" s="98"/>
      <c r="M72" s="98"/>
      <c r="N72" s="98"/>
      <c r="O72" s="4"/>
      <c r="P72" s="98"/>
      <c r="Q72" s="98"/>
      <c r="R72" s="98"/>
      <c r="S72" s="98"/>
    </row>
    <row r="73" spans="1:19" ht="39.6" x14ac:dyDescent="0.25">
      <c r="A73" s="19" t="str">
        <f>'Undergrounding 2'!A22</f>
        <v>Conductor Pulling - UG2</v>
      </c>
      <c r="B73" s="16" t="s">
        <v>18</v>
      </c>
      <c r="C73" s="16" t="s">
        <v>19</v>
      </c>
      <c r="D73" s="16" t="s">
        <v>20</v>
      </c>
      <c r="E73" s="16" t="s">
        <v>21</v>
      </c>
      <c r="F73" s="16" t="s">
        <v>22</v>
      </c>
      <c r="G73" s="16" t="s">
        <v>23</v>
      </c>
      <c r="H73" s="17" t="s">
        <v>24</v>
      </c>
      <c r="I73" s="16" t="s">
        <v>25</v>
      </c>
      <c r="J73" s="16" t="s">
        <v>26</v>
      </c>
      <c r="K73" s="16" t="s">
        <v>27</v>
      </c>
      <c r="L73" s="16" t="s">
        <v>28</v>
      </c>
      <c r="M73" s="16" t="s">
        <v>29</v>
      </c>
      <c r="N73" s="16" t="s">
        <v>30</v>
      </c>
      <c r="O73" s="16" t="s">
        <v>31</v>
      </c>
      <c r="P73" s="16" t="s">
        <v>32</v>
      </c>
      <c r="Q73" s="16" t="s">
        <v>33</v>
      </c>
      <c r="R73" s="16" t="s">
        <v>34</v>
      </c>
      <c r="S73" s="16" t="s">
        <v>35</v>
      </c>
    </row>
    <row r="74" spans="1:19" x14ac:dyDescent="0.25">
      <c r="A74" s="27" t="s">
        <v>75</v>
      </c>
      <c r="B74" s="213"/>
      <c r="C74" s="213"/>
      <c r="D74" s="213"/>
      <c r="E74" s="213"/>
      <c r="F74" s="213"/>
      <c r="G74" s="213"/>
      <c r="H74" s="213"/>
      <c r="I74" s="213"/>
      <c r="J74" s="213"/>
      <c r="K74" s="215"/>
      <c r="L74" s="215"/>
      <c r="M74" s="215"/>
      <c r="N74" s="215"/>
      <c r="O74" s="215"/>
      <c r="P74" s="215"/>
      <c r="Q74" s="215"/>
      <c r="R74" s="215"/>
      <c r="S74" s="215"/>
    </row>
    <row r="75" spans="1:19" x14ac:dyDescent="0.25">
      <c r="A75" s="27" t="s">
        <v>119</v>
      </c>
      <c r="B75" s="215">
        <f>'Undergrounding 2'!Q26</f>
        <v>1.4290634597050147</v>
      </c>
      <c r="C75" s="215">
        <f>'Undergrounding 2'!R26</f>
        <v>5.4787998385508869</v>
      </c>
      <c r="D75" s="215">
        <f>'Undergrounding 2'!S26</f>
        <v>12.369382207613391</v>
      </c>
      <c r="E75" s="215">
        <f>'Undergrounding 2'!T26</f>
        <v>2.6353294268516968E-2</v>
      </c>
      <c r="F75" s="215">
        <f>'Undergrounding 2'!U26</f>
        <v>0.40810369059869006</v>
      </c>
      <c r="G75" s="215">
        <f>'Undergrounding 2'!V26</f>
        <v>0.36321228463283411</v>
      </c>
      <c r="H75" s="215">
        <f>'Undergrounding 2'!W26</f>
        <v>2582.9024985401338</v>
      </c>
      <c r="I75" s="215">
        <f>'Undergrounding 2'!X26</f>
        <v>0.13358558371521689</v>
      </c>
      <c r="J75" s="215">
        <f>'Undergrounding 2'!Y26</f>
        <v>1.175091309723272</v>
      </c>
      <c r="K75" s="215">
        <f>'Undergrounding 2'!E114</f>
        <v>6.4378925747689466E-3</v>
      </c>
      <c r="L75" s="215">
        <f>'Undergrounding 2'!F114</f>
        <v>2.4178786126662844E-2</v>
      </c>
      <c r="M75" s="215">
        <f>'Undergrounding 2'!G114</f>
        <v>5.5162245264098859E-2</v>
      </c>
      <c r="N75" s="215">
        <f>'Undergrounding 2'!H114</f>
        <v>1.1665670519094836E-4</v>
      </c>
      <c r="O75" s="215">
        <f>'Undergrounding 2'!I114</f>
        <v>1.8200871906803573E-3</v>
      </c>
      <c r="P75" s="215">
        <f>'Undergrounding 2'!J114</f>
        <v>1.6198775997055181E-3</v>
      </c>
      <c r="Q75" s="215">
        <f>'Undergrounding 2'!K114</f>
        <v>11.330882363167307</v>
      </c>
      <c r="R75" s="215">
        <f>'Undergrounding 2'!L114</f>
        <v>6.0209628737408448E-4</v>
      </c>
      <c r="S75" s="215">
        <f>'Undergrounding 2'!M114</f>
        <v>5.2404133000893919E-3</v>
      </c>
    </row>
    <row r="76" spans="1:19" x14ac:dyDescent="0.25">
      <c r="A76" s="27" t="s">
        <v>120</v>
      </c>
      <c r="B76" s="215">
        <f>'WorkerTrips Distribution'!I110</f>
        <v>0.22456365241239598</v>
      </c>
      <c r="C76" s="215">
        <f>'WorkerTrips Distribution'!G110</f>
        <v>4.8767136618527367</v>
      </c>
      <c r="D76" s="215">
        <f>'WorkerTrips Distribution'!H110</f>
        <v>0.44003131792498429</v>
      </c>
      <c r="E76" s="215">
        <f>'WorkerTrips Distribution'!J110</f>
        <v>5.8019742763288432E-3</v>
      </c>
      <c r="F76" s="215">
        <f>'WorkerTrips Distribution'!K110+'WorkerTrips Distribution'!M110</f>
        <v>0.13692423412296101</v>
      </c>
      <c r="G76" s="215">
        <f>'WorkerTrips Distribution'!L110+'WorkerTrips Distribution'!N110</f>
        <v>4.4981208777295514E-2</v>
      </c>
      <c r="H76" s="215">
        <f>'WorkerTrips Distribution'!O110</f>
        <v>467.54148217299189</v>
      </c>
      <c r="I76" s="215">
        <f>'WorkerTrips Distribution'!P110</f>
        <v>2.5377195778755929E-2</v>
      </c>
      <c r="J76" s="215">
        <f>'WorkerTrips Distribution'!Q110</f>
        <v>4.6174852127512461E-2</v>
      </c>
      <c r="K76" s="215">
        <f>'WorkerTrips Distribution'!S110</f>
        <v>0.53643850280380101</v>
      </c>
      <c r="L76" s="215">
        <f>'WorkerTrips Distribution'!T110</f>
        <v>4.8403444971748269E-2</v>
      </c>
      <c r="M76" s="215">
        <f>'WorkerTrips Distribution'!U110</f>
        <v>2.4702001765363558E-2</v>
      </c>
      <c r="N76" s="215">
        <f>'WorkerTrips Distribution'!V110</f>
        <v>6.3821717039617271E-4</v>
      </c>
      <c r="O76" s="215">
        <f>'WorkerTrips Distribution'!W110+'WorkerTrips Distribution'!Y110</f>
        <v>1.5061665753525711E-2</v>
      </c>
      <c r="P76" s="215">
        <f>'WorkerTrips Distribution'!X110+'WorkerTrips Distribution'!Z110</f>
        <v>4.9479329655025064E-3</v>
      </c>
      <c r="Q76" s="215">
        <f>'WorkerTrips Distribution'!AA110</f>
        <v>51.429563039029105</v>
      </c>
      <c r="R76" s="215">
        <f>'WorkerTrips Distribution'!AB110</f>
        <v>2.7914915356631524E-3</v>
      </c>
      <c r="S76" s="215">
        <f>'WorkerTrips Distribution'!AC110</f>
        <v>5.0792337340263708E-3</v>
      </c>
    </row>
    <row r="77" spans="1:19" x14ac:dyDescent="0.25">
      <c r="A77" s="27" t="s">
        <v>121</v>
      </c>
      <c r="B77" s="215">
        <f>'Construction Trucks Distributio'!V45</f>
        <v>4.3829142728683795E-2</v>
      </c>
      <c r="C77" s="215">
        <f>'Construction Trucks Distributio'!T45</f>
        <v>0.22119725569482918</v>
      </c>
      <c r="D77" s="215">
        <f>'Construction Trucks Distributio'!U45</f>
        <v>0.21048278194388062</v>
      </c>
      <c r="E77" s="215">
        <f>'Construction Trucks Distributio'!W45</f>
        <v>8.429119378141626E-4</v>
      </c>
      <c r="F77" s="215">
        <f>'Construction Trucks Distributio'!X45+'Construction Trucks Distributio'!Z45</f>
        <v>6.034233552260522E-2</v>
      </c>
      <c r="G77" s="215">
        <f>'Construction Trucks Distributio'!Y45+'Construction Trucks Distributio'!AA45</f>
        <v>4.0958996494268658E-2</v>
      </c>
      <c r="H77" s="215">
        <f>'Construction Trucks Distributio'!AB45</f>
        <v>84.665874582517347</v>
      </c>
      <c r="I77" s="215">
        <f>'Construction Trucks Distributio'!AC45</f>
        <v>4.8380620712687875E-3</v>
      </c>
      <c r="J77" s="215">
        <f>'Construction Trucks Distributio'!AD45</f>
        <v>2.1688010433057645E-3</v>
      </c>
      <c r="K77" s="215">
        <f>'Construction Trucks Distributio'!AH45</f>
        <v>9.6424114003104352E-4</v>
      </c>
      <c r="L77" s="215">
        <f>'Construction Trucks Distributio'!AF45</f>
        <v>4.866339625286242E-3</v>
      </c>
      <c r="M77" s="215">
        <f>'Construction Trucks Distributio'!AG45</f>
        <v>4.6306212027653736E-3</v>
      </c>
      <c r="N77" s="215">
        <f>'Construction Trucks Distributio'!AI45</f>
        <v>1.854406263191158E-5</v>
      </c>
      <c r="O77" s="215">
        <f>'Construction Trucks Distributio'!AJ45+'Construction Trucks Distributio'!AL45</f>
        <v>1.3275313814973149E-3</v>
      </c>
      <c r="P77" s="215">
        <f>'Construction Trucks Distributio'!AK45+'Construction Trucks Distributio'!AM45</f>
        <v>9.0109792287391044E-4</v>
      </c>
      <c r="Q77" s="215">
        <f>'Construction Trucks Distributio'!AN45</f>
        <v>1.8626492408153816</v>
      </c>
      <c r="R77" s="215">
        <f>'Construction Trucks Distributio'!AO45</f>
        <v>1.0643736556791331E-4</v>
      </c>
      <c r="S77" s="215">
        <f>'Construction Trucks Distributio'!AP45</f>
        <v>4.771362295272682E-5</v>
      </c>
    </row>
    <row r="78" spans="1:19" x14ac:dyDescent="0.25">
      <c r="A78" s="19" t="s">
        <v>123</v>
      </c>
      <c r="B78" s="22">
        <f t="shared" ref="B78:S78" si="6">SUM(B75:B77)</f>
        <v>1.6974562548460945</v>
      </c>
      <c r="C78" s="22">
        <f t="shared" si="6"/>
        <v>10.576710756098453</v>
      </c>
      <c r="D78" s="22">
        <f t="shared" si="6"/>
        <v>13.019896307482256</v>
      </c>
      <c r="E78" s="22">
        <f t="shared" si="6"/>
        <v>3.299818048265997E-2</v>
      </c>
      <c r="F78" s="22">
        <f t="shared" si="6"/>
        <v>0.60537026024425633</v>
      </c>
      <c r="G78" s="22">
        <f t="shared" si="6"/>
        <v>0.44915248990439827</v>
      </c>
      <c r="H78" s="22">
        <f t="shared" si="6"/>
        <v>3135.1098552956432</v>
      </c>
      <c r="I78" s="22">
        <f t="shared" si="6"/>
        <v>0.16380084156524163</v>
      </c>
      <c r="J78" s="22">
        <f t="shared" si="6"/>
        <v>1.2234349628940904</v>
      </c>
      <c r="K78" s="22">
        <f t="shared" si="6"/>
        <v>0.54384063651860093</v>
      </c>
      <c r="L78" s="22">
        <f t="shared" si="6"/>
        <v>7.7448570723697346E-2</v>
      </c>
      <c r="M78" s="22">
        <f t="shared" si="6"/>
        <v>8.4494868232227793E-2</v>
      </c>
      <c r="N78" s="22">
        <f t="shared" si="6"/>
        <v>7.7341793821903272E-4</v>
      </c>
      <c r="O78" s="22">
        <f t="shared" si="6"/>
        <v>1.8209284325703384E-2</v>
      </c>
      <c r="P78" s="22">
        <f t="shared" si="6"/>
        <v>7.4689084880819349E-3</v>
      </c>
      <c r="Q78" s="22">
        <f t="shared" si="6"/>
        <v>64.623094643011797</v>
      </c>
      <c r="R78" s="22">
        <f t="shared" si="6"/>
        <v>3.5000251886051501E-3</v>
      </c>
      <c r="S78" s="22">
        <f t="shared" si="6"/>
        <v>1.0367360657068491E-2</v>
      </c>
    </row>
    <row r="79" spans="1:19" x14ac:dyDescent="0.25">
      <c r="A79" s="27" t="s">
        <v>124</v>
      </c>
      <c r="B79" s="216">
        <v>75</v>
      </c>
      <c r="C79" s="216">
        <v>550</v>
      </c>
      <c r="D79" s="216">
        <v>100</v>
      </c>
      <c r="E79" s="216">
        <v>150</v>
      </c>
      <c r="F79" s="216">
        <v>150</v>
      </c>
      <c r="G79" s="216">
        <v>55</v>
      </c>
      <c r="H79" s="216" t="s">
        <v>126</v>
      </c>
      <c r="I79" s="216" t="s">
        <v>126</v>
      </c>
      <c r="J79" s="216" t="s">
        <v>126</v>
      </c>
      <c r="K79" s="215"/>
      <c r="L79" s="215"/>
      <c r="M79" s="215"/>
      <c r="N79" s="215"/>
      <c r="O79" s="215"/>
      <c r="P79" s="215"/>
      <c r="Q79" s="215"/>
      <c r="R79" s="215"/>
      <c r="S79" s="215"/>
    </row>
    <row r="80" spans="1:19" x14ac:dyDescent="0.25">
      <c r="A80" s="27" t="s">
        <v>125</v>
      </c>
      <c r="B80" s="27" t="s">
        <v>127</v>
      </c>
      <c r="C80" s="27" t="s">
        <v>127</v>
      </c>
      <c r="D80" s="27" t="s">
        <v>127</v>
      </c>
      <c r="E80" s="27" t="s">
        <v>127</v>
      </c>
      <c r="F80" s="27" t="s">
        <v>127</v>
      </c>
      <c r="G80" s="27" t="s">
        <v>127</v>
      </c>
      <c r="H80" s="27" t="s">
        <v>126</v>
      </c>
      <c r="I80" s="27" t="s">
        <v>126</v>
      </c>
      <c r="J80" s="27" t="s">
        <v>126</v>
      </c>
      <c r="K80" s="215"/>
      <c r="L80" s="215"/>
      <c r="M80" s="215"/>
      <c r="N80" s="215"/>
      <c r="O80" s="215"/>
      <c r="P80" s="215"/>
      <c r="Q80" s="215"/>
      <c r="R80" s="215"/>
      <c r="S80" s="215"/>
    </row>
    <row r="81" spans="1:19" x14ac:dyDescent="0.25">
      <c r="K81" s="98"/>
      <c r="L81" s="98"/>
      <c r="M81" s="98"/>
      <c r="N81" s="98"/>
      <c r="O81" s="98"/>
      <c r="P81" s="98"/>
      <c r="Q81" s="98"/>
      <c r="R81" s="98"/>
      <c r="S81" s="98"/>
    </row>
    <row r="82" spans="1:19" x14ac:dyDescent="0.25">
      <c r="J82" s="105"/>
      <c r="K82" s="98"/>
      <c r="L82" s="98"/>
      <c r="M82" s="98"/>
      <c r="N82" s="98"/>
      <c r="O82" s="98"/>
      <c r="P82" s="98"/>
      <c r="Q82" s="98"/>
      <c r="R82" s="98"/>
      <c r="S82" s="98"/>
    </row>
    <row r="83" spans="1:19" ht="39.6" x14ac:dyDescent="0.25">
      <c r="A83" s="19" t="str">
        <f>'Undergrounding 2'!A28</f>
        <v>Conductor Pulling - Rancho Viejo</v>
      </c>
      <c r="B83" s="16" t="s">
        <v>18</v>
      </c>
      <c r="C83" s="16" t="s">
        <v>19</v>
      </c>
      <c r="D83" s="16" t="s">
        <v>20</v>
      </c>
      <c r="E83" s="16" t="s">
        <v>21</v>
      </c>
      <c r="F83" s="16" t="s">
        <v>22</v>
      </c>
      <c r="G83" s="16" t="s">
        <v>23</v>
      </c>
      <c r="H83" s="17" t="s">
        <v>24</v>
      </c>
      <c r="I83" s="16" t="s">
        <v>25</v>
      </c>
      <c r="J83" s="16" t="s">
        <v>26</v>
      </c>
      <c r="K83" s="16" t="s">
        <v>27</v>
      </c>
      <c r="L83" s="16" t="s">
        <v>28</v>
      </c>
      <c r="M83" s="16" t="s">
        <v>29</v>
      </c>
      <c r="N83" s="16" t="s">
        <v>30</v>
      </c>
      <c r="O83" s="16" t="s">
        <v>31</v>
      </c>
      <c r="P83" s="16" t="s">
        <v>32</v>
      </c>
      <c r="Q83" s="16" t="s">
        <v>33</v>
      </c>
      <c r="R83" s="16" t="s">
        <v>34</v>
      </c>
      <c r="S83" s="16" t="s">
        <v>35</v>
      </c>
    </row>
    <row r="84" spans="1:19" x14ac:dyDescent="0.25">
      <c r="A84" s="27" t="s">
        <v>75</v>
      </c>
      <c r="B84" s="213"/>
      <c r="C84" s="213"/>
      <c r="D84" s="213"/>
      <c r="E84" s="213"/>
      <c r="F84" s="213"/>
      <c r="G84" s="213"/>
      <c r="H84" s="213"/>
      <c r="I84" s="213"/>
      <c r="J84" s="213"/>
      <c r="K84" s="215"/>
      <c r="L84" s="215"/>
      <c r="M84" s="215"/>
      <c r="N84" s="215"/>
      <c r="O84" s="215"/>
      <c r="P84" s="215"/>
      <c r="Q84" s="215"/>
      <c r="R84" s="215"/>
      <c r="S84" s="215"/>
    </row>
    <row r="85" spans="1:19" x14ac:dyDescent="0.25">
      <c r="A85" s="27" t="s">
        <v>119</v>
      </c>
      <c r="B85" s="215">
        <f>'Undergrounding 2'!Q32</f>
        <v>1.4290634597050147</v>
      </c>
      <c r="C85" s="215">
        <f>'Undergrounding 2'!R32</f>
        <v>5.4787998385508869</v>
      </c>
      <c r="D85" s="215">
        <f>'Undergrounding 2'!S32</f>
        <v>12.369382207613391</v>
      </c>
      <c r="E85" s="215">
        <f>'Undergrounding 2'!T32</f>
        <v>2.6353294268516968E-2</v>
      </c>
      <c r="F85" s="215">
        <f>'Undergrounding 2'!U32</f>
        <v>0.40810369059869006</v>
      </c>
      <c r="G85" s="215">
        <f>'Undergrounding 2'!V32</f>
        <v>0.36321228463283411</v>
      </c>
      <c r="H85" s="215">
        <f>'Undergrounding 2'!W32</f>
        <v>2582.9024985401338</v>
      </c>
      <c r="I85" s="215">
        <f>'Undergrounding 2'!X32</f>
        <v>0.13358558371521689</v>
      </c>
      <c r="J85" s="215">
        <f>'Undergrounding 2'!Y32</f>
        <v>1.175091309723272</v>
      </c>
      <c r="K85" s="215">
        <f>'Undergrounding 2'!E120</f>
        <v>4.3014043913078073E-3</v>
      </c>
      <c r="L85" s="215">
        <f>'Undergrounding 2'!F120</f>
        <v>1.5484773222020364E-2</v>
      </c>
      <c r="M85" s="215">
        <f>'Undergrounding 2'!G120</f>
        <v>3.6108197282517379E-2</v>
      </c>
      <c r="N85" s="215">
        <f>'Undergrounding 2'!H120</f>
        <v>7.5193644770794912E-5</v>
      </c>
      <c r="O85" s="215">
        <f>'Undergrounding 2'!I120</f>
        <v>1.1915522377685744E-3</v>
      </c>
      <c r="P85" s="215">
        <f>'Undergrounding 2'!J120</f>
        <v>1.0604814916140314E-3</v>
      </c>
      <c r="Q85" s="215">
        <f>'Undergrounding 2'!K120</f>
        <v>7.1643497350938095</v>
      </c>
      <c r="R85" s="215">
        <f>'Undergrounding 2'!L120</f>
        <v>4.0267907245686763E-4</v>
      </c>
      <c r="S85" s="215">
        <f>'Undergrounding 2'!M120</f>
        <v>3.430278741839151E-3</v>
      </c>
    </row>
    <row r="86" spans="1:19" x14ac:dyDescent="0.25">
      <c r="A86" s="27" t="s">
        <v>120</v>
      </c>
      <c r="B86" s="215">
        <f>'WorkerTrips Distribution'!I111</f>
        <v>0.22456365241239598</v>
      </c>
      <c r="C86" s="215">
        <f>'WorkerTrips Distribution'!G111</f>
        <v>4.8767136618527367</v>
      </c>
      <c r="D86" s="215">
        <f>'WorkerTrips Distribution'!H111</f>
        <v>0.44003131792498429</v>
      </c>
      <c r="E86" s="215">
        <f>'WorkerTrips Distribution'!J111</f>
        <v>5.8019742763288432E-3</v>
      </c>
      <c r="F86" s="215">
        <f>'WorkerTrips Distribution'!K111+'WorkerTrips Distribution'!M111</f>
        <v>0.13692423412296101</v>
      </c>
      <c r="G86" s="215">
        <f>'WorkerTrips Distribution'!L111+'WorkerTrips Distribution'!N111</f>
        <v>4.4981208777295514E-2</v>
      </c>
      <c r="H86" s="215">
        <f>'WorkerTrips Distribution'!O111</f>
        <v>467.54148217299189</v>
      </c>
      <c r="I86" s="215">
        <f>'WorkerTrips Distribution'!P111</f>
        <v>2.5377195778755929E-2</v>
      </c>
      <c r="J86" s="215">
        <f>'WorkerTrips Distribution'!Q111</f>
        <v>4.6174852127512461E-2</v>
      </c>
      <c r="K86" s="215">
        <f>'WorkerTrips Distribution'!S111</f>
        <v>0.53643850280380101</v>
      </c>
      <c r="L86" s="215">
        <f>'WorkerTrips Distribution'!T111</f>
        <v>4.8403444971748269E-2</v>
      </c>
      <c r="M86" s="215">
        <f>'WorkerTrips Distribution'!U111</f>
        <v>2.4702001765363558E-2</v>
      </c>
      <c r="N86" s="215">
        <f>'WorkerTrips Distribution'!V111</f>
        <v>6.3821717039617271E-4</v>
      </c>
      <c r="O86" s="215">
        <f>'WorkerTrips Distribution'!W111+'WorkerTrips Distribution'!Y111</f>
        <v>1.5061665753525711E-2</v>
      </c>
      <c r="P86" s="215">
        <f>'WorkerTrips Distribution'!X111+'WorkerTrips Distribution'!Z111</f>
        <v>4.9479329655025064E-3</v>
      </c>
      <c r="Q86" s="215">
        <f>'WorkerTrips Distribution'!AA111</f>
        <v>51.429563039029105</v>
      </c>
      <c r="R86" s="215">
        <f>'WorkerTrips Distribution'!AB111</f>
        <v>2.7914915356631524E-3</v>
      </c>
      <c r="S86" s="215">
        <f>'WorkerTrips Distribution'!AC111</f>
        <v>5.0792337340263708E-3</v>
      </c>
    </row>
    <row r="87" spans="1:19" x14ac:dyDescent="0.25">
      <c r="A87" s="27" t="s">
        <v>121</v>
      </c>
      <c r="B87" s="215">
        <f>'Construction Trucks Distributio'!V49</f>
        <v>4.3829142728683795E-2</v>
      </c>
      <c r="C87" s="215">
        <f>'Construction Trucks Distributio'!T49</f>
        <v>0.22119725569482918</v>
      </c>
      <c r="D87" s="215">
        <f>'Construction Trucks Distributio'!U49</f>
        <v>0.21048278194388062</v>
      </c>
      <c r="E87" s="215">
        <f>'Construction Trucks Distributio'!W49</f>
        <v>8.429119378141626E-4</v>
      </c>
      <c r="F87" s="215">
        <f>'Construction Trucks Distributio'!X49+'Construction Trucks Distributio'!Z49</f>
        <v>6.034233552260522E-2</v>
      </c>
      <c r="G87" s="215">
        <f>'Construction Trucks Distributio'!Y49+'Construction Trucks Distributio'!AA49</f>
        <v>4.0958996494268658E-2</v>
      </c>
      <c r="H87" s="215">
        <f>'Construction Trucks Distributio'!AB49</f>
        <v>84.665874582517347</v>
      </c>
      <c r="I87" s="215">
        <f>'Construction Trucks Distributio'!AC49</f>
        <v>4.8380620712687875E-3</v>
      </c>
      <c r="J87" s="215">
        <f>'Construction Trucks Distributio'!AD49</f>
        <v>2.1688010433057645E-3</v>
      </c>
      <c r="K87" s="215">
        <f>'Construction Trucks Distributio'!AH49</f>
        <v>9.6424114003104352E-4</v>
      </c>
      <c r="L87" s="215">
        <f>'Construction Trucks Distributio'!AF49</f>
        <v>4.866339625286242E-3</v>
      </c>
      <c r="M87" s="215">
        <f>'Construction Trucks Distributio'!AG49</f>
        <v>4.6306212027653736E-3</v>
      </c>
      <c r="N87" s="215">
        <f>'Construction Trucks Distributio'!AI49</f>
        <v>1.854406263191158E-5</v>
      </c>
      <c r="O87" s="215">
        <f>'Construction Trucks Distributio'!AJ49+'Construction Trucks Distributio'!AL49</f>
        <v>1.3275313814973149E-3</v>
      </c>
      <c r="P87" s="215">
        <f>'Construction Trucks Distributio'!AK49+'Construction Trucks Distributio'!AM49</f>
        <v>9.0109792287391044E-4</v>
      </c>
      <c r="Q87" s="215">
        <f>'Construction Trucks Distributio'!AN49</f>
        <v>1.8626492408153816</v>
      </c>
      <c r="R87" s="215">
        <f>'Construction Trucks Distributio'!AO49</f>
        <v>1.0643736556791331E-4</v>
      </c>
      <c r="S87" s="215">
        <f>'Construction Trucks Distributio'!AP49</f>
        <v>4.771362295272682E-5</v>
      </c>
    </row>
    <row r="88" spans="1:19" x14ac:dyDescent="0.25">
      <c r="A88" s="19" t="s">
        <v>123</v>
      </c>
      <c r="B88" s="22">
        <f t="shared" ref="B88:S88" si="7">SUM(B85:B87)</f>
        <v>1.6974562548460945</v>
      </c>
      <c r="C88" s="22">
        <f t="shared" si="7"/>
        <v>10.576710756098453</v>
      </c>
      <c r="D88" s="22">
        <f t="shared" si="7"/>
        <v>13.019896307482256</v>
      </c>
      <c r="E88" s="22">
        <f t="shared" si="7"/>
        <v>3.299818048265997E-2</v>
      </c>
      <c r="F88" s="22">
        <f t="shared" si="7"/>
        <v>0.60537026024425633</v>
      </c>
      <c r="G88" s="22">
        <f t="shared" si="7"/>
        <v>0.44915248990439827</v>
      </c>
      <c r="H88" s="22">
        <f t="shared" si="7"/>
        <v>3135.1098552956432</v>
      </c>
      <c r="I88" s="22">
        <f t="shared" si="7"/>
        <v>0.16380084156524163</v>
      </c>
      <c r="J88" s="22">
        <f t="shared" si="7"/>
        <v>1.2234349628940904</v>
      </c>
      <c r="K88" s="22">
        <f t="shared" si="7"/>
        <v>0.5417041483351398</v>
      </c>
      <c r="L88" s="22">
        <f t="shared" si="7"/>
        <v>6.8754557819054873E-2</v>
      </c>
      <c r="M88" s="22">
        <f t="shared" si="7"/>
        <v>6.5440820250646306E-2</v>
      </c>
      <c r="N88" s="22">
        <f t="shared" si="7"/>
        <v>7.319548777988792E-4</v>
      </c>
      <c r="O88" s="22">
        <f t="shared" si="7"/>
        <v>1.7580749372791603E-2</v>
      </c>
      <c r="P88" s="22">
        <f t="shared" si="7"/>
        <v>6.9095123799904476E-3</v>
      </c>
      <c r="Q88" s="22">
        <f t="shared" si="7"/>
        <v>60.456562014938292</v>
      </c>
      <c r="R88" s="22">
        <f t="shared" si="7"/>
        <v>3.3006079736879333E-3</v>
      </c>
      <c r="S88" s="22">
        <f t="shared" si="7"/>
        <v>8.5572260988182481E-3</v>
      </c>
    </row>
    <row r="89" spans="1:19" x14ac:dyDescent="0.25">
      <c r="A89" s="27" t="s">
        <v>124</v>
      </c>
      <c r="B89" s="216">
        <v>75</v>
      </c>
      <c r="C89" s="216">
        <v>550</v>
      </c>
      <c r="D89" s="216">
        <v>100</v>
      </c>
      <c r="E89" s="216">
        <v>150</v>
      </c>
      <c r="F89" s="216">
        <v>150</v>
      </c>
      <c r="G89" s="216">
        <v>55</v>
      </c>
      <c r="H89" s="216" t="s">
        <v>126</v>
      </c>
      <c r="I89" s="216" t="s">
        <v>126</v>
      </c>
      <c r="J89" s="216" t="s">
        <v>126</v>
      </c>
      <c r="K89" s="215"/>
      <c r="L89" s="215"/>
      <c r="M89" s="215"/>
      <c r="N89" s="215"/>
      <c r="O89" s="215"/>
      <c r="P89" s="215"/>
      <c r="Q89" s="215"/>
      <c r="R89" s="215"/>
      <c r="S89" s="215"/>
    </row>
    <row r="90" spans="1:19" x14ac:dyDescent="0.25">
      <c r="A90" s="27" t="s">
        <v>125</v>
      </c>
      <c r="B90" s="27" t="s">
        <v>127</v>
      </c>
      <c r="C90" s="27" t="s">
        <v>127</v>
      </c>
      <c r="D90" s="27" t="s">
        <v>127</v>
      </c>
      <c r="E90" s="27" t="s">
        <v>127</v>
      </c>
      <c r="F90" s="27" t="s">
        <v>127</v>
      </c>
      <c r="G90" s="27" t="s">
        <v>127</v>
      </c>
      <c r="H90" s="27" t="s">
        <v>126</v>
      </c>
      <c r="I90" s="27" t="s">
        <v>126</v>
      </c>
      <c r="J90" s="27" t="s">
        <v>126</v>
      </c>
      <c r="K90" s="215"/>
      <c r="L90" s="215"/>
      <c r="M90" s="215"/>
      <c r="N90" s="215"/>
      <c r="O90" s="215"/>
      <c r="P90" s="215"/>
      <c r="Q90" s="215"/>
      <c r="R90" s="215"/>
      <c r="S90" s="215"/>
    </row>
    <row r="91" spans="1:19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107"/>
      <c r="K91" s="98"/>
      <c r="L91" s="98"/>
      <c r="M91" s="98"/>
      <c r="N91" s="98"/>
      <c r="O91" s="98"/>
      <c r="P91" s="98"/>
      <c r="Q91" s="98"/>
      <c r="R91" s="98"/>
      <c r="S91" s="98"/>
    </row>
    <row r="92" spans="1:19" x14ac:dyDescent="0.25">
      <c r="J92" s="105"/>
      <c r="K92" s="98"/>
      <c r="L92" s="98"/>
      <c r="M92" s="98"/>
      <c r="N92" s="98"/>
      <c r="O92" s="98"/>
      <c r="P92" s="98"/>
      <c r="Q92" s="98"/>
      <c r="R92" s="98"/>
      <c r="S92" s="98"/>
    </row>
    <row r="93" spans="1:19" ht="39.6" x14ac:dyDescent="0.25">
      <c r="A93" s="19" t="str">
        <f>'Undergrounding 2'!A34</f>
        <v>Conductor Pulling - La Pata</v>
      </c>
      <c r="B93" s="16" t="s">
        <v>18</v>
      </c>
      <c r="C93" s="16" t="s">
        <v>19</v>
      </c>
      <c r="D93" s="16" t="s">
        <v>20</v>
      </c>
      <c r="E93" s="16" t="s">
        <v>21</v>
      </c>
      <c r="F93" s="16" t="s">
        <v>22</v>
      </c>
      <c r="G93" s="16" t="s">
        <v>23</v>
      </c>
      <c r="H93" s="17" t="s">
        <v>24</v>
      </c>
      <c r="I93" s="16" t="s">
        <v>25</v>
      </c>
      <c r="J93" s="16" t="s">
        <v>26</v>
      </c>
      <c r="K93" s="16" t="s">
        <v>27</v>
      </c>
      <c r="L93" s="16" t="s">
        <v>28</v>
      </c>
      <c r="M93" s="16" t="s">
        <v>29</v>
      </c>
      <c r="N93" s="16" t="s">
        <v>30</v>
      </c>
      <c r="O93" s="16" t="s">
        <v>31</v>
      </c>
      <c r="P93" s="16" t="s">
        <v>32</v>
      </c>
      <c r="Q93" s="16" t="s">
        <v>33</v>
      </c>
      <c r="R93" s="16" t="s">
        <v>34</v>
      </c>
      <c r="S93" s="16" t="s">
        <v>35</v>
      </c>
    </row>
    <row r="94" spans="1:19" x14ac:dyDescent="0.25">
      <c r="A94" s="27" t="s">
        <v>75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5"/>
      <c r="L94" s="215"/>
      <c r="M94" s="215"/>
      <c r="N94" s="215"/>
      <c r="O94" s="215"/>
      <c r="P94" s="215"/>
      <c r="Q94" s="215"/>
      <c r="R94" s="215"/>
      <c r="S94" s="215"/>
    </row>
    <row r="95" spans="1:19" x14ac:dyDescent="0.25">
      <c r="A95" s="27" t="s">
        <v>119</v>
      </c>
      <c r="B95" s="215">
        <f>'Undergrounding 2'!Q38</f>
        <v>1.4290634597050147</v>
      </c>
      <c r="C95" s="215">
        <f>'Undergrounding 2'!R38</f>
        <v>5.4787998385508869</v>
      </c>
      <c r="D95" s="215">
        <f>'Undergrounding 2'!S38</f>
        <v>12.369382207613391</v>
      </c>
      <c r="E95" s="215">
        <f>'Undergrounding 2'!T38</f>
        <v>2.6353294268516968E-2</v>
      </c>
      <c r="F95" s="215">
        <f>'Undergrounding 2'!U38</f>
        <v>0.40810369059869006</v>
      </c>
      <c r="G95" s="215">
        <f>'Undergrounding 2'!V38</f>
        <v>0.36321228463283411</v>
      </c>
      <c r="H95" s="215">
        <f>'Undergrounding 2'!W38</f>
        <v>2582.9024985401338</v>
      </c>
      <c r="I95" s="215">
        <f>'Undergrounding 2'!X38</f>
        <v>0.13358558371521689</v>
      </c>
      <c r="J95" s="215">
        <f>'Undergrounding 2'!Y38</f>
        <v>1.175091309723272</v>
      </c>
      <c r="K95" s="215">
        <f>'Undergrounding 2'!E126</f>
        <v>2.6990382537119516E-3</v>
      </c>
      <c r="L95" s="215">
        <f>'Undergrounding 2'!F126</f>
        <v>8.9642635435385042E-3</v>
      </c>
      <c r="M95" s="215">
        <f>'Undergrounding 2'!G126</f>
        <v>2.1817661296331271E-2</v>
      </c>
      <c r="N95" s="215">
        <f>'Undergrounding 2'!H126</f>
        <v>4.4096349455679826E-5</v>
      </c>
      <c r="O95" s="215">
        <f>'Undergrounding 2'!I126</f>
        <v>7.2015102308473718E-4</v>
      </c>
      <c r="P95" s="215">
        <f>'Undergrounding 2'!J126</f>
        <v>6.4093441054541625E-4</v>
      </c>
      <c r="Q95" s="215">
        <f>'Undergrounding 2'!K126</f>
        <v>4.0394502640386873</v>
      </c>
      <c r="R95" s="215">
        <f>'Undergrounding 2'!L126</f>
        <v>2.5311616126895496E-4</v>
      </c>
      <c r="S95" s="215">
        <f>'Undergrounding 2'!M126</f>
        <v>2.0726778231514704E-3</v>
      </c>
    </row>
    <row r="96" spans="1:19" x14ac:dyDescent="0.25">
      <c r="A96" s="27" t="s">
        <v>120</v>
      </c>
      <c r="B96" s="215">
        <f>'WorkerTrips Distribution'!I112</f>
        <v>0.22456365241239598</v>
      </c>
      <c r="C96" s="215">
        <f>'WorkerTrips Distribution'!G112</f>
        <v>4.8767136618527367</v>
      </c>
      <c r="D96" s="215">
        <f>'WorkerTrips Distribution'!H112</f>
        <v>0.44003131792498429</v>
      </c>
      <c r="E96" s="215">
        <f>'WorkerTrips Distribution'!J112</f>
        <v>5.8019742763288432E-3</v>
      </c>
      <c r="F96" s="215">
        <f>'WorkerTrips Distribution'!K112+'WorkerTrips Distribution'!M112</f>
        <v>0.13692423412296101</v>
      </c>
      <c r="G96" s="215">
        <f>'WorkerTrips Distribution'!L112+'WorkerTrips Distribution'!N112</f>
        <v>4.4981208777295514E-2</v>
      </c>
      <c r="H96" s="215">
        <f>'WorkerTrips Distribution'!O112</f>
        <v>467.54148217299189</v>
      </c>
      <c r="I96" s="215">
        <f>'WorkerTrips Distribution'!P112</f>
        <v>2.5377195778755929E-2</v>
      </c>
      <c r="J96" s="215">
        <f>'WorkerTrips Distribution'!Q112</f>
        <v>4.6174852127512461E-2</v>
      </c>
      <c r="K96" s="215">
        <f>'WorkerTrips Distribution'!S112</f>
        <v>0.53643850280380101</v>
      </c>
      <c r="L96" s="215">
        <f>'WorkerTrips Distribution'!T112</f>
        <v>4.8403444971748269E-2</v>
      </c>
      <c r="M96" s="215">
        <f>'WorkerTrips Distribution'!U112</f>
        <v>2.4702001765363558E-2</v>
      </c>
      <c r="N96" s="215">
        <f>'WorkerTrips Distribution'!V112</f>
        <v>6.3821717039617271E-4</v>
      </c>
      <c r="O96" s="215">
        <f>'WorkerTrips Distribution'!W112+'WorkerTrips Distribution'!Y112</f>
        <v>1.5061665753525711E-2</v>
      </c>
      <c r="P96" s="215">
        <f>'WorkerTrips Distribution'!X112+'WorkerTrips Distribution'!Z112</f>
        <v>4.9479329655025064E-3</v>
      </c>
      <c r="Q96" s="215">
        <f>'WorkerTrips Distribution'!AA112</f>
        <v>51.429563039029105</v>
      </c>
      <c r="R96" s="215">
        <f>'WorkerTrips Distribution'!AB112</f>
        <v>2.7914915356631524E-3</v>
      </c>
      <c r="S96" s="215">
        <f>'WorkerTrips Distribution'!AC112</f>
        <v>5.0792337340263708E-3</v>
      </c>
    </row>
    <row r="97" spans="1:19" x14ac:dyDescent="0.25">
      <c r="A97" s="27" t="s">
        <v>121</v>
      </c>
      <c r="B97" s="215">
        <f>'Construction Trucks Distributio'!V53</f>
        <v>4.3829142728683795E-2</v>
      </c>
      <c r="C97" s="215">
        <f>'Construction Trucks Distributio'!T53</f>
        <v>0.22119725569482918</v>
      </c>
      <c r="D97" s="215">
        <f>'Construction Trucks Distributio'!U53</f>
        <v>0.21048278194388062</v>
      </c>
      <c r="E97" s="215">
        <f>'Construction Trucks Distributio'!W53</f>
        <v>8.429119378141626E-4</v>
      </c>
      <c r="F97" s="215">
        <f>'Construction Trucks Distributio'!X53+'Construction Trucks Distributio'!Z53</f>
        <v>6.034233552260522E-2</v>
      </c>
      <c r="G97" s="215">
        <f>'Construction Trucks Distributio'!Y53+'Construction Trucks Distributio'!AA53</f>
        <v>4.0958996494268658E-2</v>
      </c>
      <c r="H97" s="215">
        <f>'Construction Trucks Distributio'!AB53</f>
        <v>84.665874582517347</v>
      </c>
      <c r="I97" s="215">
        <f>'Construction Trucks Distributio'!AC53</f>
        <v>4.8380620712687875E-3</v>
      </c>
      <c r="J97" s="215">
        <f>'Construction Trucks Distributio'!AD53</f>
        <v>2.1688010433057645E-3</v>
      </c>
      <c r="K97" s="215">
        <f>'Construction Trucks Distributio'!AH53</f>
        <v>9.6424114003104352E-4</v>
      </c>
      <c r="L97" s="215">
        <f>'Construction Trucks Distributio'!AF53</f>
        <v>4.866339625286242E-3</v>
      </c>
      <c r="M97" s="215">
        <f>'Construction Trucks Distributio'!AG53</f>
        <v>4.6306212027653736E-3</v>
      </c>
      <c r="N97" s="215">
        <f>'Construction Trucks Distributio'!AI53</f>
        <v>1.854406263191158E-5</v>
      </c>
      <c r="O97" s="215">
        <f>'Construction Trucks Distributio'!AJ53+'Construction Trucks Distributio'!AL53</f>
        <v>1.3275313814973149E-3</v>
      </c>
      <c r="P97" s="215">
        <f>'Construction Trucks Distributio'!AK53+'Construction Trucks Distributio'!AM53</f>
        <v>9.0109792287391044E-4</v>
      </c>
      <c r="Q97" s="215">
        <f>'Construction Trucks Distributio'!AN53</f>
        <v>1.8626492408153816</v>
      </c>
      <c r="R97" s="215">
        <f>'Construction Trucks Distributio'!AO53</f>
        <v>1.0643736556791331E-4</v>
      </c>
      <c r="S97" s="215">
        <f>'Construction Trucks Distributio'!AP53</f>
        <v>4.771362295272682E-5</v>
      </c>
    </row>
    <row r="98" spans="1:19" x14ac:dyDescent="0.25">
      <c r="A98" s="19" t="s">
        <v>123</v>
      </c>
      <c r="B98" s="22">
        <f t="shared" ref="B98:S98" si="8">SUM(B95:B97)</f>
        <v>1.6974562548460945</v>
      </c>
      <c r="C98" s="22">
        <f t="shared" si="8"/>
        <v>10.576710756098453</v>
      </c>
      <c r="D98" s="22">
        <f t="shared" si="8"/>
        <v>13.019896307482256</v>
      </c>
      <c r="E98" s="22">
        <f t="shared" si="8"/>
        <v>3.299818048265997E-2</v>
      </c>
      <c r="F98" s="22">
        <f t="shared" si="8"/>
        <v>0.60537026024425633</v>
      </c>
      <c r="G98" s="22">
        <f t="shared" si="8"/>
        <v>0.44915248990439827</v>
      </c>
      <c r="H98" s="22">
        <f t="shared" si="8"/>
        <v>3135.1098552956432</v>
      </c>
      <c r="I98" s="22">
        <f t="shared" si="8"/>
        <v>0.16380084156524163</v>
      </c>
      <c r="J98" s="22">
        <f t="shared" si="8"/>
        <v>1.2234349628940904</v>
      </c>
      <c r="K98" s="22">
        <f t="shared" si="8"/>
        <v>0.54010178219754401</v>
      </c>
      <c r="L98" s="22">
        <f t="shared" si="8"/>
        <v>6.2234048140573019E-2</v>
      </c>
      <c r="M98" s="22">
        <f t="shared" si="8"/>
        <v>5.1150284264460208E-2</v>
      </c>
      <c r="N98" s="22">
        <f t="shared" si="8"/>
        <v>7.0085758248376417E-4</v>
      </c>
      <c r="O98" s="22">
        <f t="shared" si="8"/>
        <v>1.7109348158107763E-2</v>
      </c>
      <c r="P98" s="22">
        <f t="shared" si="8"/>
        <v>6.4899652989218329E-3</v>
      </c>
      <c r="Q98" s="22">
        <f t="shared" si="8"/>
        <v>57.331662543883169</v>
      </c>
      <c r="R98" s="22">
        <f t="shared" si="8"/>
        <v>3.1510450625000207E-3</v>
      </c>
      <c r="S98" s="22">
        <f t="shared" si="8"/>
        <v>7.1996251801305679E-3</v>
      </c>
    </row>
    <row r="99" spans="1:19" x14ac:dyDescent="0.25">
      <c r="A99" s="27" t="s">
        <v>124</v>
      </c>
      <c r="B99" s="216">
        <v>75</v>
      </c>
      <c r="C99" s="216">
        <v>550</v>
      </c>
      <c r="D99" s="216">
        <v>100</v>
      </c>
      <c r="E99" s="216">
        <v>150</v>
      </c>
      <c r="F99" s="216">
        <v>150</v>
      </c>
      <c r="G99" s="216">
        <v>55</v>
      </c>
      <c r="H99" s="216" t="s">
        <v>126</v>
      </c>
      <c r="I99" s="216" t="s">
        <v>126</v>
      </c>
      <c r="J99" s="216" t="s">
        <v>126</v>
      </c>
      <c r="K99" s="215"/>
      <c r="L99" s="215"/>
      <c r="M99" s="215"/>
      <c r="N99" s="215"/>
      <c r="O99" s="215"/>
      <c r="P99" s="215"/>
      <c r="Q99" s="215"/>
      <c r="R99" s="215"/>
      <c r="S99" s="215"/>
    </row>
    <row r="100" spans="1:19" x14ac:dyDescent="0.25">
      <c r="A100" s="27" t="s">
        <v>125</v>
      </c>
      <c r="B100" s="27" t="s">
        <v>127</v>
      </c>
      <c r="C100" s="27" t="s">
        <v>127</v>
      </c>
      <c r="D100" s="27" t="s">
        <v>127</v>
      </c>
      <c r="E100" s="27" t="s">
        <v>127</v>
      </c>
      <c r="F100" s="27" t="s">
        <v>127</v>
      </c>
      <c r="G100" s="27" t="s">
        <v>127</v>
      </c>
      <c r="H100" s="27" t="s">
        <v>126</v>
      </c>
      <c r="I100" s="27" t="s">
        <v>126</v>
      </c>
      <c r="J100" s="27" t="s">
        <v>126</v>
      </c>
      <c r="K100" s="215"/>
      <c r="L100" s="215"/>
      <c r="M100" s="215"/>
      <c r="N100" s="215"/>
      <c r="O100" s="215"/>
      <c r="P100" s="215"/>
      <c r="Q100" s="215"/>
      <c r="R100" s="215"/>
      <c r="S100" s="215"/>
    </row>
    <row r="101" spans="1:19" x14ac:dyDescent="0.25">
      <c r="K101" s="98"/>
      <c r="L101" s="98"/>
      <c r="M101" s="98"/>
      <c r="N101" s="98"/>
      <c r="O101" s="98"/>
      <c r="P101" s="98"/>
      <c r="Q101" s="98"/>
      <c r="R101" s="98"/>
      <c r="S101" s="98"/>
    </row>
    <row r="102" spans="1:19" x14ac:dyDescent="0.25">
      <c r="J102" s="105"/>
      <c r="K102" s="98"/>
      <c r="L102" s="98"/>
      <c r="M102" s="98"/>
      <c r="N102" s="98"/>
      <c r="O102" s="98"/>
      <c r="P102" s="98"/>
      <c r="Q102" s="98"/>
      <c r="R102" s="98"/>
      <c r="S102" s="98"/>
    </row>
    <row r="103" spans="1:19" ht="39.6" x14ac:dyDescent="0.25">
      <c r="A103" s="19" t="str">
        <f>'Undergrounding 2'!A41</f>
        <v>Construct New Poles</v>
      </c>
      <c r="B103" s="16" t="s">
        <v>18</v>
      </c>
      <c r="C103" s="16" t="s">
        <v>19</v>
      </c>
      <c r="D103" s="16" t="s">
        <v>20</v>
      </c>
      <c r="E103" s="16" t="s">
        <v>21</v>
      </c>
      <c r="F103" s="16" t="s">
        <v>22</v>
      </c>
      <c r="G103" s="16" t="s">
        <v>23</v>
      </c>
      <c r="H103" s="17" t="s">
        <v>24</v>
      </c>
      <c r="I103" s="16" t="s">
        <v>25</v>
      </c>
      <c r="J103" s="16" t="s">
        <v>26</v>
      </c>
      <c r="K103" s="16" t="s">
        <v>27</v>
      </c>
      <c r="L103" s="16" t="s">
        <v>28</v>
      </c>
      <c r="M103" s="16" t="s">
        <v>29</v>
      </c>
      <c r="N103" s="16" t="s">
        <v>30</v>
      </c>
      <c r="O103" s="16" t="s">
        <v>31</v>
      </c>
      <c r="P103" s="16" t="s">
        <v>32</v>
      </c>
      <c r="Q103" s="16" t="s">
        <v>33</v>
      </c>
      <c r="R103" s="16" t="s">
        <v>34</v>
      </c>
      <c r="S103" s="16" t="s">
        <v>35</v>
      </c>
    </row>
    <row r="104" spans="1:19" x14ac:dyDescent="0.25">
      <c r="A104" s="27" t="s">
        <v>75</v>
      </c>
      <c r="B104" s="213"/>
      <c r="C104" s="213"/>
      <c r="D104" s="213"/>
      <c r="E104" s="213"/>
      <c r="F104" s="213"/>
      <c r="G104" s="213"/>
      <c r="H104" s="213"/>
      <c r="I104" s="213"/>
      <c r="J104" s="213"/>
      <c r="K104" s="215"/>
      <c r="L104" s="215"/>
      <c r="M104" s="215"/>
      <c r="N104" s="215"/>
      <c r="O104" s="215"/>
      <c r="P104" s="215"/>
      <c r="Q104" s="215"/>
      <c r="R104" s="215"/>
      <c r="S104" s="215"/>
    </row>
    <row r="105" spans="1:19" x14ac:dyDescent="0.25">
      <c r="A105" s="27" t="s">
        <v>119</v>
      </c>
      <c r="B105" s="215">
        <f>'Undergrounding 2'!Q48</f>
        <v>2.1315093192912764</v>
      </c>
      <c r="C105" s="215">
        <f>'Undergrounding 2'!R48</f>
        <v>8.9269864377585879</v>
      </c>
      <c r="D105" s="215">
        <f>'Undergrounding 2'!S48</f>
        <v>15.287430453902795</v>
      </c>
      <c r="E105" s="215">
        <f>'Undergrounding 2'!T48</f>
        <v>2.9861844647839985E-2</v>
      </c>
      <c r="F105" s="215">
        <f>'Undergrounding 2'!U48</f>
        <v>0.59995845263006831</v>
      </c>
      <c r="G105" s="215">
        <f>'Undergrounding 2'!V48</f>
        <v>0.5339630228407608</v>
      </c>
      <c r="H105" s="215">
        <f>'Undergrounding 2'!W48</f>
        <v>2611.7492006048701</v>
      </c>
      <c r="I105" s="215">
        <f>'Undergrounding 2'!X48</f>
        <v>0.19876625317819352</v>
      </c>
      <c r="J105" s="215">
        <f>'Undergrounding 2'!Y48</f>
        <v>1.4523058931207657</v>
      </c>
      <c r="K105" s="215">
        <f>'Undergrounding 2'!E136</f>
        <v>1.8070353539012384E-2</v>
      </c>
      <c r="L105" s="215">
        <f>'Undergrounding 2'!F136</f>
        <v>9.2626382153093531E-2</v>
      </c>
      <c r="M105" s="215">
        <f>'Undergrounding 2'!G136</f>
        <v>0.14418115171574367</v>
      </c>
      <c r="N105" s="215">
        <f>'Undergrounding 2'!H136</f>
        <v>2.8886760175400659E-4</v>
      </c>
      <c r="O105" s="215">
        <f>'Undergrounding 2'!I136</f>
        <v>5.4895195786547231E-3</v>
      </c>
      <c r="P105" s="215">
        <f>'Undergrounding 2'!J136</f>
        <v>4.8856724250027038E-3</v>
      </c>
      <c r="Q105" s="215">
        <f>'Undergrounding 2'!K136</f>
        <v>25.231004864265465</v>
      </c>
      <c r="R105" s="215">
        <f>'Undergrounding 2'!L136</f>
        <v>1.6892490242588116E-3</v>
      </c>
      <c r="S105" s="215">
        <f>'Undergrounding 2'!M136</f>
        <v>1.3697209412995646E-2</v>
      </c>
    </row>
    <row r="106" spans="1:19" x14ac:dyDescent="0.25">
      <c r="A106" s="27" t="s">
        <v>120</v>
      </c>
      <c r="B106" s="215">
        <f>'WorkerTrips Distribution'!I113</f>
        <v>0.22456365241239598</v>
      </c>
      <c r="C106" s="215">
        <f>'WorkerTrips Distribution'!G113</f>
        <v>4.8767136618527367</v>
      </c>
      <c r="D106" s="215">
        <f>'WorkerTrips Distribution'!H113</f>
        <v>0.44003131792498429</v>
      </c>
      <c r="E106" s="215">
        <f>'WorkerTrips Distribution'!J113</f>
        <v>5.8019742763288432E-3</v>
      </c>
      <c r="F106" s="215">
        <f>'WorkerTrips Distribution'!K113+'WorkerTrips Distribution'!M113</f>
        <v>0.13692423412296101</v>
      </c>
      <c r="G106" s="215">
        <f>'WorkerTrips Distribution'!L113+'WorkerTrips Distribution'!N113</f>
        <v>4.4981208777295514E-2</v>
      </c>
      <c r="H106" s="215">
        <f>'WorkerTrips Distribution'!O113</f>
        <v>467.54148217299189</v>
      </c>
      <c r="I106" s="215">
        <f>'WorkerTrips Distribution'!P113</f>
        <v>2.5377195778755929E-2</v>
      </c>
      <c r="J106" s="215">
        <f>'WorkerTrips Distribution'!Q113</f>
        <v>4.6174852127512461E-2</v>
      </c>
      <c r="K106" s="215">
        <f>'WorkerTrips Distribution'!S113</f>
        <v>0.53643850280380101</v>
      </c>
      <c r="L106" s="215">
        <f>'WorkerTrips Distribution'!T113</f>
        <v>4.8403444971748269E-2</v>
      </c>
      <c r="M106" s="215">
        <f>'WorkerTrips Distribution'!U113</f>
        <v>2.4702001765363558E-2</v>
      </c>
      <c r="N106" s="215">
        <f>'WorkerTrips Distribution'!V113</f>
        <v>6.3821717039617271E-4</v>
      </c>
      <c r="O106" s="215">
        <f>'WorkerTrips Distribution'!W113+'WorkerTrips Distribution'!Y113</f>
        <v>1.5061665753525711E-2</v>
      </c>
      <c r="P106" s="215">
        <f>'WorkerTrips Distribution'!X113+'WorkerTrips Distribution'!Z113</f>
        <v>4.9479329655025064E-3</v>
      </c>
      <c r="Q106" s="215">
        <f>'WorkerTrips Distribution'!AA113</f>
        <v>51.429563039029105</v>
      </c>
      <c r="R106" s="215">
        <f>'WorkerTrips Distribution'!AB113</f>
        <v>2.7914915356631524E-3</v>
      </c>
      <c r="S106" s="215">
        <f>'WorkerTrips Distribution'!AC113</f>
        <v>5.0792337340263708E-3</v>
      </c>
    </row>
    <row r="107" spans="1:19" x14ac:dyDescent="0.25">
      <c r="A107" s="27" t="s">
        <v>121</v>
      </c>
      <c r="B107" s="215">
        <f>'Construction Trucks Distributio'!V58</f>
        <v>7.046486989889196E-2</v>
      </c>
      <c r="C107" s="215">
        <f>'Construction Trucks Distributio'!T58</f>
        <v>0.31298422499011175</v>
      </c>
      <c r="D107" s="215">
        <f>'Construction Trucks Distributio'!U58</f>
        <v>1.1916481030605437</v>
      </c>
      <c r="E107" s="215">
        <f>'Construction Trucks Distributio'!W58</f>
        <v>2.3107071428747615E-3</v>
      </c>
      <c r="F107" s="215">
        <f>'Construction Trucks Distributio'!X58+'Construction Trucks Distributio'!Z58</f>
        <v>6.9293983608352885E-2</v>
      </c>
      <c r="G107" s="215">
        <f>'Construction Trucks Distributio'!Y58+'Construction Trucks Distributio'!AA58</f>
        <v>4.1293858562364671E-2</v>
      </c>
      <c r="H107" s="215">
        <f>'Construction Trucks Distributio'!AB58</f>
        <v>348.44236204293838</v>
      </c>
      <c r="I107" s="215">
        <f>'Construction Trucks Distributio'!AC58</f>
        <v>1.991104189421963E-2</v>
      </c>
      <c r="J107" s="215">
        <f>'Construction Trucks Distributio'!AD58</f>
        <v>8.92569954609191E-3</v>
      </c>
      <c r="K107" s="215">
        <f>'Construction Trucks Distributio'!AH58</f>
        <v>1.5502271377756231E-3</v>
      </c>
      <c r="L107" s="215">
        <f>'Construction Trucks Distributio'!AF58</f>
        <v>6.8856529497824583E-3</v>
      </c>
      <c r="M107" s="215">
        <f>'Construction Trucks Distributio'!AG58</f>
        <v>2.6216258267331961E-2</v>
      </c>
      <c r="N107" s="215">
        <f>'Construction Trucks Distributio'!AI58</f>
        <v>5.0835557143244758E-5</v>
      </c>
      <c r="O107" s="215">
        <f>'Construction Trucks Distributio'!AJ58+'Construction Trucks Distributio'!AL58</f>
        <v>1.5244676393837632E-3</v>
      </c>
      <c r="P107" s="215">
        <f>'Construction Trucks Distributio'!AK58+'Construction Trucks Distributio'!AM58</f>
        <v>9.0846488837202275E-4</v>
      </c>
      <c r="Q107" s="215">
        <f>'Construction Trucks Distributio'!AN58</f>
        <v>7.6657319649446443</v>
      </c>
      <c r="R107" s="215">
        <f>'Construction Trucks Distributio'!AO58</f>
        <v>4.3804292167283184E-4</v>
      </c>
      <c r="S107" s="215">
        <f>'Construction Trucks Distributio'!AP58</f>
        <v>1.9636539001402205E-4</v>
      </c>
    </row>
    <row r="108" spans="1:19" x14ac:dyDescent="0.25">
      <c r="A108" s="19" t="s">
        <v>123</v>
      </c>
      <c r="B108" s="22">
        <f t="shared" ref="B108:S108" si="9">SUM(B105:B107)</f>
        <v>2.4265378416025642</v>
      </c>
      <c r="C108" s="22">
        <f t="shared" si="9"/>
        <v>14.116684324601437</v>
      </c>
      <c r="D108" s="22">
        <f t="shared" si="9"/>
        <v>16.919109874888321</v>
      </c>
      <c r="E108" s="22">
        <f t="shared" si="9"/>
        <v>3.7974526067043587E-2</v>
      </c>
      <c r="F108" s="22">
        <f t="shared" si="9"/>
        <v>0.8061766703613823</v>
      </c>
      <c r="G108" s="22">
        <f t="shared" si="9"/>
        <v>0.62023809018042098</v>
      </c>
      <c r="H108" s="22">
        <f t="shared" si="9"/>
        <v>3427.7330448208004</v>
      </c>
      <c r="I108" s="22">
        <f t="shared" si="9"/>
        <v>0.24405449085116909</v>
      </c>
      <c r="J108" s="22">
        <f t="shared" si="9"/>
        <v>1.5074064447943702</v>
      </c>
      <c r="K108" s="22">
        <f t="shared" si="9"/>
        <v>0.55605908348058908</v>
      </c>
      <c r="L108" s="22">
        <f t="shared" si="9"/>
        <v>0.14791548007462427</v>
      </c>
      <c r="M108" s="22">
        <f t="shared" si="9"/>
        <v>0.19509941174843917</v>
      </c>
      <c r="N108" s="22">
        <f t="shared" si="9"/>
        <v>9.7792032929342409E-4</v>
      </c>
      <c r="O108" s="22">
        <f t="shared" si="9"/>
        <v>2.2075652971564198E-2</v>
      </c>
      <c r="P108" s="22">
        <f t="shared" si="9"/>
        <v>1.0742070278877233E-2</v>
      </c>
      <c r="Q108" s="22">
        <f t="shared" si="9"/>
        <v>84.326299868239218</v>
      </c>
      <c r="R108" s="22">
        <f t="shared" si="9"/>
        <v>4.9187834815947965E-3</v>
      </c>
      <c r="S108" s="22">
        <f t="shared" si="9"/>
        <v>1.8972808537036038E-2</v>
      </c>
    </row>
    <row r="109" spans="1:19" x14ac:dyDescent="0.25">
      <c r="A109" s="27" t="s">
        <v>124</v>
      </c>
      <c r="B109" s="216">
        <v>75</v>
      </c>
      <c r="C109" s="216">
        <v>550</v>
      </c>
      <c r="D109" s="216">
        <v>100</v>
      </c>
      <c r="E109" s="216">
        <v>150</v>
      </c>
      <c r="F109" s="216">
        <v>150</v>
      </c>
      <c r="G109" s="216">
        <v>55</v>
      </c>
      <c r="H109" s="216" t="s">
        <v>126</v>
      </c>
      <c r="I109" s="216" t="s">
        <v>126</v>
      </c>
      <c r="J109" s="216" t="s">
        <v>126</v>
      </c>
      <c r="K109" s="215"/>
      <c r="L109" s="215"/>
      <c r="M109" s="215"/>
      <c r="N109" s="215"/>
      <c r="O109" s="215"/>
      <c r="P109" s="215"/>
      <c r="Q109" s="215"/>
      <c r="R109" s="215"/>
      <c r="S109" s="215"/>
    </row>
    <row r="110" spans="1:19" x14ac:dyDescent="0.25">
      <c r="A110" s="27" t="s">
        <v>125</v>
      </c>
      <c r="B110" s="27" t="s">
        <v>127</v>
      </c>
      <c r="C110" s="27" t="s">
        <v>127</v>
      </c>
      <c r="D110" s="27" t="s">
        <v>127</v>
      </c>
      <c r="E110" s="27" t="s">
        <v>127</v>
      </c>
      <c r="F110" s="27" t="s">
        <v>127</v>
      </c>
      <c r="G110" s="27" t="s">
        <v>127</v>
      </c>
      <c r="H110" s="27" t="s">
        <v>126</v>
      </c>
      <c r="I110" s="27" t="s">
        <v>126</v>
      </c>
      <c r="J110" s="27" t="s">
        <v>126</v>
      </c>
      <c r="K110" s="215"/>
      <c r="L110" s="215"/>
      <c r="M110" s="215"/>
      <c r="N110" s="215"/>
      <c r="O110" s="215"/>
      <c r="P110" s="215"/>
      <c r="Q110" s="215"/>
      <c r="R110" s="215"/>
      <c r="S110" s="215"/>
    </row>
    <row r="111" spans="1:19" x14ac:dyDescent="0.25">
      <c r="K111" s="98"/>
      <c r="L111" s="98"/>
      <c r="M111" s="98"/>
      <c r="N111" s="98"/>
      <c r="O111" s="98"/>
      <c r="P111" s="98"/>
      <c r="Q111" s="98"/>
      <c r="R111" s="98"/>
      <c r="S111" s="98"/>
    </row>
    <row r="112" spans="1:19" x14ac:dyDescent="0.25">
      <c r="K112" s="98"/>
      <c r="L112" s="98"/>
      <c r="M112" s="98"/>
      <c r="N112" s="98"/>
      <c r="O112" s="98"/>
      <c r="P112" s="98"/>
      <c r="Q112" s="98"/>
      <c r="R112" s="98"/>
      <c r="S112" s="98"/>
    </row>
    <row r="113" spans="1:19" ht="39.6" x14ac:dyDescent="0.25">
      <c r="A113" s="19" t="str">
        <f>'Undergrounding 2'!A50</f>
        <v>Stringing (OH)</v>
      </c>
      <c r="B113" s="16" t="s">
        <v>18</v>
      </c>
      <c r="C113" s="16" t="s">
        <v>19</v>
      </c>
      <c r="D113" s="16" t="s">
        <v>20</v>
      </c>
      <c r="E113" s="16" t="s">
        <v>21</v>
      </c>
      <c r="F113" s="16" t="s">
        <v>22</v>
      </c>
      <c r="G113" s="16" t="s">
        <v>23</v>
      </c>
      <c r="H113" s="17" t="s">
        <v>24</v>
      </c>
      <c r="I113" s="16" t="s">
        <v>25</v>
      </c>
      <c r="J113" s="16" t="s">
        <v>26</v>
      </c>
      <c r="K113" s="16" t="s">
        <v>27</v>
      </c>
      <c r="L113" s="16" t="s">
        <v>28</v>
      </c>
      <c r="M113" s="16" t="s">
        <v>29</v>
      </c>
      <c r="N113" s="16" t="s">
        <v>30</v>
      </c>
      <c r="O113" s="16" t="s">
        <v>31</v>
      </c>
      <c r="P113" s="16" t="s">
        <v>32</v>
      </c>
      <c r="Q113" s="16" t="s">
        <v>33</v>
      </c>
      <c r="R113" s="16" t="s">
        <v>34</v>
      </c>
      <c r="S113" s="16" t="s">
        <v>35</v>
      </c>
    </row>
    <row r="114" spans="1:19" x14ac:dyDescent="0.25">
      <c r="A114" s="27" t="s">
        <v>75</v>
      </c>
      <c r="B114" s="213"/>
      <c r="C114" s="213"/>
      <c r="D114" s="213"/>
      <c r="E114" s="213"/>
      <c r="F114" s="213"/>
      <c r="G114" s="213"/>
      <c r="H114" s="213"/>
      <c r="I114" s="213"/>
      <c r="J114" s="213"/>
      <c r="K114" s="215"/>
      <c r="L114" s="215"/>
      <c r="M114" s="215"/>
      <c r="N114" s="215"/>
      <c r="O114" s="215"/>
      <c r="P114" s="215"/>
      <c r="Q114" s="215"/>
      <c r="R114" s="215"/>
      <c r="S114" s="215"/>
    </row>
    <row r="115" spans="1:19" x14ac:dyDescent="0.25">
      <c r="A115" s="27" t="s">
        <v>119</v>
      </c>
      <c r="B115" s="215">
        <f>'Undergrounding 2'!Q55</f>
        <v>1.7272377517782074</v>
      </c>
      <c r="C115" s="215">
        <f>'Undergrounding 2'!R55</f>
        <v>6.2279036318387764</v>
      </c>
      <c r="D115" s="215">
        <f>'Undergrounding 2'!S55</f>
        <v>14.814318912871396</v>
      </c>
      <c r="E115" s="215">
        <f>'Undergrounding 2'!T55</f>
        <v>3.1207005122527436E-2</v>
      </c>
      <c r="F115" s="215">
        <f>'Undergrounding 2'!U55</f>
        <v>0.48802724182533685</v>
      </c>
      <c r="G115" s="215">
        <f>'Undergrounding 2'!V55</f>
        <v>0.43434424522454979</v>
      </c>
      <c r="H115" s="215">
        <f>'Undergrounding 2'!W55</f>
        <v>3033.1807347175759</v>
      </c>
      <c r="I115" s="215">
        <f>'Undergrounding 2'!X55</f>
        <v>0.16227846470166674</v>
      </c>
      <c r="J115" s="215">
        <f>'Undergrounding 2'!Y55</f>
        <v>1.4073602967227827</v>
      </c>
      <c r="K115" s="215">
        <f>'Undergrounding 2'!E143</f>
        <v>5.1339131460781898E-3</v>
      </c>
      <c r="L115" s="215">
        <f>'Undergrounding 2'!F143</f>
        <v>1.7691039190107682E-2</v>
      </c>
      <c r="M115" s="215">
        <f>'Undergrounding 2'!G143</f>
        <v>4.311719006283992E-2</v>
      </c>
      <c r="N115" s="215">
        <f>'Undergrounding 2'!H143</f>
        <v>8.989193573022758E-5</v>
      </c>
      <c r="O115" s="215">
        <f>'Undergrounding 2'!I143</f>
        <v>1.424855231106803E-3</v>
      </c>
      <c r="P115" s="215">
        <f>'Undergrounding 2'!J143</f>
        <v>1.2681211556850548E-3</v>
      </c>
      <c r="Q115" s="215">
        <f>'Undergrounding 2'!K143</f>
        <v>8.5733832988763954</v>
      </c>
      <c r="R115" s="215">
        <f>'Undergrounding 2'!L143</f>
        <v>4.8369596247687969E-4</v>
      </c>
      <c r="S115" s="215">
        <f>'Undergrounding 2'!M143</f>
        <v>4.0961330559697922E-3</v>
      </c>
    </row>
    <row r="116" spans="1:19" x14ac:dyDescent="0.25">
      <c r="A116" s="27" t="s">
        <v>120</v>
      </c>
      <c r="B116" s="215">
        <f>'WorkerTrips Distribution'!I114</f>
        <v>0.33684547861859399</v>
      </c>
      <c r="C116" s="215">
        <f>'WorkerTrips Distribution'!G114</f>
        <v>7.315070492779105</v>
      </c>
      <c r="D116" s="215">
        <f>'WorkerTrips Distribution'!H114</f>
        <v>0.66004697688747649</v>
      </c>
      <c r="E116" s="215">
        <f>'WorkerTrips Distribution'!J114</f>
        <v>8.7029614144932647E-3</v>
      </c>
      <c r="F116" s="215">
        <f>'WorkerTrips Distribution'!K114+'WorkerTrips Distribution'!M114</f>
        <v>0.20538635118444151</v>
      </c>
      <c r="G116" s="215">
        <f>'WorkerTrips Distribution'!L114+'WorkerTrips Distribution'!N114</f>
        <v>6.7471813165943278E-2</v>
      </c>
      <c r="H116" s="215">
        <f>'WorkerTrips Distribution'!O114</f>
        <v>701.31222325948784</v>
      </c>
      <c r="I116" s="215">
        <f>'WorkerTrips Distribution'!P114</f>
        <v>3.8065793668133896E-2</v>
      </c>
      <c r="J116" s="215">
        <f>'WorkerTrips Distribution'!Q114</f>
        <v>6.9262278191268692E-2</v>
      </c>
      <c r="K116" s="215">
        <f>'WorkerTrips Distribution'!S114</f>
        <v>0.80465775420570151</v>
      </c>
      <c r="L116" s="215">
        <f>'WorkerTrips Distribution'!T114</f>
        <v>7.260516745762241E-2</v>
      </c>
      <c r="M116" s="215">
        <f>'WorkerTrips Distribution'!U114</f>
        <v>3.7053002648045334E-2</v>
      </c>
      <c r="N116" s="215">
        <f>'WorkerTrips Distribution'!V114</f>
        <v>9.5732575559425912E-4</v>
      </c>
      <c r="O116" s="215">
        <f>'WorkerTrips Distribution'!W114+'WorkerTrips Distribution'!Y114</f>
        <v>2.2592498630288567E-2</v>
      </c>
      <c r="P116" s="215">
        <f>'WorkerTrips Distribution'!X114+'WorkerTrips Distribution'!Z114</f>
        <v>7.4218994482537597E-3</v>
      </c>
      <c r="Q116" s="215">
        <f>'WorkerTrips Distribution'!AA114</f>
        <v>77.144344558543651</v>
      </c>
      <c r="R116" s="215">
        <f>'WorkerTrips Distribution'!AB114</f>
        <v>4.1872373034947284E-3</v>
      </c>
      <c r="S116" s="215">
        <f>'WorkerTrips Distribution'!AC114</f>
        <v>7.6188506010395557E-3</v>
      </c>
    </row>
    <row r="117" spans="1:19" x14ac:dyDescent="0.25">
      <c r="A117" s="27" t="s">
        <v>121</v>
      </c>
      <c r="B117" s="215">
        <f>'Construction Trucks Distributio'!V62</f>
        <v>4.3829142728683795E-2</v>
      </c>
      <c r="C117" s="215">
        <f>'Construction Trucks Distributio'!T62</f>
        <v>0.22119725569482918</v>
      </c>
      <c r="D117" s="215">
        <f>'Construction Trucks Distributio'!U62</f>
        <v>0.21048278194388062</v>
      </c>
      <c r="E117" s="215">
        <f>'Construction Trucks Distributio'!W62</f>
        <v>8.429119378141626E-4</v>
      </c>
      <c r="F117" s="215">
        <f>'Construction Trucks Distributio'!X62+'Construction Trucks Distributio'!Z62</f>
        <v>6.034233552260522E-2</v>
      </c>
      <c r="G117" s="215">
        <f>'Construction Trucks Distributio'!Y62+'Construction Trucks Distributio'!AA62</f>
        <v>4.0958996494268658E-2</v>
      </c>
      <c r="H117" s="215">
        <f>'Construction Trucks Distributio'!AB62</f>
        <v>84.665874582517347</v>
      </c>
      <c r="I117" s="215">
        <f>'Construction Trucks Distributio'!AC62</f>
        <v>4.8380620712687875E-3</v>
      </c>
      <c r="J117" s="215">
        <f>'Construction Trucks Distributio'!AD62</f>
        <v>2.1688010433057645E-3</v>
      </c>
      <c r="K117" s="215">
        <f>'Construction Trucks Distributio'!AH62</f>
        <v>9.6424114003104352E-4</v>
      </c>
      <c r="L117" s="215">
        <f>'Construction Trucks Distributio'!AF62</f>
        <v>4.866339625286242E-3</v>
      </c>
      <c r="M117" s="215">
        <f>'Construction Trucks Distributio'!AG62</f>
        <v>4.6306212027653736E-3</v>
      </c>
      <c r="N117" s="215">
        <f>'Construction Trucks Distributio'!AI62</f>
        <v>1.854406263191158E-5</v>
      </c>
      <c r="O117" s="215">
        <f>'Construction Trucks Distributio'!AJ62+'Construction Trucks Distributio'!AL62</f>
        <v>1.3275313814973149E-3</v>
      </c>
      <c r="P117" s="215">
        <f>'Construction Trucks Distributio'!AK62+'Construction Trucks Distributio'!AM62</f>
        <v>9.0109792287391044E-4</v>
      </c>
      <c r="Q117" s="215">
        <f>'Construction Trucks Distributio'!AN62</f>
        <v>1.8626492408153816</v>
      </c>
      <c r="R117" s="215">
        <f>'Construction Trucks Distributio'!AO62</f>
        <v>1.0643736556791331E-4</v>
      </c>
      <c r="S117" s="215">
        <f>'Construction Trucks Distributio'!AP62</f>
        <v>4.771362295272682E-5</v>
      </c>
    </row>
    <row r="118" spans="1:19" x14ac:dyDescent="0.25">
      <c r="A118" s="19" t="s">
        <v>123</v>
      </c>
      <c r="B118" s="22">
        <f t="shared" ref="B118:S118" si="10">SUM(B115:B117)</f>
        <v>2.107912373125485</v>
      </c>
      <c r="C118" s="22">
        <f t="shared" si="10"/>
        <v>13.76417138031271</v>
      </c>
      <c r="D118" s="22">
        <f t="shared" si="10"/>
        <v>15.684848671702754</v>
      </c>
      <c r="E118" s="22">
        <f t="shared" si="10"/>
        <v>4.0752878474834858E-2</v>
      </c>
      <c r="F118" s="22">
        <f t="shared" si="10"/>
        <v>0.7537559285323836</v>
      </c>
      <c r="G118" s="22">
        <f t="shared" si="10"/>
        <v>0.54277505488476174</v>
      </c>
      <c r="H118" s="22">
        <f t="shared" si="10"/>
        <v>3819.1588325595812</v>
      </c>
      <c r="I118" s="22">
        <f t="shared" si="10"/>
        <v>0.20518232044106943</v>
      </c>
      <c r="J118" s="22">
        <f t="shared" si="10"/>
        <v>1.4787913759573572</v>
      </c>
      <c r="K118" s="22">
        <f t="shared" si="10"/>
        <v>0.81075590849181067</v>
      </c>
      <c r="L118" s="22">
        <f t="shared" si="10"/>
        <v>9.5162546273016332E-2</v>
      </c>
      <c r="M118" s="22">
        <f t="shared" si="10"/>
        <v>8.480081391365063E-2</v>
      </c>
      <c r="N118" s="22">
        <f t="shared" si="10"/>
        <v>1.0657617539563981E-3</v>
      </c>
      <c r="O118" s="22">
        <f t="shared" si="10"/>
        <v>2.5344885242892686E-2</v>
      </c>
      <c r="P118" s="22">
        <f t="shared" si="10"/>
        <v>9.5911185268127263E-3</v>
      </c>
      <c r="Q118" s="22">
        <f t="shared" si="10"/>
        <v>87.580377098235431</v>
      </c>
      <c r="R118" s="22">
        <f t="shared" si="10"/>
        <v>4.7773706315395216E-3</v>
      </c>
      <c r="S118" s="22">
        <f t="shared" si="10"/>
        <v>1.1762697279962075E-2</v>
      </c>
    </row>
    <row r="119" spans="1:19" x14ac:dyDescent="0.25">
      <c r="A119" s="27" t="s">
        <v>124</v>
      </c>
      <c r="B119" s="216">
        <v>75</v>
      </c>
      <c r="C119" s="216">
        <v>550</v>
      </c>
      <c r="D119" s="216">
        <v>100</v>
      </c>
      <c r="E119" s="216">
        <v>150</v>
      </c>
      <c r="F119" s="216">
        <v>150</v>
      </c>
      <c r="G119" s="216">
        <v>55</v>
      </c>
      <c r="H119" s="216" t="s">
        <v>126</v>
      </c>
      <c r="I119" s="216" t="s">
        <v>126</v>
      </c>
      <c r="J119" s="216" t="s">
        <v>126</v>
      </c>
      <c r="K119" s="215"/>
      <c r="L119" s="215"/>
      <c r="M119" s="215"/>
      <c r="N119" s="215"/>
      <c r="O119" s="215"/>
      <c r="P119" s="215"/>
      <c r="Q119" s="215"/>
      <c r="R119" s="215"/>
      <c r="S119" s="215"/>
    </row>
    <row r="120" spans="1:19" x14ac:dyDescent="0.25">
      <c r="A120" s="27" t="s">
        <v>125</v>
      </c>
      <c r="B120" s="27" t="s">
        <v>127</v>
      </c>
      <c r="C120" s="27" t="s">
        <v>127</v>
      </c>
      <c r="D120" s="27" t="s">
        <v>127</v>
      </c>
      <c r="E120" s="27" t="s">
        <v>127</v>
      </c>
      <c r="F120" s="27" t="s">
        <v>127</v>
      </c>
      <c r="G120" s="27" t="s">
        <v>127</v>
      </c>
      <c r="H120" s="27" t="s">
        <v>126</v>
      </c>
      <c r="I120" s="27" t="s">
        <v>126</v>
      </c>
      <c r="J120" s="27" t="s">
        <v>126</v>
      </c>
      <c r="K120" s="215"/>
      <c r="L120" s="215"/>
      <c r="M120" s="215"/>
      <c r="N120" s="215"/>
      <c r="O120" s="215"/>
      <c r="P120" s="215"/>
      <c r="Q120" s="215"/>
      <c r="R120" s="215"/>
      <c r="S120" s="215"/>
    </row>
    <row r="121" spans="1:19" x14ac:dyDescent="0.25">
      <c r="K121" s="98"/>
      <c r="L121" s="98"/>
      <c r="M121" s="98"/>
      <c r="N121" s="98"/>
      <c r="O121" s="98"/>
      <c r="P121" s="98"/>
      <c r="Q121" s="98"/>
      <c r="R121" s="98"/>
      <c r="S121" s="98"/>
    </row>
    <row r="122" spans="1:19" x14ac:dyDescent="0.25">
      <c r="K122" s="98"/>
      <c r="L122" s="98"/>
      <c r="M122" s="98"/>
      <c r="N122" s="98"/>
      <c r="O122" s="98"/>
      <c r="P122" s="98"/>
      <c r="Q122" s="98"/>
      <c r="R122" s="98"/>
      <c r="S122" s="98"/>
    </row>
    <row r="123" spans="1:19" ht="39.6" x14ac:dyDescent="0.25">
      <c r="A123" s="19" t="str">
        <f>'Undergrounding 2'!A57</f>
        <v>Conductor Pulling (UG) - La Pata &amp; Montana</v>
      </c>
      <c r="B123" s="16" t="s">
        <v>18</v>
      </c>
      <c r="C123" s="16" t="s">
        <v>19</v>
      </c>
      <c r="D123" s="16" t="s">
        <v>20</v>
      </c>
      <c r="E123" s="16" t="s">
        <v>21</v>
      </c>
      <c r="F123" s="16" t="s">
        <v>22</v>
      </c>
      <c r="G123" s="16" t="s">
        <v>23</v>
      </c>
      <c r="H123" s="17" t="s">
        <v>24</v>
      </c>
      <c r="I123" s="16" t="s">
        <v>25</v>
      </c>
      <c r="J123" s="16" t="s">
        <v>26</v>
      </c>
      <c r="K123" s="16" t="s">
        <v>27</v>
      </c>
      <c r="L123" s="16" t="s">
        <v>28</v>
      </c>
      <c r="M123" s="16" t="s">
        <v>29</v>
      </c>
      <c r="N123" s="16" t="s">
        <v>30</v>
      </c>
      <c r="O123" s="16" t="s">
        <v>31</v>
      </c>
      <c r="P123" s="16" t="s">
        <v>32</v>
      </c>
      <c r="Q123" s="16" t="s">
        <v>33</v>
      </c>
      <c r="R123" s="16" t="s">
        <v>34</v>
      </c>
      <c r="S123" s="16" t="s">
        <v>35</v>
      </c>
    </row>
    <row r="124" spans="1:19" x14ac:dyDescent="0.25">
      <c r="A124" s="27" t="s">
        <v>75</v>
      </c>
      <c r="B124" s="213"/>
      <c r="C124" s="213"/>
      <c r="D124" s="213"/>
      <c r="E124" s="213"/>
      <c r="F124" s="213"/>
      <c r="G124" s="213"/>
      <c r="H124" s="213"/>
      <c r="I124" s="213"/>
      <c r="J124" s="213"/>
      <c r="K124" s="215"/>
      <c r="L124" s="215"/>
      <c r="M124" s="215"/>
      <c r="N124" s="215"/>
      <c r="O124" s="215"/>
      <c r="P124" s="215"/>
      <c r="Q124" s="215"/>
      <c r="R124" s="215"/>
      <c r="S124" s="215"/>
    </row>
    <row r="125" spans="1:19" x14ac:dyDescent="0.25">
      <c r="A125" s="27" t="s">
        <v>119</v>
      </c>
      <c r="B125" s="215">
        <f>'Undergrounding 2'!Q61</f>
        <v>1.4290634597050147</v>
      </c>
      <c r="C125" s="215">
        <f>'Undergrounding 2'!R61</f>
        <v>5.4787998385508869</v>
      </c>
      <c r="D125" s="215">
        <f>'Undergrounding 2'!S61</f>
        <v>12.369382207613391</v>
      </c>
      <c r="E125" s="215">
        <f>'Undergrounding 2'!T61</f>
        <v>2.6353294268516968E-2</v>
      </c>
      <c r="F125" s="215">
        <f>'Undergrounding 2'!U61</f>
        <v>0.40810369059869006</v>
      </c>
      <c r="G125" s="215">
        <f>'Undergrounding 2'!V61</f>
        <v>0.36321228463283411</v>
      </c>
      <c r="H125" s="215">
        <f>'Undergrounding 2'!W61</f>
        <v>2582.9024985401338</v>
      </c>
      <c r="I125" s="215">
        <f>'Undergrounding 2'!X61</f>
        <v>0.13358558371521689</v>
      </c>
      <c r="J125" s="215">
        <f>'Undergrounding 2'!Y61</f>
        <v>1.175091309723272</v>
      </c>
      <c r="K125" s="215">
        <f>'Undergrounding 2'!E149</f>
        <v>5.3158156907819115E-3</v>
      </c>
      <c r="L125" s="215">
        <f>'Undergrounding 2'!F149</f>
        <v>1.7181545166092924E-2</v>
      </c>
      <c r="M125" s="215">
        <f>'Undergrounding 2'!G149</f>
        <v>4.302773243030425E-2</v>
      </c>
      <c r="N125" s="215">
        <f>'Undergrounding 2'!H149</f>
        <v>8.7424645706929882E-5</v>
      </c>
      <c r="O125" s="215">
        <f>'Undergrounding 2'!I149</f>
        <v>1.4242876967453864E-3</v>
      </c>
      <c r="P125" s="215">
        <f>'Undergrounding 2'!J149</f>
        <v>1.2676160501033941E-3</v>
      </c>
      <c r="Q125" s="215">
        <f>'Undergrounding 2'!K149</f>
        <v>8.0295425797514319</v>
      </c>
      <c r="R125" s="215">
        <f>'Undergrounding 2'!L149</f>
        <v>5.0104822726775131E-4</v>
      </c>
      <c r="S125" s="215">
        <f>'Undergrounding 2'!M149</f>
        <v>4.0876345808789028E-3</v>
      </c>
    </row>
    <row r="126" spans="1:19" x14ac:dyDescent="0.25">
      <c r="A126" s="27" t="s">
        <v>120</v>
      </c>
      <c r="B126" s="215">
        <f>'WorkerTrips Distribution'!I115</f>
        <v>0.22456365241239598</v>
      </c>
      <c r="C126" s="215">
        <f>'WorkerTrips Distribution'!G115</f>
        <v>4.8767136618527367</v>
      </c>
      <c r="D126" s="215">
        <f>'WorkerTrips Distribution'!H115</f>
        <v>0.44003131792498429</v>
      </c>
      <c r="E126" s="215">
        <f>'WorkerTrips Distribution'!J115</f>
        <v>5.8019742763288432E-3</v>
      </c>
      <c r="F126" s="215">
        <f>'WorkerTrips Distribution'!K115+'WorkerTrips Distribution'!M115</f>
        <v>0.13692423412296101</v>
      </c>
      <c r="G126" s="215">
        <f>'WorkerTrips Distribution'!L115+'WorkerTrips Distribution'!N115</f>
        <v>4.4981208777295514E-2</v>
      </c>
      <c r="H126" s="215">
        <f>'WorkerTrips Distribution'!O115</f>
        <v>467.54148217299189</v>
      </c>
      <c r="I126" s="215">
        <f>'WorkerTrips Distribution'!P115</f>
        <v>2.5377195778755929E-2</v>
      </c>
      <c r="J126" s="215">
        <f>'WorkerTrips Distribution'!Q115</f>
        <v>4.6174852127512461E-2</v>
      </c>
      <c r="K126" s="215">
        <f>'WorkerTrips Distribution'!S115</f>
        <v>0.53643850280380101</v>
      </c>
      <c r="L126" s="215">
        <f>'WorkerTrips Distribution'!T115</f>
        <v>4.8403444971748269E-2</v>
      </c>
      <c r="M126" s="215">
        <f>'WorkerTrips Distribution'!U115</f>
        <v>2.4702001765363558E-2</v>
      </c>
      <c r="N126" s="215">
        <f>'WorkerTrips Distribution'!V115</f>
        <v>6.3821717039617271E-4</v>
      </c>
      <c r="O126" s="215">
        <f>'WorkerTrips Distribution'!W115+'WorkerTrips Distribution'!Y115</f>
        <v>1.5061665753525711E-2</v>
      </c>
      <c r="P126" s="215">
        <f>'WorkerTrips Distribution'!X115+'WorkerTrips Distribution'!Z115</f>
        <v>4.9479329655025064E-3</v>
      </c>
      <c r="Q126" s="215">
        <f>'WorkerTrips Distribution'!AA115</f>
        <v>51.429563039029105</v>
      </c>
      <c r="R126" s="215">
        <f>'WorkerTrips Distribution'!AB115</f>
        <v>2.7914915356631524E-3</v>
      </c>
      <c r="S126" s="215">
        <f>'WorkerTrips Distribution'!AC115</f>
        <v>5.0792337340263708E-3</v>
      </c>
    </row>
    <row r="127" spans="1:19" x14ac:dyDescent="0.25">
      <c r="A127" s="27" t="s">
        <v>121</v>
      </c>
      <c r="B127" s="215">
        <f>'Construction Trucks Distributio'!V66</f>
        <v>4.3829142728683795E-2</v>
      </c>
      <c r="C127" s="215">
        <f>'Construction Trucks Distributio'!T66</f>
        <v>0.22119725569482918</v>
      </c>
      <c r="D127" s="215">
        <f>'Construction Trucks Distributio'!U66</f>
        <v>0.21048278194388062</v>
      </c>
      <c r="E127" s="215">
        <f>'Construction Trucks Distributio'!W66</f>
        <v>8.429119378141626E-4</v>
      </c>
      <c r="F127" s="215">
        <f>'Construction Trucks Distributio'!X66+'Construction Trucks Distributio'!Z66</f>
        <v>6.034233552260522E-2</v>
      </c>
      <c r="G127" s="215">
        <f>'Construction Trucks Distributio'!Y66+'Construction Trucks Distributio'!AA66</f>
        <v>4.0958996494268658E-2</v>
      </c>
      <c r="H127" s="215">
        <f>'Construction Trucks Distributio'!AB66</f>
        <v>84.665874582517347</v>
      </c>
      <c r="I127" s="215">
        <f>'Construction Trucks Distributio'!AC66</f>
        <v>4.8380620712687875E-3</v>
      </c>
      <c r="J127" s="215">
        <f>'Construction Trucks Distributio'!AD66</f>
        <v>2.1688010433057645E-3</v>
      </c>
      <c r="K127" s="215">
        <f>'Construction Trucks Distributio'!AH66</f>
        <v>9.6424114003104352E-4</v>
      </c>
      <c r="L127" s="215">
        <f>'Construction Trucks Distributio'!AF66</f>
        <v>4.866339625286242E-3</v>
      </c>
      <c r="M127" s="215">
        <f>'Construction Trucks Distributio'!AG66</f>
        <v>4.6306212027653736E-3</v>
      </c>
      <c r="N127" s="215">
        <f>'Construction Trucks Distributio'!AI66</f>
        <v>1.854406263191158E-5</v>
      </c>
      <c r="O127" s="215">
        <f>'Construction Trucks Distributio'!AJ66+'Construction Trucks Distributio'!AL66</f>
        <v>1.3275313814973149E-3</v>
      </c>
      <c r="P127" s="215">
        <f>'Construction Trucks Distributio'!AK66+'Construction Trucks Distributio'!AM66</f>
        <v>9.0109792287391044E-4</v>
      </c>
      <c r="Q127" s="215">
        <f>'Construction Trucks Distributio'!AN66</f>
        <v>1.8626492408153816</v>
      </c>
      <c r="R127" s="215">
        <f>'Construction Trucks Distributio'!AO66</f>
        <v>1.0643736556791331E-4</v>
      </c>
      <c r="S127" s="215">
        <f>'Construction Trucks Distributio'!AP66</f>
        <v>4.771362295272682E-5</v>
      </c>
    </row>
    <row r="128" spans="1:19" x14ac:dyDescent="0.25">
      <c r="A128" s="19" t="s">
        <v>123</v>
      </c>
      <c r="B128" s="22">
        <f t="shared" ref="B128:S128" si="11">SUM(B125:B127)</f>
        <v>1.6974562548460945</v>
      </c>
      <c r="C128" s="22">
        <f t="shared" si="11"/>
        <v>10.576710756098453</v>
      </c>
      <c r="D128" s="22">
        <f t="shared" si="11"/>
        <v>13.019896307482256</v>
      </c>
      <c r="E128" s="22">
        <f t="shared" si="11"/>
        <v>3.299818048265997E-2</v>
      </c>
      <c r="F128" s="22">
        <f t="shared" si="11"/>
        <v>0.60537026024425633</v>
      </c>
      <c r="G128" s="22">
        <f t="shared" si="11"/>
        <v>0.44915248990439827</v>
      </c>
      <c r="H128" s="22">
        <f t="shared" si="11"/>
        <v>3135.1098552956432</v>
      </c>
      <c r="I128" s="22">
        <f t="shared" si="11"/>
        <v>0.16380084156524163</v>
      </c>
      <c r="J128" s="22">
        <f t="shared" si="11"/>
        <v>1.2234349628940904</v>
      </c>
      <c r="K128" s="22">
        <f t="shared" si="11"/>
        <v>0.54271855963461391</v>
      </c>
      <c r="L128" s="22">
        <f t="shared" si="11"/>
        <v>7.0451329763127429E-2</v>
      </c>
      <c r="M128" s="22">
        <f t="shared" si="11"/>
        <v>7.2360355398433177E-2</v>
      </c>
      <c r="N128" s="22">
        <f t="shared" si="11"/>
        <v>7.4418587873501419E-4</v>
      </c>
      <c r="O128" s="22">
        <f t="shared" si="11"/>
        <v>1.7813484831768412E-2</v>
      </c>
      <c r="P128" s="22">
        <f t="shared" si="11"/>
        <v>7.1166469384798111E-3</v>
      </c>
      <c r="Q128" s="22">
        <f t="shared" si="11"/>
        <v>61.32175485959592</v>
      </c>
      <c r="R128" s="22">
        <f t="shared" si="11"/>
        <v>3.3989771284988171E-3</v>
      </c>
      <c r="S128" s="22">
        <f t="shared" si="11"/>
        <v>9.2145819378580008E-3</v>
      </c>
    </row>
    <row r="129" spans="1:19" x14ac:dyDescent="0.25">
      <c r="A129" s="27" t="s">
        <v>124</v>
      </c>
      <c r="B129" s="216">
        <v>75</v>
      </c>
      <c r="C129" s="216">
        <v>550</v>
      </c>
      <c r="D129" s="216">
        <v>100</v>
      </c>
      <c r="E129" s="216">
        <v>150</v>
      </c>
      <c r="F129" s="216">
        <v>150</v>
      </c>
      <c r="G129" s="216">
        <v>55</v>
      </c>
      <c r="H129" s="216" t="s">
        <v>126</v>
      </c>
      <c r="I129" s="216" t="s">
        <v>126</v>
      </c>
      <c r="J129" s="216" t="s">
        <v>126</v>
      </c>
      <c r="K129" s="215"/>
      <c r="L129" s="215"/>
      <c r="M129" s="215"/>
      <c r="N129" s="215"/>
      <c r="O129" s="215"/>
      <c r="P129" s="215"/>
      <c r="Q129" s="215"/>
      <c r="R129" s="215"/>
      <c r="S129" s="215"/>
    </row>
    <row r="130" spans="1:19" x14ac:dyDescent="0.25">
      <c r="A130" s="27" t="s">
        <v>125</v>
      </c>
      <c r="B130" s="27" t="s">
        <v>127</v>
      </c>
      <c r="C130" s="27" t="s">
        <v>127</v>
      </c>
      <c r="D130" s="27" t="s">
        <v>127</v>
      </c>
      <c r="E130" s="27" t="s">
        <v>127</v>
      </c>
      <c r="F130" s="27" t="s">
        <v>127</v>
      </c>
      <c r="G130" s="27" t="s">
        <v>127</v>
      </c>
      <c r="H130" s="27" t="s">
        <v>126</v>
      </c>
      <c r="I130" s="27" t="s">
        <v>126</v>
      </c>
      <c r="J130" s="27" t="s">
        <v>126</v>
      </c>
      <c r="K130" s="215"/>
      <c r="L130" s="215"/>
      <c r="M130" s="215"/>
      <c r="N130" s="215"/>
      <c r="O130" s="215"/>
      <c r="P130" s="215"/>
      <c r="Q130" s="215"/>
      <c r="R130" s="215"/>
      <c r="S130" s="215"/>
    </row>
    <row r="131" spans="1:19" x14ac:dyDescent="0.25">
      <c r="K131" s="98"/>
      <c r="L131" s="98"/>
      <c r="M131" s="98"/>
      <c r="N131" s="98"/>
      <c r="O131" s="98"/>
      <c r="P131" s="98"/>
      <c r="Q131" s="98"/>
      <c r="R131" s="98"/>
      <c r="S131" s="98"/>
    </row>
    <row r="132" spans="1:19" x14ac:dyDescent="0.25">
      <c r="K132" s="98"/>
      <c r="L132" s="98"/>
      <c r="M132" s="98"/>
      <c r="N132" s="98"/>
      <c r="O132" s="98"/>
      <c r="P132" s="98"/>
      <c r="Q132" s="98"/>
      <c r="R132" s="98"/>
      <c r="S132" s="98"/>
    </row>
    <row r="133" spans="1:19" ht="39.6" x14ac:dyDescent="0.25">
      <c r="A133" s="19" t="str">
        <f>'Undergrounding 2'!A63</f>
        <v>Remove Poles and Conductor - La Pata</v>
      </c>
      <c r="B133" s="16" t="s">
        <v>18</v>
      </c>
      <c r="C133" s="16" t="s">
        <v>19</v>
      </c>
      <c r="D133" s="16" t="s">
        <v>20</v>
      </c>
      <c r="E133" s="16" t="s">
        <v>21</v>
      </c>
      <c r="F133" s="16" t="s">
        <v>22</v>
      </c>
      <c r="G133" s="16" t="s">
        <v>23</v>
      </c>
      <c r="H133" s="17" t="s">
        <v>24</v>
      </c>
      <c r="I133" s="16" t="s">
        <v>25</v>
      </c>
      <c r="J133" s="16" t="s">
        <v>26</v>
      </c>
      <c r="K133" s="16" t="s">
        <v>27</v>
      </c>
      <c r="L133" s="16" t="s">
        <v>28</v>
      </c>
      <c r="M133" s="16" t="s">
        <v>29</v>
      </c>
      <c r="N133" s="16" t="s">
        <v>30</v>
      </c>
      <c r="O133" s="16" t="s">
        <v>31</v>
      </c>
      <c r="P133" s="16" t="s">
        <v>32</v>
      </c>
      <c r="Q133" s="16" t="s">
        <v>33</v>
      </c>
      <c r="R133" s="16" t="s">
        <v>34</v>
      </c>
      <c r="S133" s="16" t="s">
        <v>35</v>
      </c>
    </row>
    <row r="134" spans="1:19" x14ac:dyDescent="0.25">
      <c r="A134" s="27" t="s">
        <v>75</v>
      </c>
      <c r="B134" s="213"/>
      <c r="C134" s="213"/>
      <c r="D134" s="213"/>
      <c r="E134" s="213"/>
      <c r="F134" s="213"/>
      <c r="G134" s="213"/>
      <c r="H134" s="213"/>
      <c r="I134" s="213"/>
      <c r="J134" s="213"/>
      <c r="K134" s="215"/>
      <c r="L134" s="215"/>
      <c r="M134" s="215"/>
      <c r="N134" s="215"/>
      <c r="O134" s="215"/>
      <c r="P134" s="215"/>
      <c r="Q134" s="215"/>
      <c r="R134" s="215"/>
      <c r="S134" s="215"/>
    </row>
    <row r="135" spans="1:19" x14ac:dyDescent="0.25">
      <c r="A135" s="27" t="s">
        <v>119</v>
      </c>
      <c r="B135" s="215">
        <f>'Undergrounding 2'!Q69</f>
        <v>2.9126282012001372</v>
      </c>
      <c r="C135" s="215">
        <f>'Undergrounding 2'!R69</f>
        <v>9.6435201179971521</v>
      </c>
      <c r="D135" s="215">
        <f>'Undergrounding 2'!S69</f>
        <v>23.831844711942772</v>
      </c>
      <c r="E135" s="215">
        <f>'Undergrounding 2'!T69</f>
        <v>4.8703192104876676E-2</v>
      </c>
      <c r="F135" s="215">
        <f>'Undergrounding 2'!U69</f>
        <v>0.78758833052746935</v>
      </c>
      <c r="G135" s="215">
        <f>'Undergrounding 2'!V69</f>
        <v>0.70095361416944768</v>
      </c>
      <c r="H135" s="215">
        <f>'Undergrounding 2'!W69</f>
        <v>4523.2483813034178</v>
      </c>
      <c r="I135" s="215">
        <f>'Undergrounding 2'!X69</f>
        <v>0.27415524168098804</v>
      </c>
      <c r="J135" s="215">
        <f>'Undergrounding 2'!Y69</f>
        <v>2.2640252476345637</v>
      </c>
      <c r="K135" s="215">
        <f>'Undergrounding 2'!E157</f>
        <v>9.5731042228741556E-3</v>
      </c>
      <c r="L135" s="215">
        <f>'Undergrounding 2'!F157</f>
        <v>3.3618372560137021E-2</v>
      </c>
      <c r="M135" s="215">
        <f>'Undergrounding 2'!G157</f>
        <v>8.0838056549177389E-2</v>
      </c>
      <c r="N135" s="215">
        <f>'Undergrounding 2'!H157</f>
        <v>1.6854034334357469E-4</v>
      </c>
      <c r="O135" s="215">
        <f>'Undergrounding 2'!I157</f>
        <v>2.6649219624994376E-3</v>
      </c>
      <c r="P135" s="215">
        <f>'Undergrounding 2'!J157</f>
        <v>2.3717805466244991E-3</v>
      </c>
      <c r="Q135" s="215">
        <f>'Undergrounding 2'!K157</f>
        <v>16.147494228746019</v>
      </c>
      <c r="R135" s="215">
        <f>'Undergrounding 2'!L157</f>
        <v>8.9963797244054259E-4</v>
      </c>
      <c r="S135" s="215">
        <f>'Undergrounding 2'!M157</f>
        <v>7.6796153721718522E-3</v>
      </c>
    </row>
    <row r="136" spans="1:19" x14ac:dyDescent="0.25">
      <c r="A136" s="27" t="s">
        <v>120</v>
      </c>
      <c r="B136" s="215">
        <f>'WorkerTrips Distribution'!I116</f>
        <v>0.22456365241239598</v>
      </c>
      <c r="C136" s="215">
        <f>'WorkerTrips Distribution'!G116</f>
        <v>4.8767136618527367</v>
      </c>
      <c r="D136" s="215">
        <f>'WorkerTrips Distribution'!H116</f>
        <v>0.44003131792498429</v>
      </c>
      <c r="E136" s="215">
        <f>'WorkerTrips Distribution'!J116</f>
        <v>5.8019742763288432E-3</v>
      </c>
      <c r="F136" s="215">
        <f>'WorkerTrips Distribution'!K116+'WorkerTrips Distribution'!M116</f>
        <v>0.13692423412296101</v>
      </c>
      <c r="G136" s="215">
        <f>'WorkerTrips Distribution'!L116+'WorkerTrips Distribution'!N116</f>
        <v>4.4981208777295514E-2</v>
      </c>
      <c r="H136" s="215">
        <f>'WorkerTrips Distribution'!O116</f>
        <v>467.54148217299189</v>
      </c>
      <c r="I136" s="215">
        <f>'WorkerTrips Distribution'!P116</f>
        <v>2.5377195778755929E-2</v>
      </c>
      <c r="J136" s="215">
        <f>'WorkerTrips Distribution'!Q116</f>
        <v>4.6174852127512461E-2</v>
      </c>
      <c r="K136" s="215">
        <f>'WorkerTrips Distribution'!S116</f>
        <v>0.53643850280380101</v>
      </c>
      <c r="L136" s="215">
        <f>'WorkerTrips Distribution'!T116</f>
        <v>4.8403444971748269E-2</v>
      </c>
      <c r="M136" s="215">
        <f>'WorkerTrips Distribution'!U116</f>
        <v>2.4702001765363558E-2</v>
      </c>
      <c r="N136" s="215">
        <f>'WorkerTrips Distribution'!V116</f>
        <v>6.3821717039617271E-4</v>
      </c>
      <c r="O136" s="215">
        <f>'WorkerTrips Distribution'!W116+'WorkerTrips Distribution'!Y116</f>
        <v>1.5061665753525711E-2</v>
      </c>
      <c r="P136" s="215">
        <f>'WorkerTrips Distribution'!X116+'WorkerTrips Distribution'!Z116</f>
        <v>4.9479329655025064E-3</v>
      </c>
      <c r="Q136" s="215">
        <f>'WorkerTrips Distribution'!AA116</f>
        <v>51.429563039029105</v>
      </c>
      <c r="R136" s="215">
        <f>'WorkerTrips Distribution'!AB116</f>
        <v>2.7914915356631524E-3</v>
      </c>
      <c r="S136" s="215">
        <f>'WorkerTrips Distribution'!AC116</f>
        <v>5.0792337340263708E-3</v>
      </c>
    </row>
    <row r="137" spans="1:19" x14ac:dyDescent="0.25">
      <c r="A137" s="27" t="s">
        <v>121</v>
      </c>
      <c r="B137" s="215">
        <f>'Construction Trucks Distributio'!V70</f>
        <v>4.3829142728683795E-2</v>
      </c>
      <c r="C137" s="215">
        <f>'Construction Trucks Distributio'!T70</f>
        <v>0.22119725569482918</v>
      </c>
      <c r="D137" s="215">
        <f>'Construction Trucks Distributio'!U70</f>
        <v>0.21048278194388062</v>
      </c>
      <c r="E137" s="215">
        <f>'Construction Trucks Distributio'!W70</f>
        <v>8.429119378141626E-4</v>
      </c>
      <c r="F137" s="215">
        <f>'Construction Trucks Distributio'!X70+'Construction Trucks Distributio'!Z70</f>
        <v>6.034233552260522E-2</v>
      </c>
      <c r="G137" s="215">
        <f>'Construction Trucks Distributio'!Y70+'Construction Trucks Distributio'!AA70</f>
        <v>4.0958996494268658E-2</v>
      </c>
      <c r="H137" s="215">
        <f>'Construction Trucks Distributio'!AB70</f>
        <v>84.665874582517347</v>
      </c>
      <c r="I137" s="215">
        <f>'Construction Trucks Distributio'!AC70</f>
        <v>4.8380620712687875E-3</v>
      </c>
      <c r="J137" s="215">
        <f>'Construction Trucks Distributio'!AD70</f>
        <v>2.1688010433057645E-3</v>
      </c>
      <c r="K137" s="215">
        <f>'Construction Trucks Distributio'!AH70</f>
        <v>9.6424114003104352E-4</v>
      </c>
      <c r="L137" s="215">
        <f>'Construction Trucks Distributio'!AF70</f>
        <v>4.866339625286242E-3</v>
      </c>
      <c r="M137" s="215">
        <f>'Construction Trucks Distributio'!AG70</f>
        <v>4.6306212027653736E-3</v>
      </c>
      <c r="N137" s="215">
        <f>'Construction Trucks Distributio'!AI70</f>
        <v>1.854406263191158E-5</v>
      </c>
      <c r="O137" s="215">
        <f>'Construction Trucks Distributio'!AJ70+'Construction Trucks Distributio'!AL70</f>
        <v>1.3275313814973149E-3</v>
      </c>
      <c r="P137" s="215">
        <f>'Construction Trucks Distributio'!AK70+'Construction Trucks Distributio'!AM70</f>
        <v>9.0109792287391044E-4</v>
      </c>
      <c r="Q137" s="215">
        <f>'Construction Trucks Distributio'!AN70</f>
        <v>1.8626492408153816</v>
      </c>
      <c r="R137" s="215">
        <f>'Construction Trucks Distributio'!AO70</f>
        <v>1.0643736556791331E-4</v>
      </c>
      <c r="S137" s="215">
        <f>'Construction Trucks Distributio'!AP70</f>
        <v>4.771362295272682E-5</v>
      </c>
    </row>
    <row r="138" spans="1:19" x14ac:dyDescent="0.25">
      <c r="A138" s="19" t="s">
        <v>123</v>
      </c>
      <c r="B138" s="22">
        <f t="shared" ref="B138:S138" si="12">SUM(B135:B137)</f>
        <v>3.1810209963412168</v>
      </c>
      <c r="C138" s="22">
        <f t="shared" si="12"/>
        <v>14.741431035544718</v>
      </c>
      <c r="D138" s="22">
        <f t="shared" si="12"/>
        <v>24.482358811811636</v>
      </c>
      <c r="E138" s="22">
        <f t="shared" si="12"/>
        <v>5.5348078319019681E-2</v>
      </c>
      <c r="F138" s="22">
        <f t="shared" si="12"/>
        <v>0.98485490017303567</v>
      </c>
      <c r="G138" s="22">
        <f t="shared" si="12"/>
        <v>0.78689381944101189</v>
      </c>
      <c r="H138" s="22">
        <f t="shared" si="12"/>
        <v>5075.4557380589267</v>
      </c>
      <c r="I138" s="22">
        <f t="shared" si="12"/>
        <v>0.30437049953101275</v>
      </c>
      <c r="J138" s="22">
        <f t="shared" si="12"/>
        <v>2.3123689008053816</v>
      </c>
      <c r="K138" s="22">
        <f t="shared" si="12"/>
        <v>0.54697584816670619</v>
      </c>
      <c r="L138" s="22">
        <f t="shared" si="12"/>
        <v>8.6888157157171519E-2</v>
      </c>
      <c r="M138" s="22">
        <f t="shared" si="12"/>
        <v>0.11017067951730632</v>
      </c>
      <c r="N138" s="22">
        <f t="shared" si="12"/>
        <v>8.2530157637165902E-4</v>
      </c>
      <c r="O138" s="22">
        <f t="shared" si="12"/>
        <v>1.9054119097522464E-2</v>
      </c>
      <c r="P138" s="22">
        <f t="shared" si="12"/>
        <v>8.220811435000917E-3</v>
      </c>
      <c r="Q138" s="22">
        <f t="shared" si="12"/>
        <v>69.439706508590518</v>
      </c>
      <c r="R138" s="22">
        <f t="shared" si="12"/>
        <v>3.7975668736716082E-3</v>
      </c>
      <c r="S138" s="22">
        <f t="shared" si="12"/>
        <v>1.280656272915095E-2</v>
      </c>
    </row>
    <row r="139" spans="1:19" x14ac:dyDescent="0.25">
      <c r="A139" s="27" t="s">
        <v>124</v>
      </c>
      <c r="B139" s="216">
        <v>75</v>
      </c>
      <c r="C139" s="216">
        <v>550</v>
      </c>
      <c r="D139" s="216">
        <v>100</v>
      </c>
      <c r="E139" s="216">
        <v>150</v>
      </c>
      <c r="F139" s="216">
        <v>150</v>
      </c>
      <c r="G139" s="216">
        <v>55</v>
      </c>
      <c r="H139" s="216" t="s">
        <v>126</v>
      </c>
      <c r="I139" s="216" t="s">
        <v>126</v>
      </c>
      <c r="J139" s="216" t="s">
        <v>126</v>
      </c>
      <c r="K139" s="215"/>
      <c r="L139" s="215"/>
      <c r="M139" s="215"/>
      <c r="N139" s="215"/>
      <c r="O139" s="215"/>
      <c r="P139" s="215"/>
      <c r="Q139" s="215"/>
      <c r="R139" s="215"/>
      <c r="S139" s="215"/>
    </row>
    <row r="140" spans="1:19" x14ac:dyDescent="0.25">
      <c r="A140" s="27" t="s">
        <v>125</v>
      </c>
      <c r="B140" s="27" t="s">
        <v>127</v>
      </c>
      <c r="C140" s="27" t="s">
        <v>127</v>
      </c>
      <c r="D140" s="27" t="s">
        <v>127</v>
      </c>
      <c r="E140" s="27" t="s">
        <v>127</v>
      </c>
      <c r="F140" s="27" t="s">
        <v>127</v>
      </c>
      <c r="G140" s="27" t="s">
        <v>127</v>
      </c>
      <c r="H140" s="27" t="s">
        <v>126</v>
      </c>
      <c r="I140" s="27" t="s">
        <v>126</v>
      </c>
      <c r="J140" s="27" t="s">
        <v>126</v>
      </c>
      <c r="K140" s="215"/>
      <c r="L140" s="215"/>
      <c r="M140" s="215"/>
      <c r="N140" s="215"/>
      <c r="O140" s="215"/>
      <c r="P140" s="215"/>
      <c r="Q140" s="215"/>
      <c r="R140" s="215"/>
      <c r="S140" s="215"/>
    </row>
    <row r="141" spans="1:19" x14ac:dyDescent="0.25">
      <c r="K141" s="98"/>
      <c r="L141" s="98"/>
      <c r="M141" s="98"/>
      <c r="N141" s="98"/>
      <c r="O141" s="98"/>
      <c r="P141" s="98"/>
      <c r="Q141" s="98"/>
      <c r="R141" s="98"/>
      <c r="S141" s="98"/>
    </row>
    <row r="142" spans="1:19" x14ac:dyDescent="0.25">
      <c r="K142" s="98"/>
      <c r="L142" s="98"/>
      <c r="M142" s="98"/>
      <c r="N142" s="98"/>
      <c r="O142" s="98"/>
      <c r="P142" s="98"/>
      <c r="Q142" s="98"/>
      <c r="R142" s="98"/>
      <c r="S142" s="98"/>
    </row>
    <row r="143" spans="1:19" ht="39.6" x14ac:dyDescent="0.25">
      <c r="A143" s="19" t="str">
        <f>'Undergrounding 2'!A71</f>
        <v>Undergrounding Talega</v>
      </c>
      <c r="B143" s="16" t="s">
        <v>18</v>
      </c>
      <c r="C143" s="16" t="s">
        <v>19</v>
      </c>
      <c r="D143" s="16" t="s">
        <v>20</v>
      </c>
      <c r="E143" s="16" t="s">
        <v>21</v>
      </c>
      <c r="F143" s="16" t="s">
        <v>22</v>
      </c>
      <c r="G143" s="16" t="s">
        <v>23</v>
      </c>
      <c r="H143" s="17" t="s">
        <v>24</v>
      </c>
      <c r="I143" s="16" t="s">
        <v>25</v>
      </c>
      <c r="J143" s="16" t="s">
        <v>26</v>
      </c>
      <c r="K143" s="16" t="s">
        <v>27</v>
      </c>
      <c r="L143" s="16" t="s">
        <v>28</v>
      </c>
      <c r="M143" s="16" t="s">
        <v>29</v>
      </c>
      <c r="N143" s="16" t="s">
        <v>30</v>
      </c>
      <c r="O143" s="16" t="s">
        <v>31</v>
      </c>
      <c r="P143" s="16" t="s">
        <v>32</v>
      </c>
      <c r="Q143" s="16" t="s">
        <v>33</v>
      </c>
      <c r="R143" s="16" t="s">
        <v>34</v>
      </c>
      <c r="S143" s="16" t="s">
        <v>35</v>
      </c>
    </row>
    <row r="144" spans="1:19" x14ac:dyDescent="0.25">
      <c r="A144" s="27" t="s">
        <v>75</v>
      </c>
      <c r="B144" s="213"/>
      <c r="C144" s="213"/>
      <c r="D144" s="213"/>
      <c r="E144" s="213"/>
      <c r="F144" s="213"/>
      <c r="G144" s="213"/>
      <c r="H144" s="213"/>
      <c r="I144" s="213"/>
      <c r="J144" s="213"/>
      <c r="K144" s="215"/>
      <c r="L144" s="215"/>
      <c r="M144" s="215"/>
      <c r="N144" s="215"/>
      <c r="O144" s="215"/>
      <c r="P144" s="215"/>
      <c r="Q144" s="215"/>
      <c r="R144" s="215"/>
      <c r="S144" s="215"/>
    </row>
    <row r="145" spans="1:19" x14ac:dyDescent="0.25">
      <c r="A145" s="27" t="s">
        <v>119</v>
      </c>
      <c r="B145" s="215">
        <f>'Undergrounding 2'!Q84</f>
        <v>5.6728387706105012</v>
      </c>
      <c r="C145" s="215">
        <f>'Undergrounding 2'!R84</f>
        <v>23.573699108679723</v>
      </c>
      <c r="D145" s="215">
        <f>'Undergrounding 2'!S84</f>
        <v>39.542196114159722</v>
      </c>
      <c r="E145" s="215">
        <f>'Undergrounding 2'!T84</f>
        <v>6.4181621148648393E-2</v>
      </c>
      <c r="F145" s="215">
        <f>'Undergrounding 2'!U84</f>
        <v>2.2037061928160475</v>
      </c>
      <c r="G145" s="215">
        <f>'Undergrounding 2'!V84</f>
        <v>1.961298511606282</v>
      </c>
      <c r="H145" s="215">
        <f>'Undergrounding 2'!W84</f>
        <v>5540.6783183828375</v>
      </c>
      <c r="I145" s="215">
        <f>'Undergrounding 2'!X84</f>
        <v>0.53058574578127771</v>
      </c>
      <c r="J145" s="215">
        <f>'Undergrounding 2'!Y84</f>
        <v>3.7565086308451727</v>
      </c>
      <c r="K145" s="215">
        <f>'Undergrounding 2'!E172</f>
        <v>7.184762487849077E-3</v>
      </c>
      <c r="L145" s="215">
        <f>'Undergrounding 2'!F172</f>
        <v>2.7195761111669044E-2</v>
      </c>
      <c r="M145" s="215">
        <f>'Undergrounding 2'!G172</f>
        <v>5.3736380930325227E-2</v>
      </c>
      <c r="N145" s="215">
        <f>'Undergrounding 2'!H172</f>
        <v>9.643221772909368E-5</v>
      </c>
      <c r="O145" s="215">
        <f>'Undergrounding 2'!I172</f>
        <v>2.4723508201038367E-3</v>
      </c>
      <c r="P145" s="215">
        <f>'Undergrounding 2'!J172</f>
        <v>2.2003922298924152E-3</v>
      </c>
      <c r="Q145" s="215">
        <f>'Undergrounding 2'!K172</f>
        <v>8.447785345748791</v>
      </c>
      <c r="R145" s="215">
        <f>'Undergrounding 2'!L172</f>
        <v>6.7506510904156861E-4</v>
      </c>
      <c r="S145" s="215">
        <f>'Undergrounding 2'!M172</f>
        <v>5.1049561883808967E-3</v>
      </c>
    </row>
    <row r="146" spans="1:19" x14ac:dyDescent="0.25">
      <c r="A146" s="27" t="s">
        <v>120</v>
      </c>
      <c r="B146" s="215">
        <f>'WorkerTrips Distribution'!I117</f>
        <v>0.42105684827324247</v>
      </c>
      <c r="C146" s="215">
        <f>'WorkerTrips Distribution'!G117</f>
        <v>9.14383811597388</v>
      </c>
      <c r="D146" s="215">
        <f>'WorkerTrips Distribution'!H117</f>
        <v>0.82505872110934553</v>
      </c>
      <c r="E146" s="215">
        <f>'WorkerTrips Distribution'!J117</f>
        <v>1.087870176811658E-2</v>
      </c>
      <c r="F146" s="215">
        <f>'WorkerTrips Distribution'!K117+'WorkerTrips Distribution'!M117</f>
        <v>0.25673293898055188</v>
      </c>
      <c r="G146" s="215">
        <f>'WorkerTrips Distribution'!L117+'WorkerTrips Distribution'!N117</f>
        <v>8.4339766457429077E-2</v>
      </c>
      <c r="H146" s="215">
        <f>'WorkerTrips Distribution'!O117</f>
        <v>876.64027907435968</v>
      </c>
      <c r="I146" s="215">
        <f>'WorkerTrips Distribution'!P117</f>
        <v>4.758224208516737E-2</v>
      </c>
      <c r="J146" s="215">
        <f>'WorkerTrips Distribution'!Q117</f>
        <v>8.6577847739085875E-2</v>
      </c>
      <c r="K146" s="215">
        <f>'WorkerTrips Distribution'!S117</f>
        <v>1.0058221927571267</v>
      </c>
      <c r="L146" s="215">
        <f>'WorkerTrips Distribution'!T117</f>
        <v>9.0756459322028013E-2</v>
      </c>
      <c r="M146" s="215">
        <f>'WorkerTrips Distribution'!U117</f>
        <v>4.6316253310056676E-2</v>
      </c>
      <c r="N146" s="215">
        <f>'WorkerTrips Distribution'!V117</f>
        <v>1.1966571944928236E-3</v>
      </c>
      <c r="O146" s="215">
        <f>'WorkerTrips Distribution'!W117+'WorkerTrips Distribution'!Y117</f>
        <v>2.8240623287860707E-2</v>
      </c>
      <c r="P146" s="215">
        <f>'WorkerTrips Distribution'!X117+'WorkerTrips Distribution'!Z117</f>
        <v>9.2773743103171987E-3</v>
      </c>
      <c r="Q146" s="215">
        <f>'WorkerTrips Distribution'!AA117</f>
        <v>96.430430698179563</v>
      </c>
      <c r="R146" s="215">
        <f>'WorkerTrips Distribution'!AB117</f>
        <v>5.2340466293684107E-3</v>
      </c>
      <c r="S146" s="215">
        <f>'WorkerTrips Distribution'!AC117</f>
        <v>9.523563251299447E-3</v>
      </c>
    </row>
    <row r="147" spans="1:19" x14ac:dyDescent="0.25">
      <c r="A147" s="27" t="s">
        <v>121</v>
      </c>
      <c r="B147" s="215">
        <f>'Construction Trucks Distributio'!V76</f>
        <v>0.35232434949445984</v>
      </c>
      <c r="C147" s="215">
        <f>'Construction Trucks Distributio'!T76</f>
        <v>1.5649211249505588</v>
      </c>
      <c r="D147" s="215">
        <f>'Construction Trucks Distributio'!U76</f>
        <v>5.9582405153027187</v>
      </c>
      <c r="E147" s="215">
        <f>'Construction Trucks Distributio'!W76</f>
        <v>1.1553535714373807E-2</v>
      </c>
      <c r="F147" s="215">
        <f>'Construction Trucks Distributio'!X76+'Construction Trucks Distributio'!Z76</f>
        <v>0.34646991804176447</v>
      </c>
      <c r="G147" s="215">
        <f>'Construction Trucks Distributio'!Y76+'Construction Trucks Distributio'!AA76</f>
        <v>0.20646929281182336</v>
      </c>
      <c r="H147" s="215">
        <f>'Construction Trucks Distributio'!AB76</f>
        <v>1742.2118102146922</v>
      </c>
      <c r="I147" s="215">
        <f>'Construction Trucks Distributio'!AC76</f>
        <v>9.9555209471098138E-2</v>
      </c>
      <c r="J147" s="215">
        <f>'Construction Trucks Distributio'!AD76</f>
        <v>4.462849773045955E-2</v>
      </c>
      <c r="K147" s="215">
        <f>'Construction Trucks Distributio'!AH76</f>
        <v>3.6159042751164132E-3</v>
      </c>
      <c r="L147" s="215">
        <f>'Construction Trucks Distributio'!AF76</f>
        <v>1.8248773594823409E-2</v>
      </c>
      <c r="M147" s="215">
        <f>'Construction Trucks Distributio'!AG76</f>
        <v>1.7364829510370154E-2</v>
      </c>
      <c r="N147" s="215">
        <f>'Construction Trucks Distributio'!AI76</f>
        <v>6.9540234869668407E-5</v>
      </c>
      <c r="O147" s="215">
        <f>'Construction Trucks Distributio'!AJ76+'Construction Trucks Distributio'!AL76</f>
        <v>4.9782426806149315E-3</v>
      </c>
      <c r="P147" s="215">
        <f>'Construction Trucks Distributio'!AK76+'Construction Trucks Distributio'!AM76</f>
        <v>3.3791172107771644E-3</v>
      </c>
      <c r="Q147" s="215">
        <f>'Construction Trucks Distributio'!AN76</f>
        <v>6.9849346530576817</v>
      </c>
      <c r="R147" s="215">
        <f>'Construction Trucks Distributio'!AO76</f>
        <v>3.9914012087967501E-4</v>
      </c>
      <c r="S147" s="215">
        <f>'Construction Trucks Distributio'!AP76</f>
        <v>1.7892608607272557E-4</v>
      </c>
    </row>
    <row r="148" spans="1:19" x14ac:dyDescent="0.25">
      <c r="A148" s="19" t="s">
        <v>123</v>
      </c>
      <c r="B148" s="22">
        <f t="shared" ref="B148:S148" si="13">SUM(B145:B147)</f>
        <v>6.4462199683782035</v>
      </c>
      <c r="C148" s="22">
        <f t="shared" si="13"/>
        <v>34.282458349604163</v>
      </c>
      <c r="D148" s="22">
        <f t="shared" si="13"/>
        <v>46.325495350571785</v>
      </c>
      <c r="E148" s="22">
        <f t="shared" si="13"/>
        <v>8.6613858631138768E-2</v>
      </c>
      <c r="F148" s="22">
        <f t="shared" si="13"/>
        <v>2.8069090498383638</v>
      </c>
      <c r="G148" s="22">
        <f t="shared" si="13"/>
        <v>2.2521075708755345</v>
      </c>
      <c r="H148" s="22">
        <f t="shared" si="13"/>
        <v>8159.5304076718894</v>
      </c>
      <c r="I148" s="22">
        <f t="shared" si="13"/>
        <v>0.67772319733754327</v>
      </c>
      <c r="J148" s="22">
        <f t="shared" si="13"/>
        <v>3.8877149763147179</v>
      </c>
      <c r="K148" s="22">
        <f t="shared" si="13"/>
        <v>1.0166228595200923</v>
      </c>
      <c r="L148" s="22">
        <f t="shared" si="13"/>
        <v>0.13620099402852048</v>
      </c>
      <c r="M148" s="22">
        <f t="shared" si="13"/>
        <v>0.11741746375075207</v>
      </c>
      <c r="N148" s="22">
        <f t="shared" si="13"/>
        <v>1.3626296470915858E-3</v>
      </c>
      <c r="O148" s="22">
        <f t="shared" si="13"/>
        <v>3.5691216788579477E-2</v>
      </c>
      <c r="P148" s="22">
        <f t="shared" si="13"/>
        <v>1.4856883750986778E-2</v>
      </c>
      <c r="Q148" s="22">
        <f t="shared" si="13"/>
        <v>111.86315069698603</v>
      </c>
      <c r="R148" s="22">
        <f t="shared" si="13"/>
        <v>6.3082518592896542E-3</v>
      </c>
      <c r="S148" s="22">
        <f t="shared" si="13"/>
        <v>1.4807445525753068E-2</v>
      </c>
    </row>
    <row r="149" spans="1:19" x14ac:dyDescent="0.25">
      <c r="A149" s="27" t="s">
        <v>124</v>
      </c>
      <c r="B149" s="216">
        <v>75</v>
      </c>
      <c r="C149" s="216">
        <v>550</v>
      </c>
      <c r="D149" s="216">
        <v>100</v>
      </c>
      <c r="E149" s="216">
        <v>150</v>
      </c>
      <c r="F149" s="216">
        <v>150</v>
      </c>
      <c r="G149" s="216">
        <v>55</v>
      </c>
      <c r="H149" s="216" t="s">
        <v>126</v>
      </c>
      <c r="I149" s="216" t="s">
        <v>126</v>
      </c>
      <c r="J149" s="216" t="s">
        <v>126</v>
      </c>
      <c r="K149" s="215"/>
      <c r="L149" s="215"/>
      <c r="M149" s="215"/>
      <c r="N149" s="215"/>
      <c r="O149" s="215"/>
      <c r="P149" s="215"/>
      <c r="Q149" s="215"/>
      <c r="R149" s="215"/>
      <c r="S149" s="215"/>
    </row>
    <row r="150" spans="1:19" x14ac:dyDescent="0.25">
      <c r="A150" s="27" t="s">
        <v>125</v>
      </c>
      <c r="B150" s="27" t="s">
        <v>127</v>
      </c>
      <c r="C150" s="27" t="s">
        <v>127</v>
      </c>
      <c r="D150" s="27" t="s">
        <v>127</v>
      </c>
      <c r="E150" s="27" t="s">
        <v>127</v>
      </c>
      <c r="F150" s="27" t="s">
        <v>127</v>
      </c>
      <c r="G150" s="27" t="s">
        <v>127</v>
      </c>
      <c r="H150" s="27" t="s">
        <v>126</v>
      </c>
      <c r="I150" s="27" t="s">
        <v>126</v>
      </c>
      <c r="J150" s="27" t="s">
        <v>126</v>
      </c>
      <c r="K150" s="215"/>
      <c r="L150" s="215"/>
      <c r="M150" s="215"/>
      <c r="N150" s="215"/>
      <c r="O150" s="215"/>
      <c r="P150" s="215"/>
      <c r="Q150" s="215"/>
      <c r="R150" s="215"/>
      <c r="S150" s="215"/>
    </row>
    <row r="151" spans="1:19" x14ac:dyDescent="0.25">
      <c r="K151" s="98"/>
      <c r="L151" s="98"/>
      <c r="M151" s="98"/>
      <c r="N151" s="98"/>
      <c r="O151" s="98"/>
      <c r="P151" s="98"/>
      <c r="Q151" s="98"/>
      <c r="R151" s="98"/>
      <c r="S151" s="98"/>
    </row>
    <row r="152" spans="1:19" x14ac:dyDescent="0.25">
      <c r="K152" s="98"/>
      <c r="L152" s="98"/>
      <c r="M152" s="98"/>
      <c r="N152" s="98"/>
      <c r="O152" s="98"/>
      <c r="P152" s="98"/>
      <c r="Q152" s="98"/>
      <c r="R152" s="98"/>
      <c r="S152" s="98"/>
    </row>
    <row r="153" spans="1:19" ht="39.6" x14ac:dyDescent="0.25">
      <c r="A153" s="19" t="str">
        <f>'Undergrounding 2'!A86</f>
        <v>Conductor Pulling (UG) - Talega</v>
      </c>
      <c r="B153" s="16" t="s">
        <v>18</v>
      </c>
      <c r="C153" s="16" t="s">
        <v>19</v>
      </c>
      <c r="D153" s="16" t="s">
        <v>20</v>
      </c>
      <c r="E153" s="16" t="s">
        <v>21</v>
      </c>
      <c r="F153" s="16" t="s">
        <v>22</v>
      </c>
      <c r="G153" s="16" t="s">
        <v>23</v>
      </c>
      <c r="H153" s="17" t="s">
        <v>24</v>
      </c>
      <c r="I153" s="16" t="s">
        <v>25</v>
      </c>
      <c r="J153" s="16" t="s">
        <v>26</v>
      </c>
      <c r="K153" s="16" t="s">
        <v>27</v>
      </c>
      <c r="L153" s="16" t="s">
        <v>28</v>
      </c>
      <c r="M153" s="16" t="s">
        <v>29</v>
      </c>
      <c r="N153" s="16" t="s">
        <v>30</v>
      </c>
      <c r="O153" s="16" t="s">
        <v>31</v>
      </c>
      <c r="P153" s="16" t="s">
        <v>32</v>
      </c>
      <c r="Q153" s="16" t="s">
        <v>33</v>
      </c>
      <c r="R153" s="16" t="s">
        <v>34</v>
      </c>
      <c r="S153" s="16" t="s">
        <v>35</v>
      </c>
    </row>
    <row r="154" spans="1:19" x14ac:dyDescent="0.25">
      <c r="A154" s="27" t="s">
        <v>75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5"/>
      <c r="L154" s="215"/>
      <c r="M154" s="215"/>
      <c r="N154" s="215"/>
      <c r="O154" s="215"/>
      <c r="P154" s="215"/>
      <c r="Q154" s="215"/>
      <c r="R154" s="215"/>
      <c r="S154" s="215"/>
    </row>
    <row r="155" spans="1:19" x14ac:dyDescent="0.25">
      <c r="A155" s="27" t="s">
        <v>119</v>
      </c>
      <c r="B155" s="215">
        <f>'Undergrounding 2'!Q90</f>
        <v>1.4290634597050147</v>
      </c>
      <c r="C155" s="215">
        <f>'Undergrounding 2'!R90</f>
        <v>5.4787998385508869</v>
      </c>
      <c r="D155" s="215">
        <f>'Undergrounding 2'!S90</f>
        <v>12.369382207613391</v>
      </c>
      <c r="E155" s="215">
        <f>'Undergrounding 2'!T90</f>
        <v>2.6353294268516968E-2</v>
      </c>
      <c r="F155" s="215">
        <f>'Undergrounding 2'!U90</f>
        <v>0.40810369059869006</v>
      </c>
      <c r="G155" s="215">
        <f>'Undergrounding 2'!V90</f>
        <v>0.36321228463283411</v>
      </c>
      <c r="H155" s="215">
        <f>'Undergrounding 2'!W90</f>
        <v>2582.9024985401338</v>
      </c>
      <c r="I155" s="215">
        <f>'Undergrounding 2'!X90</f>
        <v>0.13358558371521689</v>
      </c>
      <c r="J155" s="215">
        <f>'Undergrounding 2'!Y90</f>
        <v>1.175091309723272</v>
      </c>
      <c r="K155" s="215">
        <f>'Undergrounding 2'!E178</f>
        <v>3.2331602995772368E-3</v>
      </c>
      <c r="L155" s="215">
        <f>'Undergrounding 2'!F178</f>
        <v>1.1137766769699124E-2</v>
      </c>
      <c r="M155" s="215">
        <f>'Undergrounding 2'!G178</f>
        <v>2.6581173291726642E-2</v>
      </c>
      <c r="N155" s="215">
        <f>'Undergrounding 2'!H178</f>
        <v>5.4462114560718193E-5</v>
      </c>
      <c r="O155" s="215">
        <f>'Undergrounding 2'!I178</f>
        <v>8.7728476131268302E-4</v>
      </c>
      <c r="P155" s="215">
        <f>'Undergrounding 2'!J178</f>
        <v>7.8078343756828809E-4</v>
      </c>
      <c r="Q155" s="215">
        <f>'Undergrounding 2'!K178</f>
        <v>5.0810834210570617</v>
      </c>
      <c r="R155" s="215">
        <f>'Undergrounding 2'!L178</f>
        <v>3.0297046499825914E-4</v>
      </c>
      <c r="S155" s="215">
        <f>'Undergrounding 2'!M178</f>
        <v>2.5252114627140306E-3</v>
      </c>
    </row>
    <row r="156" spans="1:19" x14ac:dyDescent="0.25">
      <c r="A156" s="27" t="s">
        <v>120</v>
      </c>
      <c r="B156" s="215">
        <f>'WorkerTrips Distribution'!I118</f>
        <v>0.22456365241239598</v>
      </c>
      <c r="C156" s="215">
        <f>'WorkerTrips Distribution'!G118</f>
        <v>4.8767136618527367</v>
      </c>
      <c r="D156" s="215">
        <f>'WorkerTrips Distribution'!H118</f>
        <v>0.44003131792498429</v>
      </c>
      <c r="E156" s="215">
        <f>'WorkerTrips Distribution'!J118</f>
        <v>5.8019742763288432E-3</v>
      </c>
      <c r="F156" s="215">
        <f>'WorkerTrips Distribution'!K118+'WorkerTrips Distribution'!M118</f>
        <v>0.13692423412296101</v>
      </c>
      <c r="G156" s="215">
        <f>'WorkerTrips Distribution'!L118+'WorkerTrips Distribution'!N118</f>
        <v>4.4981208777295514E-2</v>
      </c>
      <c r="H156" s="215">
        <f>'WorkerTrips Distribution'!O118</f>
        <v>467.54148217299189</v>
      </c>
      <c r="I156" s="215">
        <f>'WorkerTrips Distribution'!P118</f>
        <v>2.5377195778755929E-2</v>
      </c>
      <c r="J156" s="215">
        <f>'WorkerTrips Distribution'!Q118</f>
        <v>4.6174852127512461E-2</v>
      </c>
      <c r="K156" s="215">
        <f>'WorkerTrips Distribution'!S118</f>
        <v>0.53643850280380101</v>
      </c>
      <c r="L156" s="215">
        <f>'WorkerTrips Distribution'!T118</f>
        <v>4.8403444971748269E-2</v>
      </c>
      <c r="M156" s="215">
        <f>'WorkerTrips Distribution'!U118</f>
        <v>2.4702001765363558E-2</v>
      </c>
      <c r="N156" s="215">
        <f>'WorkerTrips Distribution'!V118</f>
        <v>6.3821717039617271E-4</v>
      </c>
      <c r="O156" s="215">
        <f>'WorkerTrips Distribution'!W118+'WorkerTrips Distribution'!Y118</f>
        <v>1.5061665753525711E-2</v>
      </c>
      <c r="P156" s="215">
        <f>'WorkerTrips Distribution'!X118+'WorkerTrips Distribution'!Z118</f>
        <v>4.9479329655025064E-3</v>
      </c>
      <c r="Q156" s="215">
        <f>'WorkerTrips Distribution'!AA118</f>
        <v>51.429563039029105</v>
      </c>
      <c r="R156" s="215">
        <f>'WorkerTrips Distribution'!AB118</f>
        <v>2.7914915356631524E-3</v>
      </c>
      <c r="S156" s="215">
        <f>'WorkerTrips Distribution'!AC118</f>
        <v>5.0792337340263708E-3</v>
      </c>
    </row>
    <row r="157" spans="1:19" x14ac:dyDescent="0.25">
      <c r="A157" s="27" t="s">
        <v>121</v>
      </c>
      <c r="B157" s="215">
        <f>'Construction Trucks Distributio'!V80</f>
        <v>4.3829142728683795E-2</v>
      </c>
      <c r="C157" s="215">
        <f>'Construction Trucks Distributio'!T80</f>
        <v>0.22119725569482918</v>
      </c>
      <c r="D157" s="215">
        <f>'Construction Trucks Distributio'!U80</f>
        <v>0.21048278194388062</v>
      </c>
      <c r="E157" s="215">
        <f>'Construction Trucks Distributio'!W80</f>
        <v>8.429119378141626E-4</v>
      </c>
      <c r="F157" s="215">
        <f>'Construction Trucks Distributio'!X80+'Construction Trucks Distributio'!Z80</f>
        <v>6.034233552260522E-2</v>
      </c>
      <c r="G157" s="215">
        <f>'Construction Trucks Distributio'!Y80+'Construction Trucks Distributio'!AA80</f>
        <v>4.0958996494268658E-2</v>
      </c>
      <c r="H157" s="215">
        <f>'Construction Trucks Distributio'!AB80</f>
        <v>84.665874582517347</v>
      </c>
      <c r="I157" s="215">
        <f>'Construction Trucks Distributio'!AC80</f>
        <v>4.8380620712687875E-3</v>
      </c>
      <c r="J157" s="215">
        <f>'Construction Trucks Distributio'!AD80</f>
        <v>2.1688010433057645E-3</v>
      </c>
      <c r="K157" s="215">
        <f>'Construction Trucks Distributio'!AH80</f>
        <v>9.6424114003104352E-4</v>
      </c>
      <c r="L157" s="215">
        <f>'Construction Trucks Distributio'!AF80</f>
        <v>4.866339625286242E-3</v>
      </c>
      <c r="M157" s="215">
        <f>'Construction Trucks Distributio'!AG80</f>
        <v>4.6306212027653736E-3</v>
      </c>
      <c r="N157" s="215">
        <f>'Construction Trucks Distributio'!AI80</f>
        <v>1.854406263191158E-5</v>
      </c>
      <c r="O157" s="215">
        <f>'Construction Trucks Distributio'!AJ80+'Construction Trucks Distributio'!AL80</f>
        <v>1.3275313814973149E-3</v>
      </c>
      <c r="P157" s="215">
        <f>'Construction Trucks Distributio'!AK80+'Construction Trucks Distributio'!AM80</f>
        <v>9.0109792287391044E-4</v>
      </c>
      <c r="Q157" s="215">
        <f>'Construction Trucks Distributio'!AN80</f>
        <v>1.8626492408153816</v>
      </c>
      <c r="R157" s="215">
        <f>'Construction Trucks Distributio'!AO80</f>
        <v>1.0643736556791331E-4</v>
      </c>
      <c r="S157" s="215">
        <f>'Construction Trucks Distributio'!AP80</f>
        <v>4.771362295272682E-5</v>
      </c>
    </row>
    <row r="158" spans="1:19" x14ac:dyDescent="0.25">
      <c r="A158" s="19" t="s">
        <v>123</v>
      </c>
      <c r="B158" s="22">
        <f t="shared" ref="B158:S158" si="14">SUM(B155:B157)</f>
        <v>1.6974562548460945</v>
      </c>
      <c r="C158" s="22">
        <f t="shared" si="14"/>
        <v>10.576710756098453</v>
      </c>
      <c r="D158" s="22">
        <f t="shared" si="14"/>
        <v>13.019896307482256</v>
      </c>
      <c r="E158" s="22">
        <f t="shared" si="14"/>
        <v>3.299818048265997E-2</v>
      </c>
      <c r="F158" s="22">
        <f t="shared" si="14"/>
        <v>0.60537026024425633</v>
      </c>
      <c r="G158" s="22">
        <f t="shared" si="14"/>
        <v>0.44915248990439827</v>
      </c>
      <c r="H158" s="22">
        <f t="shared" si="14"/>
        <v>3135.1098552956432</v>
      </c>
      <c r="I158" s="22">
        <f t="shared" si="14"/>
        <v>0.16380084156524163</v>
      </c>
      <c r="J158" s="22">
        <f t="shared" si="14"/>
        <v>1.2234349628940904</v>
      </c>
      <c r="K158" s="22">
        <f t="shared" si="14"/>
        <v>0.54063590424340924</v>
      </c>
      <c r="L158" s="22">
        <f t="shared" si="14"/>
        <v>6.4407551366733637E-2</v>
      </c>
      <c r="M158" s="22">
        <f t="shared" si="14"/>
        <v>5.5913796259855576E-2</v>
      </c>
      <c r="N158" s="22">
        <f t="shared" si="14"/>
        <v>7.1122334758880244E-4</v>
      </c>
      <c r="O158" s="22">
        <f t="shared" si="14"/>
        <v>1.7266481896335711E-2</v>
      </c>
      <c r="P158" s="22">
        <f t="shared" si="14"/>
        <v>6.6298143259447048E-3</v>
      </c>
      <c r="Q158" s="22">
        <f t="shared" si="14"/>
        <v>58.373295700901544</v>
      </c>
      <c r="R158" s="22">
        <f t="shared" si="14"/>
        <v>3.2008993662293247E-3</v>
      </c>
      <c r="S158" s="22">
        <f t="shared" si="14"/>
        <v>7.6521588196931285E-3</v>
      </c>
    </row>
    <row r="159" spans="1:19" x14ac:dyDescent="0.25">
      <c r="A159" s="27" t="s">
        <v>124</v>
      </c>
      <c r="B159" s="216">
        <v>75</v>
      </c>
      <c r="C159" s="216">
        <v>550</v>
      </c>
      <c r="D159" s="216">
        <v>100</v>
      </c>
      <c r="E159" s="216">
        <v>150</v>
      </c>
      <c r="F159" s="216">
        <v>150</v>
      </c>
      <c r="G159" s="216">
        <v>55</v>
      </c>
      <c r="H159" s="216" t="s">
        <v>126</v>
      </c>
      <c r="I159" s="216" t="s">
        <v>126</v>
      </c>
      <c r="J159" s="216" t="s">
        <v>126</v>
      </c>
      <c r="K159" s="215"/>
      <c r="L159" s="215"/>
      <c r="M159" s="215"/>
      <c r="N159" s="215"/>
      <c r="O159" s="215"/>
      <c r="P159" s="215"/>
      <c r="Q159" s="215"/>
      <c r="R159" s="215"/>
      <c r="S159" s="215"/>
    </row>
    <row r="160" spans="1:19" x14ac:dyDescent="0.25">
      <c r="A160" s="27" t="s">
        <v>125</v>
      </c>
      <c r="B160" s="27" t="s">
        <v>127</v>
      </c>
      <c r="C160" s="27" t="s">
        <v>127</v>
      </c>
      <c r="D160" s="27" t="s">
        <v>127</v>
      </c>
      <c r="E160" s="27" t="s">
        <v>127</v>
      </c>
      <c r="F160" s="27" t="s">
        <v>127</v>
      </c>
      <c r="G160" s="27" t="s">
        <v>127</v>
      </c>
      <c r="H160" s="27" t="s">
        <v>126</v>
      </c>
      <c r="I160" s="27" t="s">
        <v>126</v>
      </c>
      <c r="J160" s="27" t="s">
        <v>126</v>
      </c>
      <c r="K160" s="215"/>
      <c r="L160" s="215"/>
      <c r="M160" s="215"/>
      <c r="N160" s="215"/>
      <c r="O160" s="215"/>
      <c r="P160" s="215"/>
      <c r="Q160" s="215"/>
      <c r="R160" s="215"/>
      <c r="S160" s="215"/>
    </row>
    <row r="164" spans="11:19 16384:16384" x14ac:dyDescent="0.25">
      <c r="K164" s="3" t="s">
        <v>576</v>
      </c>
    </row>
    <row r="165" spans="11:19 16384:16384" x14ac:dyDescent="0.25">
      <c r="K165" s="3" t="s">
        <v>347</v>
      </c>
      <c r="Q165" s="212">
        <f>Q7+Q17+Q27</f>
        <v>348.83445703609641</v>
      </c>
      <c r="R165" s="103">
        <f>R7+R17+R27</f>
        <v>2.5473072317880881E-2</v>
      </c>
      <c r="S165" s="103">
        <f>S7+S17+S27</f>
        <v>0.1351299378284796</v>
      </c>
    </row>
    <row r="166" spans="11:19 16384:16384" x14ac:dyDescent="0.25">
      <c r="K166" s="3" t="s">
        <v>349</v>
      </c>
      <c r="Q166" s="212">
        <f>Q165/1.1023</f>
        <v>316.46054344198166</v>
      </c>
      <c r="R166" s="103">
        <f>21*R165/1.1023</f>
        <v>0.48528941184387048</v>
      </c>
      <c r="S166" s="212">
        <f>310*S165/1.1023</f>
        <v>38.00261337823521</v>
      </c>
      <c r="XFD166" s="7"/>
    </row>
    <row r="167" spans="11:19 16384:16384" x14ac:dyDescent="0.25">
      <c r="K167" s="3" t="s">
        <v>348</v>
      </c>
      <c r="Q167" s="212">
        <f>Q166+R166+S166</f>
        <v>354.94844623206075</v>
      </c>
    </row>
    <row r="169" spans="11:19 16384:16384" x14ac:dyDescent="0.25">
      <c r="K169" s="3" t="s">
        <v>611</v>
      </c>
    </row>
    <row r="170" spans="11:19 16384:16384" x14ac:dyDescent="0.25">
      <c r="K170" s="3" t="s">
        <v>347</v>
      </c>
      <c r="Q170" s="212">
        <f>Q37+Q47+Q57+Q68+Q78+Q88+Q98+Q108+Q118+Q128+Q138+Q148+Q158</f>
        <v>1128.6558788519426</v>
      </c>
      <c r="R170" s="103">
        <f t="shared" ref="R170:S170" si="15">R37+R47+R57+R68+R78+R88+R98+R108+R118+R128+R138+R148+R158</f>
        <v>6.9917926977452027E-2</v>
      </c>
      <c r="S170" s="103">
        <f t="shared" si="15"/>
        <v>0.24209656415401401</v>
      </c>
    </row>
    <row r="171" spans="11:19 16384:16384" x14ac:dyDescent="0.25">
      <c r="K171" s="3" t="s">
        <v>349</v>
      </c>
      <c r="Q171" s="212">
        <f>Q170/1.1023</f>
        <v>1023.9098964455616</v>
      </c>
      <c r="R171" s="103">
        <f>21*R170/1.1023</f>
        <v>1.3320116724362627</v>
      </c>
      <c r="S171" s="212">
        <f>310*S170/1.1023</f>
        <v>68.084854293517495</v>
      </c>
    </row>
    <row r="172" spans="11:19 16384:16384" x14ac:dyDescent="0.25">
      <c r="K172" s="3" t="s">
        <v>348</v>
      </c>
      <c r="Q172" s="212">
        <f>Q171+R171+S171</f>
        <v>1093.3267624115153</v>
      </c>
    </row>
  </sheetData>
  <mergeCells count="2">
    <mergeCell ref="B1:I1"/>
    <mergeCell ref="K1:S1"/>
  </mergeCells>
  <pageMargins left="0.7" right="0.7" top="0.75" bottom="0.75" header="0.3" footer="0.3"/>
  <pageSetup scale="26" orientation="portrait" r:id="rId1"/>
  <headerFooter>
    <oddHeader>&amp;CTable A-6
Construction Emission Summary
South Orange County Reliability Project
Distribution Facilities Construction</oddHeader>
    <oddFooter>&amp;CA-6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10"/>
  <sheetViews>
    <sheetView tabSelected="1" topLeftCell="A80" workbookViewId="0">
      <selection activeCell="C103" sqref="C103"/>
    </sheetView>
  </sheetViews>
  <sheetFormatPr defaultRowHeight="13.2" x14ac:dyDescent="0.25"/>
  <cols>
    <col min="1" max="1" width="42.44140625" customWidth="1"/>
    <col min="2" max="7" width="9.33203125" bestFit="1" customWidth="1"/>
    <col min="8" max="8" width="9.5546875" bestFit="1" customWidth="1"/>
    <col min="9" max="19" width="9.33203125" bestFit="1" customWidth="1"/>
  </cols>
  <sheetData>
    <row r="1" spans="1:19" hidden="1" x14ac:dyDescent="0.25">
      <c r="A1" s="97" t="s">
        <v>338</v>
      </c>
    </row>
    <row r="2" spans="1:19" hidden="1" x14ac:dyDescent="0.25">
      <c r="A2" s="208">
        <v>41730</v>
      </c>
    </row>
    <row r="3" spans="1:19" hidden="1" x14ac:dyDescent="0.25">
      <c r="A3" s="97" t="s">
        <v>333</v>
      </c>
    </row>
    <row r="4" spans="1:19" ht="39.6" hidden="1" x14ac:dyDescent="0.25">
      <c r="A4" s="19" t="str">
        <f>'Equipment Talega Substation'!A31</f>
        <v>Talega Substation Construction</v>
      </c>
      <c r="B4" s="16" t="s">
        <v>18</v>
      </c>
      <c r="C4" s="16" t="s">
        <v>19</v>
      </c>
      <c r="D4" s="16" t="s">
        <v>20</v>
      </c>
      <c r="E4" s="16" t="s">
        <v>21</v>
      </c>
      <c r="F4" s="16" t="s">
        <v>22</v>
      </c>
      <c r="G4" s="16" t="s">
        <v>23</v>
      </c>
      <c r="H4" s="17" t="s">
        <v>24</v>
      </c>
      <c r="I4" s="16" t="s">
        <v>25</v>
      </c>
      <c r="J4" s="16" t="s">
        <v>26</v>
      </c>
      <c r="K4" s="104" t="s">
        <v>27</v>
      </c>
      <c r="L4" s="18" t="s">
        <v>28</v>
      </c>
      <c r="M4" s="18" t="s">
        <v>29</v>
      </c>
      <c r="N4" s="18" t="s">
        <v>30</v>
      </c>
      <c r="O4" s="18" t="s">
        <v>31</v>
      </c>
      <c r="P4" s="18" t="s">
        <v>32</v>
      </c>
      <c r="Q4" s="17" t="s">
        <v>33</v>
      </c>
      <c r="R4" s="18" t="s">
        <v>34</v>
      </c>
      <c r="S4" s="18" t="s">
        <v>35</v>
      </c>
    </row>
    <row r="5" spans="1:19" s="98" customFormat="1" hidden="1" x14ac:dyDescent="0.25">
      <c r="A5" s="97" t="s">
        <v>75</v>
      </c>
      <c r="J5" s="106"/>
    </row>
    <row r="6" spans="1:19" s="98" customFormat="1" hidden="1" x14ac:dyDescent="0.25">
      <c r="A6" s="97" t="s">
        <v>119</v>
      </c>
      <c r="B6" s="98">
        <f>'Equipment Talega Substation'!Q40</f>
        <v>1.4169045475359159</v>
      </c>
      <c r="C6" s="98">
        <f>'Equipment Talega Substation'!R40</f>
        <v>8.2298199450441381</v>
      </c>
      <c r="D6" s="98">
        <f>'Equipment Talega Substation'!S40</f>
        <v>9.0028885914569603</v>
      </c>
      <c r="E6" s="98">
        <f>'Equipment Talega Substation'!T40</f>
        <v>2.6665019521538304E-2</v>
      </c>
      <c r="F6" s="98">
        <f>'Equipment Talega Substation'!U40</f>
        <v>0.35991813124207245</v>
      </c>
      <c r="G6" s="98">
        <f>'Equipment Talega Substation'!V40</f>
        <v>0.32032713680544445</v>
      </c>
      <c r="H6" s="98">
        <f>'Equipment Talega Substation'!W40</f>
        <v>2404.4438604930874</v>
      </c>
      <c r="I6" s="98">
        <f>'Equipment Talega Substation'!X40</f>
        <v>0.16683047197792966</v>
      </c>
      <c r="J6" s="98">
        <f>'Equipment Talega Substation'!Y40</f>
        <v>0.85527441618841127</v>
      </c>
      <c r="K6" s="98">
        <f>'Equipment Talega Substation'!E76</f>
        <v>5.8798942837466686E-2</v>
      </c>
      <c r="L6" s="98">
        <f>'Equipment Talega Substation'!F76</f>
        <v>0.37226675769199413</v>
      </c>
      <c r="M6" s="98">
        <f>'Equipment Talega Substation'!G76</f>
        <v>0.38336818088018204</v>
      </c>
      <c r="N6" s="98">
        <f>'Equipment Talega Substation'!H76</f>
        <v>9.6287884927388464E-4</v>
      </c>
      <c r="O6" s="98">
        <f>'Equipment Talega Substation'!I76</f>
        <v>1.656889869343289E-2</v>
      </c>
      <c r="P6" s="98">
        <f>'Equipment Talega Substation'!J76</f>
        <v>1.4746319837155273E-2</v>
      </c>
      <c r="Q6" s="98">
        <f>'Equipment Talega Substation'!K76</f>
        <v>86.550082506003648</v>
      </c>
      <c r="R6" s="98">
        <f>'Equipment Talega Substation'!L76</f>
        <v>7.0541603711563022E-3</v>
      </c>
      <c r="S6" s="98">
        <f>'Equipment Talega Substation'!M76</f>
        <v>3.6419977183617294E-2</v>
      </c>
    </row>
    <row r="7" spans="1:19" s="98" customFormat="1" hidden="1" x14ac:dyDescent="0.25">
      <c r="A7" s="97" t="s">
        <v>120</v>
      </c>
      <c r="B7" s="98">
        <f>WorkerTrips!I132</f>
        <v>0.49448207762551699</v>
      </c>
      <c r="C7" s="98">
        <f>WorkerTrips!G132</f>
        <v>4.5807112820394709</v>
      </c>
      <c r="D7" s="98">
        <f>WorkerTrips!H132</f>
        <v>0.42319876653622734</v>
      </c>
      <c r="E7" s="98">
        <f>WorkerTrips!J132</f>
        <v>5.8130726974836219E-3</v>
      </c>
      <c r="F7" s="98">
        <f>WorkerTrips!K132+WorkerTrips!M132</f>
        <v>0.1368927207155754</v>
      </c>
      <c r="G7" s="98">
        <f>WorkerTrips!L132+WorkerTrips!N132</f>
        <v>4.4949414591065232E-2</v>
      </c>
      <c r="H7" s="98">
        <f>WorkerTrips!O132</f>
        <v>520.04650213333559</v>
      </c>
      <c r="I7" s="98">
        <f>WorkerTrips!P132</f>
        <v>2.5389232533173437E-2</v>
      </c>
      <c r="J7" s="106">
        <f>WorkerTrips!Q132</f>
        <v>4.6180148338551615E-2</v>
      </c>
      <c r="K7" s="98">
        <f>WorkerTrips!S132</f>
        <v>0.15116347230730254</v>
      </c>
      <c r="L7" s="98">
        <f>WorkerTrips!T132</f>
        <v>1.3965559295695502E-2</v>
      </c>
      <c r="M7" s="98">
        <f>WorkerTrips!U132</f>
        <v>1.6317908561642062E-2</v>
      </c>
      <c r="N7" s="98">
        <f>WorkerTrips!V132</f>
        <v>1.9183139901695953E-4</v>
      </c>
      <c r="O7" s="98">
        <f>WorkerTrips!W132+WorkerTrips!Y132</f>
        <v>4.5174597836139876E-3</v>
      </c>
      <c r="P7" s="98">
        <f>WorkerTrips!X132+WorkerTrips!Z132</f>
        <v>1.4833306815051528E-3</v>
      </c>
      <c r="Q7" s="98">
        <f>WorkerTrips!AA132</f>
        <v>17.161534570400075</v>
      </c>
      <c r="R7" s="98">
        <f>WorkerTrips!AB132</f>
        <v>8.3784467359472343E-4</v>
      </c>
      <c r="S7" s="98">
        <f>WorkerTrips!AC132</f>
        <v>1.5239448951722032E-3</v>
      </c>
    </row>
    <row r="8" spans="1:19" s="98" customFormat="1" hidden="1" x14ac:dyDescent="0.25">
      <c r="A8" s="97" t="s">
        <v>121</v>
      </c>
      <c r="B8" s="98">
        <f>'Construction Trucks'!V131</f>
        <v>7.275484873571661E-2</v>
      </c>
      <c r="C8" s="98">
        <f>'Construction Trucks'!T131</f>
        <v>0.37617214627966444</v>
      </c>
      <c r="D8" s="98">
        <f>'Construction Trucks'!U131</f>
        <v>0.40089256759833181</v>
      </c>
      <c r="E8" s="98">
        <f>'Construction Trucks'!W131</f>
        <v>2.1072798445354065E-3</v>
      </c>
      <c r="F8" s="98">
        <f>'Construction Trucks'!X131+'Construction Trucks'!Z131</f>
        <v>0.11915542938862314</v>
      </c>
      <c r="G8" s="98">
        <f>'Construction Trucks'!Y131+'Construction Trucks'!AA131</f>
        <v>7.3233104685654554E-2</v>
      </c>
      <c r="H8" s="98">
        <f>'Construction Trucks'!AB131</f>
        <v>188.15068156911087</v>
      </c>
      <c r="I8" s="98">
        <f>'Construction Trucks'!AC131</f>
        <v>1.0751494396903703E-2</v>
      </c>
      <c r="J8" s="98">
        <f>'Construction Trucks'!AD131</f>
        <v>4.8196678590743443E-3</v>
      </c>
      <c r="K8" s="98">
        <f>'Construction Trucks'!AH131</f>
        <v>8.0030333609288273E-4</v>
      </c>
      <c r="L8" s="98">
        <f>'Construction Trucks'!AF131</f>
        <v>4.1378936090763086E-3</v>
      </c>
      <c r="M8" s="98">
        <f>'Construction Trucks'!AG131</f>
        <v>4.4098182435816499E-3</v>
      </c>
      <c r="N8" s="98">
        <f>'Construction Trucks'!AI131</f>
        <v>2.3180078289889472E-5</v>
      </c>
      <c r="O8" s="98">
        <f>'Construction Trucks'!AJ131+'Construction Trucks'!AL131</f>
        <v>1.3107097232748547E-3</v>
      </c>
      <c r="P8" s="98">
        <f>'Construction Trucks'!AK131+'Construction Trucks'!AM131</f>
        <v>8.0556415154220016E-4</v>
      </c>
      <c r="Q8" s="98">
        <f>'Construction Trucks'!AN131</f>
        <v>2.06965749726022</v>
      </c>
      <c r="R8" s="98">
        <f>'Construction Trucks'!AO131</f>
        <v>1.1826643836594074E-4</v>
      </c>
      <c r="S8" s="98">
        <f>'Construction Trucks'!AP131</f>
        <v>5.3016346449817784E-5</v>
      </c>
    </row>
    <row r="9" spans="1:19" s="98" customFormat="1" hidden="1" x14ac:dyDescent="0.25">
      <c r="A9" s="3" t="s">
        <v>123</v>
      </c>
      <c r="B9" s="103">
        <f t="shared" ref="B9:S9" si="0">SUM(B6:B8)</f>
        <v>1.9841414738971495</v>
      </c>
      <c r="C9" s="103">
        <f t="shared" si="0"/>
        <v>13.186703373363272</v>
      </c>
      <c r="D9" s="103">
        <f t="shared" si="0"/>
        <v>9.8269799255915196</v>
      </c>
      <c r="E9" s="103">
        <f t="shared" si="0"/>
        <v>3.4585372063557329E-2</v>
      </c>
      <c r="F9" s="103">
        <f t="shared" si="0"/>
        <v>0.61596628134627096</v>
      </c>
      <c r="G9" s="103">
        <f t="shared" si="0"/>
        <v>0.43850965608216419</v>
      </c>
      <c r="H9" s="103">
        <f t="shared" si="0"/>
        <v>3112.6410441955341</v>
      </c>
      <c r="I9" s="103">
        <f t="shared" si="0"/>
        <v>0.2029711989080068</v>
      </c>
      <c r="J9" s="103">
        <f t="shared" si="0"/>
        <v>0.90627423238603733</v>
      </c>
      <c r="K9" s="103">
        <f t="shared" si="0"/>
        <v>0.21076271848086209</v>
      </c>
      <c r="L9" s="103">
        <f t="shared" si="0"/>
        <v>0.39037021059676591</v>
      </c>
      <c r="M9" s="103">
        <f t="shared" si="0"/>
        <v>0.40409590768540576</v>
      </c>
      <c r="N9" s="103">
        <f t="shared" si="0"/>
        <v>1.1778903265807338E-3</v>
      </c>
      <c r="O9" s="103">
        <f t="shared" si="0"/>
        <v>2.2397068200321731E-2</v>
      </c>
      <c r="P9" s="103">
        <f t="shared" si="0"/>
        <v>1.7035214670202626E-2</v>
      </c>
      <c r="Q9" s="103">
        <f t="shared" si="0"/>
        <v>105.78127457366395</v>
      </c>
      <c r="R9" s="103">
        <f t="shared" si="0"/>
        <v>8.0102714831169677E-3</v>
      </c>
      <c r="S9" s="103">
        <f t="shared" si="0"/>
        <v>3.7996938425239317E-2</v>
      </c>
    </row>
    <row r="10" spans="1:19" s="98" customFormat="1" hidden="1" x14ac:dyDescent="0.25">
      <c r="A10" s="3" t="s">
        <v>339</v>
      </c>
      <c r="B10" s="209"/>
      <c r="C10" s="209"/>
      <c r="D10" s="209"/>
      <c r="E10" s="209"/>
      <c r="F10" s="209"/>
      <c r="G10" s="209"/>
      <c r="H10" s="209"/>
      <c r="I10" s="209"/>
      <c r="J10" s="210"/>
    </row>
    <row r="11" spans="1:19" s="98" customFormat="1" hidden="1" x14ac:dyDescent="0.25">
      <c r="A11" s="97" t="e">
        <f>'Transmission Line Construct SC'!#REF!</f>
        <v>#REF!</v>
      </c>
      <c r="B11" s="4"/>
      <c r="C11" s="4"/>
      <c r="D11" s="4"/>
      <c r="E11" s="4"/>
      <c r="F11" s="4"/>
      <c r="G11" s="4"/>
      <c r="H11" s="4"/>
      <c r="I11" s="4"/>
      <c r="J11" s="211"/>
    </row>
    <row r="12" spans="1:19" s="98" customFormat="1" hidden="1" x14ac:dyDescent="0.25">
      <c r="A12" s="97" t="e">
        <f>'Transmission Line Construct SC'!#REF!</f>
        <v>#REF!</v>
      </c>
      <c r="B12" s="4" t="e">
        <f>'Equipment Trans Talega Seg 4'!#REF!+'Equipment Trans Talega Seg 4'!Q34+'Equipment Trans Talega Seg 4'!Q41+'Equipment Trans Talega Seg 4'!Q49</f>
        <v>#REF!</v>
      </c>
      <c r="C12" s="4" t="e">
        <f>'Equipment Trans Talega Seg 4'!#REF!+'Equipment Trans Talega Seg 4'!R34+'Equipment Trans Talega Seg 4'!R41+'Equipment Trans Talega Seg 4'!R49</f>
        <v>#REF!</v>
      </c>
      <c r="D12" s="4" t="e">
        <f>'Equipment Trans Talega Seg 4'!#REF!+'Equipment Trans Talega Seg 4'!S34+'Equipment Trans Talega Seg 4'!S41+'Equipment Trans Talega Seg 4'!S49</f>
        <v>#REF!</v>
      </c>
      <c r="E12" s="4" t="e">
        <f>'Equipment Trans Talega Seg 4'!#REF!+'Equipment Trans Talega Seg 4'!T34+'Equipment Trans Talega Seg 4'!T41+'Equipment Trans Talega Seg 4'!T49</f>
        <v>#REF!</v>
      </c>
      <c r="F12" s="4" t="e">
        <f>'Equipment Trans Talega Seg 4'!#REF!+'Equipment Trans Talega Seg 4'!U34+'Equipment Trans Talega Seg 4'!U41+'Equipment Trans Talega Seg 4'!U49</f>
        <v>#REF!</v>
      </c>
      <c r="G12" s="4" t="e">
        <f>'Equipment Trans Talega Seg 4'!#REF!+'Equipment Trans Talega Seg 4'!V34+'Equipment Trans Talega Seg 4'!V41+'Equipment Trans Talega Seg 4'!V49</f>
        <v>#REF!</v>
      </c>
      <c r="H12" s="4" t="e">
        <f>'Equipment Trans Talega Seg 4'!#REF!+'Equipment Trans Talega Seg 4'!W34+'Equipment Trans Talega Seg 4'!W41+'Equipment Trans Talega Seg 4'!W49</f>
        <v>#REF!</v>
      </c>
      <c r="I12" s="4" t="e">
        <f>'Equipment Trans Talega Seg 4'!#REF!+'Equipment Trans Talega Seg 4'!X34+'Equipment Trans Talega Seg 4'!X41+'Equipment Trans Talega Seg 4'!X49</f>
        <v>#REF!</v>
      </c>
      <c r="J12" s="4" t="e">
        <f>'Equipment Trans Talega Seg 4'!#REF!+'Equipment Trans Talega Seg 4'!Y34+'Equipment Trans Talega Seg 4'!Y41+'Equipment Trans Talega Seg 4'!Y49</f>
        <v>#REF!</v>
      </c>
      <c r="K12" s="4" t="e">
        <f>'Equipment Trans Talega Seg 4'!#REF!+'Equipment Trans Talega Seg 4'!E80+'Equipment Trans Talega Seg 4'!E87+'Equipment Trans Talega Seg 4'!E95</f>
        <v>#REF!</v>
      </c>
      <c r="L12" s="4" t="e">
        <f>'Equipment Trans Talega Seg 4'!#REF!+'Equipment Trans Talega Seg 4'!F80+'Equipment Trans Talega Seg 4'!F87+'Equipment Trans Talega Seg 4'!F95</f>
        <v>#REF!</v>
      </c>
      <c r="M12" s="4" t="e">
        <f>'Equipment Trans Talega Seg 4'!#REF!+'Equipment Trans Talega Seg 4'!G80+'Equipment Trans Talega Seg 4'!G87+'Equipment Trans Talega Seg 4'!G95</f>
        <v>#REF!</v>
      </c>
      <c r="N12" s="4" t="e">
        <f>'Equipment Trans Talega Seg 4'!#REF!+'Equipment Trans Talega Seg 4'!H80+'Equipment Trans Talega Seg 4'!H87+'Equipment Trans Talega Seg 4'!H95</f>
        <v>#REF!</v>
      </c>
      <c r="O12" s="4" t="e">
        <f>'Equipment Trans Talega Seg 4'!#REF!+'Equipment Trans Talega Seg 4'!I80+'Equipment Trans Talega Seg 4'!I87+'Equipment Trans Talega Seg 4'!I95</f>
        <v>#REF!</v>
      </c>
      <c r="P12" s="4" t="e">
        <f>'Equipment Trans Talega Seg 4'!#REF!+'Equipment Trans Talega Seg 4'!J80+'Equipment Trans Talega Seg 4'!J87+'Equipment Trans Talega Seg 4'!J95</f>
        <v>#REF!</v>
      </c>
      <c r="Q12" s="4" t="e">
        <f>'Equipment Trans Talega Seg 4'!#REF!+'Equipment Trans Talega Seg 4'!K80+'Equipment Trans Talega Seg 4'!K87+'Equipment Trans Talega Seg 4'!K95</f>
        <v>#REF!</v>
      </c>
      <c r="R12" s="4" t="e">
        <f>'Equipment Trans Talega Seg 4'!#REF!+'Equipment Trans Talega Seg 4'!L80+'Equipment Trans Talega Seg 4'!L87+'Equipment Trans Talega Seg 4'!L95</f>
        <v>#REF!</v>
      </c>
      <c r="S12" s="4" t="e">
        <f>'Equipment Trans Talega Seg 4'!#REF!+'Equipment Trans Talega Seg 4'!M80+'Equipment Trans Talega Seg 4'!M87+'Equipment Trans Talega Seg 4'!M95</f>
        <v>#REF!</v>
      </c>
    </row>
    <row r="13" spans="1:19" s="98" customFormat="1" hidden="1" x14ac:dyDescent="0.25">
      <c r="A13" s="97" t="e">
        <f>'Transmission Line Construct SC'!#REF!</f>
        <v>#REF!</v>
      </c>
      <c r="B13" s="4" t="e">
        <f>'Transmission Line Construct SC'!#REF!</f>
        <v>#REF!</v>
      </c>
      <c r="C13" s="4" t="e">
        <f>'Transmission Line Construct SC'!#REF!</f>
        <v>#REF!</v>
      </c>
      <c r="D13" s="4" t="e">
        <f>'Transmission Line Construct SC'!#REF!</f>
        <v>#REF!</v>
      </c>
      <c r="E13" s="4" t="e">
        <f>'Transmission Line Construct SC'!#REF!</f>
        <v>#REF!</v>
      </c>
      <c r="F13" s="4" t="e">
        <f>'Transmission Line Construct SC'!#REF!</f>
        <v>#REF!</v>
      </c>
      <c r="G13" s="4" t="e">
        <f>'Transmission Line Construct SC'!#REF!</f>
        <v>#REF!</v>
      </c>
      <c r="H13" s="4" t="e">
        <f>'Transmission Line Construct SC'!#REF!</f>
        <v>#REF!</v>
      </c>
      <c r="I13" s="4" t="e">
        <f>'Transmission Line Construct SC'!#REF!</f>
        <v>#REF!</v>
      </c>
      <c r="J13" s="4" t="e">
        <f>'Transmission Line Construct SC'!#REF!</f>
        <v>#REF!</v>
      </c>
      <c r="K13" s="4" t="e">
        <f>'Transmission Line Construct SC'!#REF!</f>
        <v>#REF!</v>
      </c>
      <c r="L13" s="4" t="e">
        <f>'Transmission Line Construct SC'!#REF!</f>
        <v>#REF!</v>
      </c>
      <c r="M13" s="4" t="e">
        <f>'Transmission Line Construct SC'!#REF!</f>
        <v>#REF!</v>
      </c>
      <c r="N13" s="4" t="e">
        <f>'Transmission Line Construct SC'!#REF!</f>
        <v>#REF!</v>
      </c>
      <c r="O13" s="4" t="e">
        <f>'Transmission Line Construct SC'!#REF!</f>
        <v>#REF!</v>
      </c>
      <c r="P13" s="4" t="e">
        <f>'Transmission Line Construct SC'!#REF!</f>
        <v>#REF!</v>
      </c>
      <c r="Q13" s="4" t="e">
        <f>'Transmission Line Construct SC'!#REF!</f>
        <v>#REF!</v>
      </c>
      <c r="R13" s="4" t="e">
        <f>'Transmission Line Construct SC'!#REF!</f>
        <v>#REF!</v>
      </c>
      <c r="S13" s="4" t="e">
        <f>'Transmission Line Construct SC'!#REF!</f>
        <v>#REF!</v>
      </c>
    </row>
    <row r="14" spans="1:19" s="98" customFormat="1" hidden="1" x14ac:dyDescent="0.25">
      <c r="A14" s="97" t="e">
        <f>'Transmission Line Construct SC'!#REF!</f>
        <v>#REF!</v>
      </c>
      <c r="B14" s="4" t="e">
        <f>'Transmission Line Construct SC'!#REF!</f>
        <v>#REF!</v>
      </c>
      <c r="C14" s="4" t="e">
        <f>'Transmission Line Construct SC'!#REF!</f>
        <v>#REF!</v>
      </c>
      <c r="D14" s="4" t="e">
        <f>'Transmission Line Construct SC'!#REF!</f>
        <v>#REF!</v>
      </c>
      <c r="E14" s="4" t="e">
        <f>'Transmission Line Construct SC'!#REF!</f>
        <v>#REF!</v>
      </c>
      <c r="F14" s="4" t="e">
        <f>'Transmission Line Construct SC'!#REF!</f>
        <v>#REF!</v>
      </c>
      <c r="G14" s="4" t="e">
        <f>'Transmission Line Construct SC'!#REF!</f>
        <v>#REF!</v>
      </c>
      <c r="H14" s="4" t="e">
        <f>'Transmission Line Construct SC'!#REF!</f>
        <v>#REF!</v>
      </c>
      <c r="I14" s="4" t="e">
        <f>'Transmission Line Construct SC'!#REF!</f>
        <v>#REF!</v>
      </c>
      <c r="J14" s="4" t="e">
        <f>'Transmission Line Construct SC'!#REF!</f>
        <v>#REF!</v>
      </c>
      <c r="K14" s="4" t="e">
        <f>'Transmission Line Construct SC'!#REF!</f>
        <v>#REF!</v>
      </c>
      <c r="L14" s="4" t="e">
        <f>'Transmission Line Construct SC'!#REF!</f>
        <v>#REF!</v>
      </c>
      <c r="M14" s="4" t="e">
        <f>'Transmission Line Construct SC'!#REF!</f>
        <v>#REF!</v>
      </c>
      <c r="N14" s="4" t="e">
        <f>'Transmission Line Construct SC'!#REF!</f>
        <v>#REF!</v>
      </c>
      <c r="O14" s="4" t="e">
        <f>'Transmission Line Construct SC'!#REF!</f>
        <v>#REF!</v>
      </c>
      <c r="P14" s="4" t="e">
        <f>'Transmission Line Construct SC'!#REF!</f>
        <v>#REF!</v>
      </c>
      <c r="Q14" s="4" t="e">
        <f>'Transmission Line Construct SC'!#REF!</f>
        <v>#REF!</v>
      </c>
      <c r="R14" s="4" t="e">
        <f>'Transmission Line Construct SC'!#REF!</f>
        <v>#REF!</v>
      </c>
      <c r="S14" s="4" t="e">
        <f>'Transmission Line Construct SC'!#REF!</f>
        <v>#REF!</v>
      </c>
    </row>
    <row r="15" spans="1:19" s="98" customFormat="1" hidden="1" x14ac:dyDescent="0.25">
      <c r="A15" s="97" t="e">
        <f>'Transmission Line Construct SC'!#REF!</f>
        <v>#REF!</v>
      </c>
      <c r="B15" s="4"/>
      <c r="C15" s="4"/>
      <c r="D15" s="4"/>
      <c r="E15" s="4"/>
      <c r="F15" s="4" t="e">
        <f>'Transmission Line Construct SC'!#REF!</f>
        <v>#REF!</v>
      </c>
      <c r="G15" s="4" t="e">
        <f>'Transmission Line Construct SC'!#REF!</f>
        <v>#REF!</v>
      </c>
      <c r="H15" s="4"/>
      <c r="I15" s="4"/>
      <c r="J15" s="4"/>
      <c r="K15" s="4"/>
      <c r="L15" s="4"/>
      <c r="M15" s="4"/>
      <c r="N15" s="4"/>
      <c r="O15" s="4">
        <f>'Transmission Line Construct SC'!O8</f>
        <v>5.9248993389058322</v>
      </c>
      <c r="P15" s="4">
        <f>'Transmission Line Construct SC'!P8</f>
        <v>1.768044690318227</v>
      </c>
      <c r="Q15" s="4"/>
      <c r="R15" s="4"/>
      <c r="S15" s="4"/>
    </row>
    <row r="16" spans="1:19" s="98" customFormat="1" hidden="1" x14ac:dyDescent="0.25">
      <c r="A16" s="3" t="e">
        <f>'Transmission Line Construct SC'!#REF!</f>
        <v>#REF!</v>
      </c>
      <c r="B16" s="103" t="e">
        <f>'Transmission Line Construct SC'!#REF!</f>
        <v>#REF!</v>
      </c>
      <c r="C16" s="103" t="e">
        <f>'Transmission Line Construct SC'!#REF!</f>
        <v>#REF!</v>
      </c>
      <c r="D16" s="103" t="e">
        <f>'Transmission Line Construct SC'!#REF!</f>
        <v>#REF!</v>
      </c>
      <c r="E16" s="103" t="e">
        <f>'Transmission Line Construct SC'!#REF!</f>
        <v>#REF!</v>
      </c>
      <c r="F16" s="103" t="e">
        <f>'Transmission Line Construct SC'!#REF!</f>
        <v>#REF!</v>
      </c>
      <c r="G16" s="103" t="e">
        <f>'Transmission Line Construct SC'!#REF!</f>
        <v>#REF!</v>
      </c>
      <c r="H16" s="103" t="e">
        <f>'Transmission Line Construct SC'!#REF!</f>
        <v>#REF!</v>
      </c>
      <c r="I16" s="103" t="e">
        <f>'Transmission Line Construct SC'!#REF!</f>
        <v>#REF!</v>
      </c>
      <c r="J16" s="103" t="e">
        <f>'Transmission Line Construct SC'!#REF!</f>
        <v>#REF!</v>
      </c>
      <c r="K16" s="103" t="e">
        <f>'Transmission Line Construct SC'!#REF!</f>
        <v>#REF!</v>
      </c>
      <c r="L16" s="103" t="e">
        <f>'Transmission Line Construct SC'!#REF!</f>
        <v>#REF!</v>
      </c>
      <c r="M16" s="103" t="e">
        <f>'Transmission Line Construct SC'!#REF!</f>
        <v>#REF!</v>
      </c>
      <c r="N16" s="103" t="e">
        <f>'Transmission Line Construct SC'!#REF!</f>
        <v>#REF!</v>
      </c>
      <c r="O16" s="103" t="e">
        <f>'Transmission Line Construct SC'!#REF!</f>
        <v>#REF!</v>
      </c>
      <c r="P16" s="103" t="e">
        <f>'Transmission Line Construct SC'!#REF!</f>
        <v>#REF!</v>
      </c>
      <c r="Q16" s="103" t="e">
        <f>'Transmission Line Construct SC'!#REF!</f>
        <v>#REF!</v>
      </c>
      <c r="R16" s="103" t="e">
        <f>'Transmission Line Construct SC'!#REF!</f>
        <v>#REF!</v>
      </c>
      <c r="S16" s="103" t="e">
        <f>'Transmission Line Construct SC'!#REF!</f>
        <v>#REF!</v>
      </c>
    </row>
    <row r="17" spans="1:19" s="98" customFormat="1" hidden="1" x14ac:dyDescent="0.25">
      <c r="A17" t="e">
        <f>'Transmission Line Construct SC'!#REF!</f>
        <v>#REF!</v>
      </c>
    </row>
    <row r="18" spans="1:19" s="98" customFormat="1" hidden="1" x14ac:dyDescent="0.25">
      <c r="A18" t="e">
        <f>'Transmission Line Construct SC'!#REF!</f>
        <v>#REF!</v>
      </c>
    </row>
    <row r="19" spans="1:19" s="98" customFormat="1" hidden="1" x14ac:dyDescent="0.25">
      <c r="A19" t="e">
        <f>'Transmission Line Construct SC'!#REF!</f>
        <v>#REF!</v>
      </c>
      <c r="B19" s="98">
        <f>'Equipment Trans Seg 1'!Q36</f>
        <v>5.2659550503064585</v>
      </c>
      <c r="C19" s="98">
        <f>'Equipment Trans Seg 1'!R36</f>
        <v>19.743180902425753</v>
      </c>
      <c r="D19" s="98">
        <f>'Equipment Trans Seg 1'!S36</f>
        <v>39.566973457807897</v>
      </c>
      <c r="E19" s="98">
        <f>'Equipment Trans Seg 1'!T36</f>
        <v>7.1095111650197634E-2</v>
      </c>
      <c r="F19" s="98">
        <f>'Equipment Trans Seg 1'!U36</f>
        <v>1.7462119769362729</v>
      </c>
      <c r="G19" s="98">
        <f>'Equipment Trans Seg 1'!V36</f>
        <v>1.554128659473283</v>
      </c>
      <c r="H19" s="98">
        <f>'Equipment Trans Seg 1'!W36</f>
        <v>6847.8727240731369</v>
      </c>
      <c r="I19" s="98">
        <f>'Equipment Trans Seg 1'!X36</f>
        <v>0.49486514486741068</v>
      </c>
      <c r="J19" s="98">
        <f>'Equipment Trans Seg 1'!Y36</f>
        <v>3.7588624784917508</v>
      </c>
      <c r="K19" s="98">
        <f>'Equipment Trans Seg 1'!E93</f>
        <v>0.16664081586819107</v>
      </c>
      <c r="L19" s="98">
        <f>'Equipment Trans Seg 1'!F93</f>
        <v>0.64791803438934248</v>
      </c>
      <c r="M19" s="98">
        <f>'Equipment Trans Seg 1'!G93</f>
        <v>1.2012366006983322</v>
      </c>
      <c r="N19" s="98">
        <f>'Equipment Trans Seg 1'!H93</f>
        <v>2.1606254048609158E-3</v>
      </c>
      <c r="O19" s="98">
        <f>'Equipment Trans Seg 1'!I93</f>
        <v>5.8160462201866943E-2</v>
      </c>
      <c r="P19" s="98">
        <f>'Equipment Trans Seg 1'!J93</f>
        <v>5.1762811359661577E-2</v>
      </c>
      <c r="Q19" s="98">
        <f>'Equipment Trans Seg 1'!K93</f>
        <v>207.02776378346613</v>
      </c>
      <c r="R19" s="98">
        <f>'Equipment Trans Seg 1'!L93</f>
        <v>1.5672104345610553E-2</v>
      </c>
      <c r="S19" s="98">
        <f>'Equipment Trans Seg 1'!M93</f>
        <v>0.11411747706634154</v>
      </c>
    </row>
    <row r="20" spans="1:19" s="98" customFormat="1" hidden="1" x14ac:dyDescent="0.25">
      <c r="A20" t="e">
        <f>'Transmission Line Construct SC'!#REF!</f>
        <v>#REF!</v>
      </c>
      <c r="B20" s="98" t="e">
        <f>'Transmission Line Construct SC'!#REF!</f>
        <v>#REF!</v>
      </c>
      <c r="C20" s="98" t="e">
        <f>'Transmission Line Construct SC'!#REF!</f>
        <v>#REF!</v>
      </c>
      <c r="D20" s="98" t="e">
        <f>'Transmission Line Construct SC'!#REF!</f>
        <v>#REF!</v>
      </c>
      <c r="E20" s="98" t="e">
        <f>'Transmission Line Construct SC'!#REF!</f>
        <v>#REF!</v>
      </c>
      <c r="F20" s="98" t="e">
        <f>'Transmission Line Construct SC'!#REF!</f>
        <v>#REF!</v>
      </c>
      <c r="G20" s="98" t="e">
        <f>'Transmission Line Construct SC'!#REF!</f>
        <v>#REF!</v>
      </c>
      <c r="H20" s="98" t="e">
        <f>'Transmission Line Construct SC'!#REF!</f>
        <v>#REF!</v>
      </c>
      <c r="I20" s="98" t="e">
        <f>'Transmission Line Construct SC'!#REF!</f>
        <v>#REF!</v>
      </c>
      <c r="J20" s="98" t="e">
        <f>'Transmission Line Construct SC'!#REF!</f>
        <v>#REF!</v>
      </c>
      <c r="K20" s="98" t="e">
        <f>'Transmission Line Construct SC'!#REF!</f>
        <v>#REF!</v>
      </c>
      <c r="L20" s="98" t="e">
        <f>'Transmission Line Construct SC'!#REF!</f>
        <v>#REF!</v>
      </c>
      <c r="M20" s="98" t="e">
        <f>'Transmission Line Construct SC'!#REF!</f>
        <v>#REF!</v>
      </c>
      <c r="N20" s="98" t="e">
        <f>'Transmission Line Construct SC'!#REF!</f>
        <v>#REF!</v>
      </c>
      <c r="O20" s="98" t="e">
        <f>'Transmission Line Construct SC'!#REF!</f>
        <v>#REF!</v>
      </c>
      <c r="P20" s="98" t="e">
        <f>'Transmission Line Construct SC'!#REF!</f>
        <v>#REF!</v>
      </c>
      <c r="Q20" s="98" t="e">
        <f>'Transmission Line Construct SC'!#REF!</f>
        <v>#REF!</v>
      </c>
      <c r="R20" s="98" t="e">
        <f>'Transmission Line Construct SC'!#REF!</f>
        <v>#REF!</v>
      </c>
      <c r="S20" s="98" t="e">
        <f>'Transmission Line Construct SC'!#REF!</f>
        <v>#REF!</v>
      </c>
    </row>
    <row r="21" spans="1:19" s="98" customFormat="1" hidden="1" x14ac:dyDescent="0.25">
      <c r="A21" t="e">
        <f>'Transmission Line Construct SC'!#REF!</f>
        <v>#REF!</v>
      </c>
      <c r="B21" s="98" t="e">
        <f>'Transmission Line Construct SC'!#REF!</f>
        <v>#REF!</v>
      </c>
      <c r="C21" s="98" t="e">
        <f>'Transmission Line Construct SC'!#REF!</f>
        <v>#REF!</v>
      </c>
      <c r="D21" s="98" t="e">
        <f>'Transmission Line Construct SC'!#REF!</f>
        <v>#REF!</v>
      </c>
      <c r="E21" s="98" t="e">
        <f>'Transmission Line Construct SC'!#REF!</f>
        <v>#REF!</v>
      </c>
      <c r="F21" s="98" t="e">
        <f>'Transmission Line Construct SC'!#REF!</f>
        <v>#REF!</v>
      </c>
      <c r="G21" s="98" t="e">
        <f>'Transmission Line Construct SC'!#REF!</f>
        <v>#REF!</v>
      </c>
      <c r="H21" s="98" t="e">
        <f>'Transmission Line Construct SC'!#REF!</f>
        <v>#REF!</v>
      </c>
      <c r="I21" s="98" t="e">
        <f>'Transmission Line Construct SC'!#REF!</f>
        <v>#REF!</v>
      </c>
      <c r="J21" s="98" t="e">
        <f>'Transmission Line Construct SC'!#REF!</f>
        <v>#REF!</v>
      </c>
      <c r="K21" s="98" t="e">
        <f>'Transmission Line Construct SC'!#REF!</f>
        <v>#REF!</v>
      </c>
      <c r="L21" s="98" t="e">
        <f>'Transmission Line Construct SC'!#REF!</f>
        <v>#REF!</v>
      </c>
      <c r="M21" s="98" t="e">
        <f>'Transmission Line Construct SC'!#REF!</f>
        <v>#REF!</v>
      </c>
      <c r="N21" s="98" t="e">
        <f>'Transmission Line Construct SC'!#REF!</f>
        <v>#REF!</v>
      </c>
      <c r="O21" s="98" t="e">
        <f>'Transmission Line Construct SC'!#REF!</f>
        <v>#REF!</v>
      </c>
      <c r="P21" s="98" t="e">
        <f>'Transmission Line Construct SC'!#REF!</f>
        <v>#REF!</v>
      </c>
      <c r="Q21" s="98" t="e">
        <f>'Transmission Line Construct SC'!#REF!</f>
        <v>#REF!</v>
      </c>
      <c r="R21" s="98" t="e">
        <f>'Transmission Line Construct SC'!#REF!</f>
        <v>#REF!</v>
      </c>
      <c r="S21" s="98" t="e">
        <f>'Transmission Line Construct SC'!#REF!</f>
        <v>#REF!</v>
      </c>
    </row>
    <row r="22" spans="1:19" s="98" customFormat="1" hidden="1" x14ac:dyDescent="0.25">
      <c r="A22" t="e">
        <f>'Transmission Line Construct SC'!#REF!</f>
        <v>#REF!</v>
      </c>
      <c r="F22" s="98" t="e">
        <f>'Transmission Line Construct SC'!#REF!</f>
        <v>#REF!</v>
      </c>
      <c r="G22" s="98" t="e">
        <f>'Transmission Line Construct SC'!#REF!</f>
        <v>#REF!</v>
      </c>
      <c r="O22" s="98" t="e">
        <f>'Transmission Line Construct SC'!#REF!</f>
        <v>#REF!</v>
      </c>
      <c r="P22" s="98" t="e">
        <f>'Transmission Line Construct SC'!#REF!</f>
        <v>#REF!</v>
      </c>
    </row>
    <row r="23" spans="1:19" s="98" customFormat="1" hidden="1" x14ac:dyDescent="0.25">
      <c r="A23" t="e">
        <f>'Transmission Line Construct SC'!#REF!</f>
        <v>#REF!</v>
      </c>
      <c r="B23" s="103" t="e">
        <f>'Transmission Line Construct SC'!#REF!</f>
        <v>#REF!</v>
      </c>
      <c r="C23" s="103" t="e">
        <f>'Transmission Line Construct SC'!#REF!</f>
        <v>#REF!</v>
      </c>
      <c r="D23" s="103" t="e">
        <f>'Transmission Line Construct SC'!#REF!</f>
        <v>#REF!</v>
      </c>
      <c r="E23" s="103" t="e">
        <f>'Transmission Line Construct SC'!#REF!</f>
        <v>#REF!</v>
      </c>
      <c r="F23" s="103" t="e">
        <f>'Transmission Line Construct SC'!#REF!</f>
        <v>#REF!</v>
      </c>
      <c r="G23" s="103" t="e">
        <f>'Transmission Line Construct SC'!#REF!</f>
        <v>#REF!</v>
      </c>
      <c r="H23" s="103" t="e">
        <f>'Transmission Line Construct SC'!#REF!</f>
        <v>#REF!</v>
      </c>
      <c r="I23" s="103" t="e">
        <f>'Transmission Line Construct SC'!#REF!</f>
        <v>#REF!</v>
      </c>
      <c r="J23" s="103" t="e">
        <f>'Transmission Line Construct SC'!#REF!</f>
        <v>#REF!</v>
      </c>
      <c r="K23" s="103" t="e">
        <f>'Transmission Line Construct SC'!#REF!</f>
        <v>#REF!</v>
      </c>
      <c r="L23" s="103" t="e">
        <f>'Transmission Line Construct SC'!#REF!</f>
        <v>#REF!</v>
      </c>
      <c r="M23" s="103" t="e">
        <f>'Transmission Line Construct SC'!#REF!</f>
        <v>#REF!</v>
      </c>
      <c r="N23" s="103" t="e">
        <f>'Transmission Line Construct SC'!#REF!</f>
        <v>#REF!</v>
      </c>
      <c r="O23" s="103" t="e">
        <f>'Transmission Line Construct SC'!#REF!</f>
        <v>#REF!</v>
      </c>
      <c r="P23" s="103" t="e">
        <f>'Transmission Line Construct SC'!#REF!</f>
        <v>#REF!</v>
      </c>
      <c r="Q23" s="103" t="e">
        <f>'Transmission Line Construct SC'!#REF!</f>
        <v>#REF!</v>
      </c>
      <c r="R23" s="103" t="e">
        <f>'Transmission Line Construct SC'!#REF!</f>
        <v>#REF!</v>
      </c>
      <c r="S23" s="103" t="e">
        <f>'Transmission Line Construct SC'!#REF!</f>
        <v>#REF!</v>
      </c>
    </row>
    <row r="24" spans="1:19" s="98" customFormat="1" hidden="1" x14ac:dyDescent="0.25">
      <c r="A24" s="3" t="s">
        <v>340</v>
      </c>
      <c r="B24" s="103" t="e">
        <f>B9+B16+B23</f>
        <v>#REF!</v>
      </c>
      <c r="C24" s="103" t="e">
        <f t="shared" ref="C24:J24" si="1">C9+C16+C23</f>
        <v>#REF!</v>
      </c>
      <c r="D24" s="103" t="e">
        <f t="shared" si="1"/>
        <v>#REF!</v>
      </c>
      <c r="E24" s="103" t="e">
        <f t="shared" si="1"/>
        <v>#REF!</v>
      </c>
      <c r="F24" s="103" t="e">
        <f t="shared" si="1"/>
        <v>#REF!</v>
      </c>
      <c r="G24" s="103" t="e">
        <f t="shared" si="1"/>
        <v>#REF!</v>
      </c>
      <c r="H24" s="103" t="e">
        <f t="shared" si="1"/>
        <v>#REF!</v>
      </c>
      <c r="I24" s="103" t="e">
        <f t="shared" si="1"/>
        <v>#REF!</v>
      </c>
      <c r="J24" s="103" t="e">
        <f t="shared" si="1"/>
        <v>#REF!</v>
      </c>
      <c r="K24" s="103" t="e">
        <f t="shared" ref="K24" si="2">K9+K16+K23</f>
        <v>#REF!</v>
      </c>
      <c r="L24" s="103" t="e">
        <f t="shared" ref="L24" si="3">L9+L16+L23</f>
        <v>#REF!</v>
      </c>
      <c r="M24" s="103" t="e">
        <f t="shared" ref="M24" si="4">M9+M16+M23</f>
        <v>#REF!</v>
      </c>
      <c r="N24" s="103" t="e">
        <f t="shared" ref="N24" si="5">N9+N16+N23</f>
        <v>#REF!</v>
      </c>
      <c r="O24" s="103" t="e">
        <f t="shared" ref="O24" si="6">O9+O16+O23</f>
        <v>#REF!</v>
      </c>
      <c r="P24" s="103" t="e">
        <f t="shared" ref="P24" si="7">P9+P16+P23</f>
        <v>#REF!</v>
      </c>
      <c r="Q24" s="103" t="e">
        <f t="shared" ref="Q24" si="8">Q9+Q16+Q23</f>
        <v>#REF!</v>
      </c>
      <c r="R24" s="103" t="e">
        <f t="shared" ref="R24" si="9">R9+R16+R23</f>
        <v>#REF!</v>
      </c>
      <c r="S24" s="103" t="e">
        <f t="shared" ref="S24" si="10">S9+S16+S23</f>
        <v>#REF!</v>
      </c>
    </row>
    <row r="25" spans="1:19" hidden="1" x14ac:dyDescent="0.25">
      <c r="A25" t="e">
        <f>'Transmission Line Construct SC'!#REF!</f>
        <v>#REF!</v>
      </c>
      <c r="B25" t="e">
        <f>'Transmission Line Construct SC'!#REF!</f>
        <v>#REF!</v>
      </c>
      <c r="C25" t="e">
        <f>'Transmission Line Construct SC'!#REF!</f>
        <v>#REF!</v>
      </c>
      <c r="D25" t="e">
        <f>'Transmission Line Construct SC'!#REF!</f>
        <v>#REF!</v>
      </c>
      <c r="E25" t="e">
        <f>'Transmission Line Construct SC'!#REF!</f>
        <v>#REF!</v>
      </c>
      <c r="F25" t="e">
        <f>'Transmission Line Construct SC'!#REF!</f>
        <v>#REF!</v>
      </c>
      <c r="G25" t="e">
        <f>'Transmission Line Construct SC'!#REF!</f>
        <v>#REF!</v>
      </c>
      <c r="H25" t="e">
        <f>'Transmission Line Construct SC'!#REF!</f>
        <v>#REF!</v>
      </c>
      <c r="I25" t="e">
        <f>'Transmission Line Construct SC'!#REF!</f>
        <v>#REF!</v>
      </c>
      <c r="J25" t="e">
        <f>'Transmission Line Construct SC'!#REF!</f>
        <v>#REF!</v>
      </c>
      <c r="K25" t="e">
        <f>'Transmission Line Construct SC'!#REF!</f>
        <v>#REF!</v>
      </c>
      <c r="L25" t="e">
        <f>'Transmission Line Construct SC'!#REF!</f>
        <v>#REF!</v>
      </c>
      <c r="M25" t="e">
        <f>'Transmission Line Construct SC'!#REF!</f>
        <v>#REF!</v>
      </c>
      <c r="N25" t="e">
        <f>'Transmission Line Construct SC'!#REF!</f>
        <v>#REF!</v>
      </c>
      <c r="O25" t="e">
        <f>'Transmission Line Construct SC'!#REF!</f>
        <v>#REF!</v>
      </c>
      <c r="P25" t="e">
        <f>'Transmission Line Construct SC'!#REF!</f>
        <v>#REF!</v>
      </c>
      <c r="Q25" t="e">
        <f>'Transmission Line Construct SC'!#REF!</f>
        <v>#REF!</v>
      </c>
      <c r="R25" t="e">
        <f>'Transmission Line Construct SC'!#REF!</f>
        <v>#REF!</v>
      </c>
      <c r="S25" t="e">
        <f>'Transmission Line Construct SC'!#REF!</f>
        <v>#REF!</v>
      </c>
    </row>
    <row r="26" spans="1:19" hidden="1" x14ac:dyDescent="0.25"/>
    <row r="27" spans="1:19" hidden="1" x14ac:dyDescent="0.25"/>
    <row r="28" spans="1:19" hidden="1" x14ac:dyDescent="0.25"/>
    <row r="29" spans="1:19" hidden="1" x14ac:dyDescent="0.25"/>
    <row r="30" spans="1:19" hidden="1" x14ac:dyDescent="0.25">
      <c r="A30" s="97" t="s">
        <v>338</v>
      </c>
    </row>
    <row r="31" spans="1:19" hidden="1" x14ac:dyDescent="0.25">
      <c r="A31" s="208">
        <v>41821</v>
      </c>
    </row>
    <row r="32" spans="1:19" hidden="1" x14ac:dyDescent="0.25">
      <c r="A32" s="97" t="s">
        <v>333</v>
      </c>
    </row>
    <row r="33" spans="1:19" ht="39.6" hidden="1" x14ac:dyDescent="0.25">
      <c r="A33" s="19" t="s">
        <v>333</v>
      </c>
      <c r="B33" s="16" t="s">
        <v>18</v>
      </c>
      <c r="C33" s="16" t="s">
        <v>19</v>
      </c>
      <c r="D33" s="16" t="s">
        <v>20</v>
      </c>
      <c r="E33" s="16" t="s">
        <v>21</v>
      </c>
      <c r="F33" s="16" t="s">
        <v>22</v>
      </c>
      <c r="G33" s="16" t="s">
        <v>23</v>
      </c>
      <c r="H33" s="17" t="s">
        <v>24</v>
      </c>
      <c r="I33" s="16" t="s">
        <v>25</v>
      </c>
      <c r="J33" s="16" t="s">
        <v>26</v>
      </c>
      <c r="K33" s="104" t="s">
        <v>27</v>
      </c>
      <c r="L33" s="18" t="s">
        <v>28</v>
      </c>
      <c r="M33" s="18" t="s">
        <v>29</v>
      </c>
      <c r="N33" s="18" t="s">
        <v>30</v>
      </c>
      <c r="O33" s="18" t="s">
        <v>31</v>
      </c>
      <c r="P33" s="18" t="s">
        <v>32</v>
      </c>
      <c r="Q33" s="17" t="s">
        <v>33</v>
      </c>
      <c r="R33" s="18" t="s">
        <v>34</v>
      </c>
      <c r="S33" s="18" t="s">
        <v>35</v>
      </c>
    </row>
    <row r="34" spans="1:19" hidden="1" x14ac:dyDescent="0.25">
      <c r="A34" s="97" t="s">
        <v>75</v>
      </c>
      <c r="B34" s="98"/>
      <c r="C34" s="98"/>
      <c r="D34" s="98"/>
      <c r="E34" s="98"/>
      <c r="F34" s="98"/>
      <c r="G34" s="98"/>
      <c r="H34" s="98"/>
      <c r="I34" s="98"/>
      <c r="J34" s="10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idden="1" x14ac:dyDescent="0.25">
      <c r="A35" s="97" t="s">
        <v>119</v>
      </c>
      <c r="B35" s="98">
        <f>'Substation Construction SC'!B167</f>
        <v>0.90681891042298624</v>
      </c>
      <c r="C35" s="98">
        <f>'Substation Construction SC'!C167</f>
        <v>5.2670847648282484</v>
      </c>
      <c r="D35" s="98">
        <f>'Substation Construction SC'!D167</f>
        <v>5.7618486985324546</v>
      </c>
      <c r="E35" s="98">
        <f>'Substation Construction SC'!E167</f>
        <v>1.7065612493784514E-2</v>
      </c>
      <c r="F35" s="98">
        <f>'Substation Construction SC'!F167</f>
        <v>0.23034760399492638</v>
      </c>
      <c r="G35" s="98">
        <f>'Substation Construction SC'!G167</f>
        <v>0.20500936755548446</v>
      </c>
      <c r="H35" s="98">
        <f>'Substation Construction SC'!H167</f>
        <v>1538.844070715576</v>
      </c>
      <c r="I35" s="98">
        <f>'Substation Construction SC'!I167</f>
        <v>0.10677150206587499</v>
      </c>
      <c r="J35" s="98">
        <f>'Substation Construction SC'!J167</f>
        <v>0.54737562636058323</v>
      </c>
      <c r="K35" s="98">
        <f>'Substation Construction SC'!K167</f>
        <v>3.7631323415978683E-2</v>
      </c>
      <c r="L35" s="98">
        <f>'Substation Construction SC'!L167</f>
        <v>0.23825072492287624</v>
      </c>
      <c r="M35" s="98">
        <f>'Substation Construction SC'!M167</f>
        <v>0.24535563576331651</v>
      </c>
      <c r="N35" s="98">
        <f>'Substation Construction SC'!N167</f>
        <v>6.1624246353528614E-4</v>
      </c>
      <c r="O35" s="98">
        <f>'Substation Construction SC'!O167</f>
        <v>1.060409516379705E-2</v>
      </c>
      <c r="P35" s="98">
        <f>'Substation Construction SC'!P167</f>
        <v>9.4376446957793753E-3</v>
      </c>
      <c r="Q35" s="98">
        <f>'Substation Construction SC'!Q167</f>
        <v>55.392052803842333</v>
      </c>
      <c r="R35" s="98">
        <f>'Substation Construction SC'!R167</f>
        <v>4.5146626375400338E-3</v>
      </c>
      <c r="S35" s="98">
        <f>'Substation Construction SC'!S167</f>
        <v>2.3308785397515068E-2</v>
      </c>
    </row>
    <row r="36" spans="1:19" hidden="1" x14ac:dyDescent="0.25">
      <c r="A36" s="97" t="s">
        <v>120</v>
      </c>
      <c r="B36" s="98">
        <f>'Substation Construction SC'!B168</f>
        <v>0.48595226178647682</v>
      </c>
      <c r="C36" s="98">
        <f>'Substation Construction SC'!C168</f>
        <v>4.5016940124242897</v>
      </c>
      <c r="D36" s="98">
        <f>'Substation Construction SC'!D168</f>
        <v>0.41589858781347744</v>
      </c>
      <c r="E36" s="98">
        <f>'Substation Construction SC'!E168</f>
        <v>5.7127971934520299E-3</v>
      </c>
      <c r="F36" s="98">
        <f>'Substation Construction SC'!F168</f>
        <v>0.1345313212832317</v>
      </c>
      <c r="G36" s="98">
        <f>'Substation Construction SC'!G168</f>
        <v>4.417403718936936E-2</v>
      </c>
      <c r="H36" s="98">
        <f>'Substation Construction SC'!H168</f>
        <v>511.07569997153558</v>
      </c>
      <c r="I36" s="98">
        <f>'Substation Construction SC'!I168</f>
        <v>2.4951268271976197E-2</v>
      </c>
      <c r="J36" s="98">
        <f>'Substation Construction SC'!J168</f>
        <v>4.5383540779711601E-2</v>
      </c>
      <c r="K36" s="98">
        <f>'Substation Construction SC'!K168</f>
        <v>0.14855590241000158</v>
      </c>
      <c r="L36" s="98">
        <f>'Substation Construction SC'!L168</f>
        <v>1.3724653397844755E-2</v>
      </c>
      <c r="M36" s="98">
        <f>'Substation Construction SC'!M168</f>
        <v>1.6036424638953738E-2</v>
      </c>
      <c r="N36" s="98">
        <f>'Substation Construction SC'!N168</f>
        <v>1.8852230738391698E-4</v>
      </c>
      <c r="O36" s="98">
        <f>'Substation Construction SC'!O168</f>
        <v>4.4395336023466464E-3</v>
      </c>
      <c r="P36" s="98">
        <f>'Substation Construction SC'!P168</f>
        <v>1.4577432272491889E-3</v>
      </c>
      <c r="Q36" s="98">
        <f>'Substation Construction SC'!Q168</f>
        <v>16.865498099060673</v>
      </c>
      <c r="R36" s="98">
        <f>'Substation Construction SC'!R168</f>
        <v>8.2339185297521447E-4</v>
      </c>
      <c r="S36" s="98">
        <f>'Substation Construction SC'!S168</f>
        <v>1.4976568457304828E-3</v>
      </c>
    </row>
    <row r="37" spans="1:19" hidden="1" x14ac:dyDescent="0.25">
      <c r="A37" s="97" t="s">
        <v>121</v>
      </c>
      <c r="B37" s="98">
        <f>'Substation Construction SC'!B169</f>
        <v>7.1499827595025503E-2</v>
      </c>
      <c r="C37" s="98">
        <f>'Substation Construction SC'!C169</f>
        <v>0.36968317675634021</v>
      </c>
      <c r="D37" s="98">
        <f>'Substation Construction SC'!D169</f>
        <v>0.39397717080726058</v>
      </c>
      <c r="E37" s="98">
        <f>'Substation Construction SC'!E169</f>
        <v>2.0709292672171707E-3</v>
      </c>
      <c r="F37" s="98">
        <f>'Substation Construction SC'!F169</f>
        <v>0.11709999823166939</v>
      </c>
      <c r="G37" s="98">
        <f>'Substation Construction SC'!G169</f>
        <v>7.1969833629827021E-2</v>
      </c>
      <c r="H37" s="98">
        <f>'Substation Construction SC'!H169</f>
        <v>184.9050823120437</v>
      </c>
      <c r="I37" s="98">
        <f>'Substation Construction SC'!I169</f>
        <v>1.0566031118557114E-2</v>
      </c>
      <c r="J37" s="98">
        <f>'Substation Construction SC'!J169</f>
        <v>4.7365285885053116E-3</v>
      </c>
      <c r="K37" s="98">
        <f>'Substation Construction SC'!K169</f>
        <v>7.8649810354528048E-4</v>
      </c>
      <c r="L37" s="98">
        <f>'Substation Construction SC'!L169</f>
        <v>4.0665149443197424E-3</v>
      </c>
      <c r="M37" s="98">
        <f>'Substation Construction SC'!M169</f>
        <v>4.3337488788798666E-3</v>
      </c>
      <c r="N37" s="98">
        <f>'Substation Construction SC'!N169</f>
        <v>2.278022193938888E-5</v>
      </c>
      <c r="O37" s="98">
        <f>'Substation Construction SC'!O169</f>
        <v>1.2880999805483634E-3</v>
      </c>
      <c r="P37" s="98">
        <f>'Substation Construction SC'!P169</f>
        <v>7.9166816992809713E-4</v>
      </c>
      <c r="Q37" s="98">
        <f>'Substation Construction SC'!Q169</f>
        <v>2.0339559054324812</v>
      </c>
      <c r="R37" s="98">
        <f>'Substation Construction SC'!R169</f>
        <v>1.1622634230412826E-4</v>
      </c>
      <c r="S37" s="98">
        <f>'Substation Construction SC'!S169</f>
        <v>5.2101814473558429E-5</v>
      </c>
    </row>
    <row r="38" spans="1:19" hidden="1" x14ac:dyDescent="0.25">
      <c r="A38" s="3" t="s">
        <v>123</v>
      </c>
      <c r="B38" s="103">
        <f>'Substation Construction SC'!B170</f>
        <v>1.4642709998044887</v>
      </c>
      <c r="C38" s="103">
        <f>'Substation Construction SC'!C170</f>
        <v>10.138461954008879</v>
      </c>
      <c r="D38" s="103">
        <f>'Substation Construction SC'!D170</f>
        <v>6.5717244571531923</v>
      </c>
      <c r="E38" s="103">
        <f>'Substation Construction SC'!E170</f>
        <v>2.4849338954453716E-2</v>
      </c>
      <c r="F38" s="103">
        <f>'Substation Construction SC'!F170</f>
        <v>0.48197892350982746</v>
      </c>
      <c r="G38" s="103">
        <f>'Substation Construction SC'!G170</f>
        <v>0.32115323837468085</v>
      </c>
      <c r="H38" s="103">
        <f>'Substation Construction SC'!H170</f>
        <v>2234.8248529991552</v>
      </c>
      <c r="I38" s="103">
        <f>'Substation Construction SC'!I170</f>
        <v>0.14228880145640829</v>
      </c>
      <c r="J38" s="103">
        <f>'Substation Construction SC'!J170</f>
        <v>0.59749569572880012</v>
      </c>
      <c r="K38" s="103">
        <f>'Substation Construction SC'!K170</f>
        <v>0.18697372392952555</v>
      </c>
      <c r="L38" s="103">
        <f>'Substation Construction SC'!L170</f>
        <v>0.25604189326504073</v>
      </c>
      <c r="M38" s="103">
        <f>'Substation Construction SC'!M170</f>
        <v>0.26572580928115014</v>
      </c>
      <c r="N38" s="103">
        <f>'Substation Construction SC'!N170</f>
        <v>8.2754499285859204E-4</v>
      </c>
      <c r="O38" s="103">
        <f>'Substation Construction SC'!O170</f>
        <v>1.6331728746692059E-2</v>
      </c>
      <c r="P38" s="103">
        <f>'Substation Construction SC'!P170</f>
        <v>1.1687056092956661E-2</v>
      </c>
      <c r="Q38" s="103">
        <f>'Substation Construction SC'!Q170</f>
        <v>74.291506808335484</v>
      </c>
      <c r="R38" s="103">
        <f>'Substation Construction SC'!R170</f>
        <v>5.4542808328193765E-3</v>
      </c>
      <c r="S38" s="103">
        <f>'Substation Construction SC'!S170</f>
        <v>2.4858544057719107E-2</v>
      </c>
    </row>
    <row r="39" spans="1:19" hidden="1" x14ac:dyDescent="0.25">
      <c r="A39" s="3" t="s">
        <v>341</v>
      </c>
      <c r="B39" s="209"/>
      <c r="C39" s="209"/>
      <c r="D39" s="209"/>
      <c r="E39" s="209"/>
      <c r="F39" s="209"/>
      <c r="G39" s="209"/>
      <c r="H39" s="209"/>
      <c r="I39" s="209"/>
      <c r="J39" s="210"/>
      <c r="K39" s="98"/>
      <c r="L39" s="98"/>
      <c r="M39" s="98"/>
      <c r="N39" s="98"/>
      <c r="O39" s="98"/>
      <c r="P39" s="98"/>
      <c r="Q39" s="98"/>
      <c r="R39" s="98"/>
      <c r="S39" s="98"/>
    </row>
    <row r="40" spans="1:19" hidden="1" x14ac:dyDescent="0.25">
      <c r="A40" s="97" t="str">
        <f>'Substation Construction SC'!A50</f>
        <v>Emissions, lbs/day</v>
      </c>
      <c r="B40" s="4"/>
      <c r="C40" s="4"/>
      <c r="D40" s="4"/>
      <c r="E40" s="4"/>
      <c r="F40" s="4"/>
      <c r="G40" s="4"/>
      <c r="H40" s="4"/>
      <c r="I40" s="4"/>
      <c r="J40" s="211"/>
      <c r="K40" s="98"/>
      <c r="L40" s="98"/>
      <c r="M40" s="98"/>
      <c r="N40" s="98"/>
      <c r="O40" s="98"/>
      <c r="P40" s="98"/>
      <c r="Q40" s="98"/>
      <c r="R40" s="98"/>
      <c r="S40" s="98"/>
    </row>
    <row r="41" spans="1:19" hidden="1" x14ac:dyDescent="0.25">
      <c r="A41" s="97" t="str">
        <f>'Substation Construction SC'!A51</f>
        <v>Heavy Construction Equipment</v>
      </c>
      <c r="B41" s="4">
        <f>'Substation Construction SC'!B51</f>
        <v>10.021244629460792</v>
      </c>
      <c r="C41" s="4">
        <f>'Substation Construction SC'!C51</f>
        <v>41.35807861194656</v>
      </c>
      <c r="D41" s="4">
        <f>'Substation Construction SC'!D51</f>
        <v>72.967731838714215</v>
      </c>
      <c r="E41" s="4">
        <f>'Substation Construction SC'!E51</f>
        <v>0.16992698890202929</v>
      </c>
      <c r="F41" s="4">
        <f>'Substation Construction SC'!F51</f>
        <v>2.7074794786207885</v>
      </c>
      <c r="G41" s="4">
        <f>'Substation Construction SC'!G51</f>
        <v>2.4096567359725021</v>
      </c>
      <c r="H41" s="4">
        <f>'Substation Construction SC'!H51</f>
        <v>15013.778793977188</v>
      </c>
      <c r="I41" s="4">
        <f>'Substation Construction SC'!I51</f>
        <v>0.97776194078886447</v>
      </c>
      <c r="J41" s="4">
        <f>'Substation Construction SC'!J51</f>
        <v>6.9319345246778505</v>
      </c>
      <c r="K41" s="4">
        <f>'Substation Construction SC'!K51</f>
        <v>0.49279916502076337</v>
      </c>
      <c r="L41" s="4">
        <f>'Substation Construction SC'!L51</f>
        <v>2.0958062478713391</v>
      </c>
      <c r="M41" s="4">
        <f>'Substation Construction SC'!M51</f>
        <v>3.553145353215883</v>
      </c>
      <c r="N41" s="4">
        <f>'Substation Construction SC'!N51</f>
        <v>8.0554457388443083E-3</v>
      </c>
      <c r="O41" s="4">
        <f>'Substation Construction SC'!O51</f>
        <v>0.14098244191215112</v>
      </c>
      <c r="P41" s="4">
        <f>'Substation Construction SC'!P51</f>
        <v>0.12547437330181449</v>
      </c>
      <c r="Q41" s="4">
        <f>'Substation Construction SC'!Q51</f>
        <v>710.92702646055272</v>
      </c>
      <c r="R41" s="4">
        <f>'Substation Construction SC'!R51</f>
        <v>4.8064340183544316E-2</v>
      </c>
      <c r="S41" s="4">
        <f>'Substation Construction SC'!S51</f>
        <v>0.33754880855550873</v>
      </c>
    </row>
    <row r="42" spans="1:19" hidden="1" x14ac:dyDescent="0.25">
      <c r="A42" s="97" t="str">
        <f>'Substation Construction SC'!A52</f>
        <v>Worker Vehicles</v>
      </c>
      <c r="B42" s="4">
        <f>'Substation Construction SC'!B52</f>
        <v>0.95289898437681031</v>
      </c>
      <c r="C42" s="4">
        <f>'Substation Construction SC'!C52</f>
        <v>9.7534273237054734</v>
      </c>
      <c r="D42" s="4">
        <f>'Substation Construction SC'!D52</f>
        <v>0.88006263584996858</v>
      </c>
      <c r="E42" s="4">
        <f>'Substation Construction SC'!E52</f>
        <v>1.1603948552657686E-2</v>
      </c>
      <c r="F42" s="4">
        <f>'Substation Construction SC'!F52</f>
        <v>0.27384846824592202</v>
      </c>
      <c r="G42" s="4">
        <f>'Substation Construction SC'!G52</f>
        <v>8.9962417554591029E-2</v>
      </c>
      <c r="H42" s="4">
        <f>'Substation Construction SC'!H52</f>
        <v>935.08296434598378</v>
      </c>
      <c r="I42" s="4">
        <f>'Substation Construction SC'!I52</f>
        <v>5.0754391557511859E-2</v>
      </c>
      <c r="J42" s="4">
        <f>'Substation Construction SC'!J52</f>
        <v>9.2349704255024923E-2</v>
      </c>
      <c r="K42" s="4">
        <f>'Substation Construction SC'!K52</f>
        <v>0.32186310168228061</v>
      </c>
      <c r="L42" s="4">
        <f>'Substation Construction SC'!L52</f>
        <v>2.904206698304896E-2</v>
      </c>
      <c r="M42" s="4">
        <f>'Substation Construction SC'!M52</f>
        <v>3.1445666484434739E-2</v>
      </c>
      <c r="N42" s="4">
        <f>'Substation Construction SC'!N52</f>
        <v>3.8293030223770364E-4</v>
      </c>
      <c r="O42" s="4">
        <f>'Substation Construction SC'!O52</f>
        <v>9.0369994521154254E-3</v>
      </c>
      <c r="P42" s="4">
        <f>'Substation Construction SC'!P52</f>
        <v>2.968759779301504E-3</v>
      </c>
      <c r="Q42" s="4">
        <f>'Substation Construction SC'!Q52</f>
        <v>30.857737823417466</v>
      </c>
      <c r="R42" s="4">
        <f>'Substation Construction SC'!R52</f>
        <v>1.6748949213978915E-3</v>
      </c>
      <c r="S42" s="4">
        <f>'Substation Construction SC'!S52</f>
        <v>3.0475402404158223E-3</v>
      </c>
    </row>
    <row r="43" spans="1:19" hidden="1" x14ac:dyDescent="0.25">
      <c r="A43" s="97" t="str">
        <f>'Substation Construction SC'!A53</f>
        <v>Construction Trucks</v>
      </c>
      <c r="B43" s="4">
        <f>'Substation Construction SC'!B53</f>
        <v>0.92587623447891187</v>
      </c>
      <c r="C43" s="4">
        <f>'Substation Construction SC'!C53</f>
        <v>3.818919345739368</v>
      </c>
      <c r="D43" s="4">
        <f>'Substation Construction SC'!D53</f>
        <v>17.518370396971079</v>
      </c>
      <c r="E43" s="4">
        <f>'Substation Construction SC'!E53</f>
        <v>3.7785023479353599E-2</v>
      </c>
      <c r="F43" s="4">
        <f>'Substation Construction SC'!F53</f>
        <v>0.75460931970572775</v>
      </c>
      <c r="G43" s="4">
        <f>'Substation Construction SC'!G53</f>
        <v>0.39066796884815108</v>
      </c>
      <c r="H43" s="4">
        <f>'Substation Construction SC'!H53</f>
        <v>6034.4401944709189</v>
      </c>
      <c r="I43" s="4">
        <f>'Substation Construction SC'!I53</f>
        <v>0.34482601603265162</v>
      </c>
      <c r="J43" s="4">
        <f>'Substation Construction SC'!J53</f>
        <v>0.15457822002156704</v>
      </c>
      <c r="K43" s="4">
        <f>'Substation Construction SC'!K53</f>
        <v>3.0553915737804093E-2</v>
      </c>
      <c r="L43" s="4">
        <f>'Substation Construction SC'!L53</f>
        <v>0.12602433840939914</v>
      </c>
      <c r="M43" s="4">
        <f>'Substation Construction SC'!M53</f>
        <v>0.57810622310004556</v>
      </c>
      <c r="N43" s="4">
        <f>'Substation Construction SC'!N53</f>
        <v>1.2469057748186686E-3</v>
      </c>
      <c r="O43" s="4">
        <f>'Substation Construction SC'!O53</f>
        <v>2.4902107550289019E-2</v>
      </c>
      <c r="P43" s="4">
        <f>'Substation Construction SC'!P53</f>
        <v>1.2892042971988985E-2</v>
      </c>
      <c r="Q43" s="4">
        <f>'Substation Construction SC'!Q53</f>
        <v>199.13652641754032</v>
      </c>
      <c r="R43" s="4">
        <f>'Substation Construction SC'!R53</f>
        <v>1.1379258529077504E-2</v>
      </c>
      <c r="S43" s="4">
        <f>'Substation Construction SC'!S53</f>
        <v>5.1010812607117121E-3</v>
      </c>
    </row>
    <row r="44" spans="1:19" hidden="1" x14ac:dyDescent="0.25">
      <c r="A44" s="97" t="str">
        <f>'Substation Construction SC'!A54</f>
        <v>Fugitive Dust</v>
      </c>
      <c r="B44" s="4">
        <f>'Substation Construction SC'!B54</f>
        <v>0</v>
      </c>
      <c r="C44" s="4">
        <f>'Substation Construction SC'!C54</f>
        <v>0</v>
      </c>
      <c r="D44" s="4">
        <f>'Substation Construction SC'!D54</f>
        <v>0</v>
      </c>
      <c r="E44" s="4">
        <f>'Substation Construction SC'!E54</f>
        <v>0</v>
      </c>
      <c r="F44" s="4">
        <f>'Substation Construction SC'!F54</f>
        <v>26.362387719197216</v>
      </c>
      <c r="G44" s="4">
        <f>'Substation Construction SC'!G54</f>
        <v>8.2853218546048399</v>
      </c>
      <c r="H44" s="4">
        <f>'Substation Construction SC'!H54</f>
        <v>0</v>
      </c>
      <c r="I44" s="4">
        <f>'Substation Construction SC'!I54</f>
        <v>0</v>
      </c>
      <c r="J44" s="4">
        <f>'Substation Construction SC'!J54</f>
        <v>0</v>
      </c>
      <c r="K44" s="4">
        <f>'Substation Construction SC'!K54</f>
        <v>0</v>
      </c>
      <c r="L44" s="4">
        <f>'Substation Construction SC'!L54</f>
        <v>0</v>
      </c>
      <c r="M44" s="4">
        <f>'Substation Construction SC'!M54</f>
        <v>0</v>
      </c>
      <c r="N44" s="4">
        <f>'Substation Construction SC'!N54</f>
        <v>0</v>
      </c>
      <c r="O44" s="4">
        <f>'Substation Construction SC'!O54</f>
        <v>1.4983722577894818E-2</v>
      </c>
      <c r="P44" s="4">
        <f>'Substation Construction SC'!P54</f>
        <v>4.7091699530526585E-3</v>
      </c>
      <c r="Q44" s="4">
        <f>'Substation Construction SC'!Q54</f>
        <v>0</v>
      </c>
      <c r="R44" s="4">
        <f>'Substation Construction SC'!R54</f>
        <v>0</v>
      </c>
      <c r="S44" s="4">
        <f>'Substation Construction SC'!S54</f>
        <v>0</v>
      </c>
    </row>
    <row r="45" spans="1:19" hidden="1" x14ac:dyDescent="0.25">
      <c r="A45" s="3" t="s">
        <v>123</v>
      </c>
      <c r="B45" s="103">
        <f>'Substation Construction SC'!B55</f>
        <v>11.900019848316514</v>
      </c>
      <c r="C45" s="103">
        <f>'Substation Construction SC'!C55</f>
        <v>54.9304252813914</v>
      </c>
      <c r="D45" s="103">
        <f>'Substation Construction SC'!D55</f>
        <v>91.366164871535261</v>
      </c>
      <c r="E45" s="103">
        <f>'Substation Construction SC'!E55</f>
        <v>0.21931596093404054</v>
      </c>
      <c r="F45" s="103">
        <f>'Substation Construction SC'!F55</f>
        <v>30.098324985769654</v>
      </c>
      <c r="G45" s="103">
        <f>'Substation Construction SC'!G55</f>
        <v>11.175608976980085</v>
      </c>
      <c r="H45" s="103">
        <f>'Substation Construction SC'!H55</f>
        <v>21983.301952794092</v>
      </c>
      <c r="I45" s="103">
        <f>'Substation Construction SC'!I55</f>
        <v>1.3733423483790279</v>
      </c>
      <c r="J45" s="103">
        <f>'Substation Construction SC'!J55</f>
        <v>7.1788624489544421</v>
      </c>
      <c r="K45" s="103">
        <f>'Substation Construction SC'!K55</f>
        <v>0.84521618244084806</v>
      </c>
      <c r="L45" s="103">
        <f>'Substation Construction SC'!L55</f>
        <v>2.2508726532637873</v>
      </c>
      <c r="M45" s="103">
        <f>'Substation Construction SC'!M55</f>
        <v>4.1626972428003635</v>
      </c>
      <c r="N45" s="103">
        <f>'Substation Construction SC'!N55</f>
        <v>9.6852818159006808E-3</v>
      </c>
      <c r="O45" s="103">
        <f>'Substation Construction SC'!O55</f>
        <v>0.18990527149245037</v>
      </c>
      <c r="P45" s="103">
        <f>'Substation Construction SC'!P55</f>
        <v>0.14604434600615762</v>
      </c>
      <c r="Q45" s="103">
        <f>'Substation Construction SC'!Q55</f>
        <v>940.92129070151054</v>
      </c>
      <c r="R45" s="103">
        <f>'Substation Construction SC'!R55</f>
        <v>6.1118493634019708E-2</v>
      </c>
      <c r="S45" s="103">
        <f>'Substation Construction SC'!S55</f>
        <v>0.34569743005663628</v>
      </c>
    </row>
    <row r="46" spans="1:19" hidden="1" x14ac:dyDescent="0.25">
      <c r="A46" s="3" t="s">
        <v>342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idden="1" x14ac:dyDescent="0.25">
      <c r="A47" t="s">
        <v>75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idden="1" x14ac:dyDescent="0.25">
      <c r="A48" t="s">
        <v>119</v>
      </c>
      <c r="B48" s="98">
        <f>'Equipment Trans Talega Seg 3'!Q19+'Equipment Trans Talega Seg 3'!Q26</f>
        <v>14.615566728877521</v>
      </c>
      <c r="C48" s="98">
        <f>'Equipment Trans Talega Seg 3'!R19+'Equipment Trans Talega Seg 3'!R26</f>
        <v>58.548229230582812</v>
      </c>
      <c r="D48" s="98">
        <f>'Equipment Trans Talega Seg 3'!S19+'Equipment Trans Talega Seg 3'!S26</f>
        <v>118.25940697984653</v>
      </c>
      <c r="E48" s="98">
        <f>'Equipment Trans Talega Seg 3'!T19+'Equipment Trans Talega Seg 3'!T26</f>
        <v>0.20192470251275196</v>
      </c>
      <c r="F48" s="98">
        <f>'Equipment Trans Talega Seg 3'!U19+'Equipment Trans Talega Seg 3'!U26</f>
        <v>4.6147685042311739</v>
      </c>
      <c r="G48" s="98">
        <f>'Equipment Trans Talega Seg 3'!V19+'Equipment Trans Talega Seg 3'!V26</f>
        <v>4.1071439687657456</v>
      </c>
      <c r="H48" s="98">
        <f>'Equipment Trans Talega Seg 3'!W19+'Equipment Trans Talega Seg 3'!W26</f>
        <v>18978.574788785747</v>
      </c>
      <c r="I48" s="98">
        <f>'Equipment Trans Talega Seg 3'!X19+'Equipment Trans Talega Seg 3'!X26</f>
        <v>1.3736745401142527</v>
      </c>
      <c r="J48" s="98">
        <f>'Equipment Trans Talega Seg 3'!Y19+'Equipment Trans Talega Seg 3'!Y26</f>
        <v>11.234643663085421</v>
      </c>
      <c r="K48" s="98">
        <f>'Equipment Trans Talega Seg 3'!E66+'Equipment Trans Talega Seg 3'!E73</f>
        <v>0.40980340474543359</v>
      </c>
      <c r="L48" s="98">
        <f>'Equipment Trans Talega Seg 3'!F66+'Equipment Trans Talega Seg 3'!F73</f>
        <v>1.7123789871036377</v>
      </c>
      <c r="M48" s="98">
        <f>'Equipment Trans Talega Seg 3'!G66+'Equipment Trans Talega Seg 3'!G73</f>
        <v>3.2484940976662489</v>
      </c>
      <c r="N48" s="98">
        <f>'Equipment Trans Talega Seg 3'!H66+'Equipment Trans Talega Seg 3'!H73</f>
        <v>5.7396898022316527E-3</v>
      </c>
      <c r="O48" s="98">
        <f>'Equipment Trans Talega Seg 3'!I66+'Equipment Trans Talega Seg 3'!I73</f>
        <v>0.13529511414561346</v>
      </c>
      <c r="P48" s="98">
        <f>'Equipment Trans Talega Seg 3'!J66+'Equipment Trans Talega Seg 3'!J73</f>
        <v>0.12041265158959596</v>
      </c>
      <c r="Q48" s="98">
        <f>'Equipment Trans Talega Seg 3'!K66+'Equipment Trans Talega Seg 3'!K73</f>
        <v>524.45168986998783</v>
      </c>
      <c r="R48" s="98">
        <f>'Equipment Trans Talega Seg 3'!L66+'Equipment Trans Talega Seg 3'!L73</f>
        <v>3.8527770483954601E-2</v>
      </c>
      <c r="S48" s="98">
        <f>'Equipment Trans Talega Seg 3'!M66+'Equipment Trans Talega Seg 3'!M73</f>
        <v>0.30860693927829363</v>
      </c>
    </row>
    <row r="49" spans="1:19" hidden="1" x14ac:dyDescent="0.25">
      <c r="A49" t="s">
        <v>120</v>
      </c>
      <c r="B49" s="98" t="e">
        <f>'Transmission Line Construct SC'!#REF!</f>
        <v>#REF!</v>
      </c>
      <c r="C49" s="98" t="e">
        <f>'Transmission Line Construct SC'!#REF!</f>
        <v>#REF!</v>
      </c>
      <c r="D49" s="98" t="e">
        <f>'Transmission Line Construct SC'!#REF!</f>
        <v>#REF!</v>
      </c>
      <c r="E49" s="98" t="e">
        <f>'Transmission Line Construct SC'!#REF!</f>
        <v>#REF!</v>
      </c>
      <c r="F49" s="98" t="e">
        <f>'Transmission Line Construct SC'!#REF!</f>
        <v>#REF!</v>
      </c>
      <c r="G49" s="98" t="e">
        <f>'Transmission Line Construct SC'!#REF!</f>
        <v>#REF!</v>
      </c>
      <c r="H49" s="98" t="e">
        <f>'Transmission Line Construct SC'!#REF!</f>
        <v>#REF!</v>
      </c>
      <c r="I49" s="98" t="e">
        <f>'Transmission Line Construct SC'!#REF!</f>
        <v>#REF!</v>
      </c>
      <c r="J49" s="98" t="e">
        <f>'Transmission Line Construct SC'!#REF!</f>
        <v>#REF!</v>
      </c>
      <c r="K49" s="98" t="e">
        <f>'Transmission Line Construct SC'!#REF!</f>
        <v>#REF!</v>
      </c>
      <c r="L49" s="98" t="e">
        <f>'Transmission Line Construct SC'!#REF!</f>
        <v>#REF!</v>
      </c>
      <c r="M49" s="98" t="e">
        <f>'Transmission Line Construct SC'!#REF!</f>
        <v>#REF!</v>
      </c>
      <c r="N49" s="98" t="e">
        <f>'Transmission Line Construct SC'!#REF!</f>
        <v>#REF!</v>
      </c>
      <c r="O49" s="98" t="e">
        <f>'Transmission Line Construct SC'!#REF!</f>
        <v>#REF!</v>
      </c>
      <c r="P49" s="98" t="e">
        <f>'Transmission Line Construct SC'!#REF!</f>
        <v>#REF!</v>
      </c>
      <c r="Q49" s="98" t="e">
        <f>'Transmission Line Construct SC'!#REF!</f>
        <v>#REF!</v>
      </c>
      <c r="R49" s="98" t="e">
        <f>'Transmission Line Construct SC'!#REF!</f>
        <v>#REF!</v>
      </c>
      <c r="S49" s="98" t="e">
        <f>'Transmission Line Construct SC'!#REF!</f>
        <v>#REF!</v>
      </c>
    </row>
    <row r="50" spans="1:19" hidden="1" x14ac:dyDescent="0.25">
      <c r="A50" t="s">
        <v>121</v>
      </c>
      <c r="B50" s="98" t="e">
        <f>'Transmission Line Construct SC'!#REF!</f>
        <v>#REF!</v>
      </c>
      <c r="C50" s="98" t="e">
        <f>'Transmission Line Construct SC'!#REF!</f>
        <v>#REF!</v>
      </c>
      <c r="D50" s="98" t="e">
        <f>'Transmission Line Construct SC'!#REF!</f>
        <v>#REF!</v>
      </c>
      <c r="E50" s="98" t="e">
        <f>'Transmission Line Construct SC'!#REF!</f>
        <v>#REF!</v>
      </c>
      <c r="F50" s="98" t="e">
        <f>'Transmission Line Construct SC'!#REF!</f>
        <v>#REF!</v>
      </c>
      <c r="G50" s="98" t="e">
        <f>'Transmission Line Construct SC'!#REF!</f>
        <v>#REF!</v>
      </c>
      <c r="H50" s="98" t="e">
        <f>'Transmission Line Construct SC'!#REF!</f>
        <v>#REF!</v>
      </c>
      <c r="I50" s="98" t="e">
        <f>'Transmission Line Construct SC'!#REF!</f>
        <v>#REF!</v>
      </c>
      <c r="J50" s="98" t="e">
        <f>'Transmission Line Construct SC'!#REF!</f>
        <v>#REF!</v>
      </c>
      <c r="K50" s="98" t="e">
        <f>'Transmission Line Construct SC'!#REF!</f>
        <v>#REF!</v>
      </c>
      <c r="L50" s="98" t="e">
        <f>'Transmission Line Construct SC'!#REF!</f>
        <v>#REF!</v>
      </c>
      <c r="M50" s="98" t="e">
        <f>'Transmission Line Construct SC'!#REF!</f>
        <v>#REF!</v>
      </c>
      <c r="N50" s="98" t="e">
        <f>'Transmission Line Construct SC'!#REF!</f>
        <v>#REF!</v>
      </c>
      <c r="O50" s="98" t="e">
        <f>'Transmission Line Construct SC'!#REF!</f>
        <v>#REF!</v>
      </c>
      <c r="P50" s="98" t="e">
        <f>'Transmission Line Construct SC'!#REF!</f>
        <v>#REF!</v>
      </c>
      <c r="Q50" s="98" t="e">
        <f>'Transmission Line Construct SC'!#REF!</f>
        <v>#REF!</v>
      </c>
      <c r="R50" s="98" t="e">
        <f>'Transmission Line Construct SC'!#REF!</f>
        <v>#REF!</v>
      </c>
      <c r="S50" s="98" t="e">
        <f>'Transmission Line Construct SC'!#REF!</f>
        <v>#REF!</v>
      </c>
    </row>
    <row r="51" spans="1:19" hidden="1" x14ac:dyDescent="0.25">
      <c r="A51" t="s">
        <v>122</v>
      </c>
      <c r="B51" s="98" t="e">
        <f>'Transmission Line Construct SC'!#REF!</f>
        <v>#REF!</v>
      </c>
      <c r="C51" s="98" t="e">
        <f>'Transmission Line Construct SC'!#REF!</f>
        <v>#REF!</v>
      </c>
      <c r="D51" s="98" t="e">
        <f>'Transmission Line Construct SC'!#REF!</f>
        <v>#REF!</v>
      </c>
      <c r="E51" s="98" t="e">
        <f>'Transmission Line Construct SC'!#REF!</f>
        <v>#REF!</v>
      </c>
      <c r="F51" s="98" t="e">
        <f>'Transmission Line Construct SC'!#REF!</f>
        <v>#REF!</v>
      </c>
      <c r="G51" s="98" t="e">
        <f>'Transmission Line Construct SC'!#REF!</f>
        <v>#REF!</v>
      </c>
      <c r="H51" s="98" t="e">
        <f>'Transmission Line Construct SC'!#REF!</f>
        <v>#REF!</v>
      </c>
      <c r="I51" s="98" t="e">
        <f>'Transmission Line Construct SC'!#REF!</f>
        <v>#REF!</v>
      </c>
      <c r="J51" s="98" t="e">
        <f>'Transmission Line Construct SC'!#REF!</f>
        <v>#REF!</v>
      </c>
      <c r="K51" s="98" t="e">
        <f>'Transmission Line Construct SC'!#REF!</f>
        <v>#REF!</v>
      </c>
      <c r="L51" s="98" t="e">
        <f>'Transmission Line Construct SC'!#REF!</f>
        <v>#REF!</v>
      </c>
      <c r="M51" s="98" t="e">
        <f>'Transmission Line Construct SC'!#REF!</f>
        <v>#REF!</v>
      </c>
      <c r="N51" s="98" t="e">
        <f>'Transmission Line Construct SC'!#REF!</f>
        <v>#REF!</v>
      </c>
      <c r="O51" s="98" t="e">
        <f>'Transmission Line Construct SC'!#REF!</f>
        <v>#REF!</v>
      </c>
      <c r="P51" s="98" t="e">
        <f>'Transmission Line Construct SC'!#REF!</f>
        <v>#REF!</v>
      </c>
      <c r="Q51" s="98" t="e">
        <f>'Transmission Line Construct SC'!#REF!</f>
        <v>#REF!</v>
      </c>
      <c r="R51" s="98" t="e">
        <f>'Transmission Line Construct SC'!#REF!</f>
        <v>#REF!</v>
      </c>
      <c r="S51" s="98" t="e">
        <f>'Transmission Line Construct SC'!#REF!</f>
        <v>#REF!</v>
      </c>
    </row>
    <row r="52" spans="1:19" hidden="1" x14ac:dyDescent="0.25">
      <c r="A52" s="3" t="s">
        <v>123</v>
      </c>
      <c r="B52" s="103" t="e">
        <f>'Transmission Line Construct SC'!#REF!</f>
        <v>#REF!</v>
      </c>
      <c r="C52" s="103" t="e">
        <f>'Transmission Line Construct SC'!#REF!</f>
        <v>#REF!</v>
      </c>
      <c r="D52" s="103" t="e">
        <f>'Transmission Line Construct SC'!#REF!</f>
        <v>#REF!</v>
      </c>
      <c r="E52" s="103" t="e">
        <f>'Transmission Line Construct SC'!#REF!</f>
        <v>#REF!</v>
      </c>
      <c r="F52" s="103" t="e">
        <f>'Transmission Line Construct SC'!#REF!</f>
        <v>#REF!</v>
      </c>
      <c r="G52" s="103" t="e">
        <f>'Transmission Line Construct SC'!#REF!</f>
        <v>#REF!</v>
      </c>
      <c r="H52" s="103" t="e">
        <f>'Transmission Line Construct SC'!#REF!</f>
        <v>#REF!</v>
      </c>
      <c r="I52" s="103" t="e">
        <f>'Transmission Line Construct SC'!#REF!</f>
        <v>#REF!</v>
      </c>
      <c r="J52" s="103" t="e">
        <f>'Transmission Line Construct SC'!#REF!</f>
        <v>#REF!</v>
      </c>
      <c r="K52" s="103" t="e">
        <f>'Transmission Line Construct SC'!#REF!</f>
        <v>#REF!</v>
      </c>
      <c r="L52" s="103" t="e">
        <f>'Transmission Line Construct SC'!#REF!</f>
        <v>#REF!</v>
      </c>
      <c r="M52" s="103" t="e">
        <f>'Transmission Line Construct SC'!#REF!</f>
        <v>#REF!</v>
      </c>
      <c r="N52" s="103" t="e">
        <f>'Transmission Line Construct SC'!#REF!</f>
        <v>#REF!</v>
      </c>
      <c r="O52" s="103" t="e">
        <f>'Transmission Line Construct SC'!#REF!</f>
        <v>#REF!</v>
      </c>
      <c r="P52" s="103" t="e">
        <f>'Transmission Line Construct SC'!#REF!</f>
        <v>#REF!</v>
      </c>
      <c r="Q52" s="103" t="e">
        <f>'Transmission Line Construct SC'!#REF!</f>
        <v>#REF!</v>
      </c>
      <c r="R52" s="103" t="e">
        <f>'Transmission Line Construct SC'!#REF!</f>
        <v>#REF!</v>
      </c>
      <c r="S52" s="103" t="e">
        <f>'Transmission Line Construct SC'!#REF!</f>
        <v>#REF!</v>
      </c>
    </row>
    <row r="53" spans="1:19" hidden="1" x14ac:dyDescent="0.25">
      <c r="A53" s="3" t="s">
        <v>343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hidden="1" x14ac:dyDescent="0.25">
      <c r="A54" t="s">
        <v>75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 hidden="1" x14ac:dyDescent="0.25">
      <c r="A55" t="s">
        <v>119</v>
      </c>
      <c r="B55" s="98">
        <f>'Equipment Trans Segment 1'!Q19+'Equipment Trans Segment 1'!Q26</f>
        <v>12.910469814494286</v>
      </c>
      <c r="C55" s="98">
        <f>'Equipment Trans Segment 1'!R19+'Equipment Trans Segment 1'!R26</f>
        <v>50.929190048204788</v>
      </c>
      <c r="D55" s="98">
        <f>'Equipment Trans Segment 1'!S19+'Equipment Trans Segment 1'!S26</f>
        <v>105.25310155451021</v>
      </c>
      <c r="E55" s="98">
        <f>'Equipment Trans Segment 1'!T19+'Equipment Trans Segment 1'!T26</f>
        <v>0.17729418414003106</v>
      </c>
      <c r="F55" s="98">
        <f>'Equipment Trans Segment 1'!U19+'Equipment Trans Segment 1'!U26</f>
        <v>4.0264218487561179</v>
      </c>
      <c r="G55" s="98">
        <f>'Equipment Trans Segment 1'!V19+'Equipment Trans Segment 1'!V26</f>
        <v>3.5835154453929445</v>
      </c>
      <c r="H55" s="98">
        <f>'Equipment Trans Segment 1'!W19+'Equipment Trans Segment 1'!W26</f>
        <v>16817.698093861985</v>
      </c>
      <c r="I55" s="98">
        <f>'Equipment Trans Segment 1'!X19+'Equipment Trans Segment 1'!X26</f>
        <v>1.2132828943789331</v>
      </c>
      <c r="J55" s="98">
        <f>'Equipment Trans Segment 1'!Y19+'Equipment Trans Segment 1'!Y26</f>
        <v>9.9990446476784705</v>
      </c>
      <c r="K55" s="98">
        <f>'Equipment Trans Segment 1'!E66+'Equipment Trans Segment 1'!E73</f>
        <v>0.27265802571435532</v>
      </c>
      <c r="L55" s="98">
        <f>'Equipment Trans Segment 1'!F66+'Equipment Trans Segment 1'!F73</f>
        <v>1.0559668466713434</v>
      </c>
      <c r="M55" s="98">
        <f>'Equipment Trans Segment 1'!G66+'Equipment Trans Segment 1'!G73</f>
        <v>2.2100021455431085</v>
      </c>
      <c r="N55" s="98">
        <f>'Equipment Trans Segment 1'!H66+'Equipment Trans Segment 1'!H73</f>
        <v>3.7959837204750283E-3</v>
      </c>
      <c r="O55" s="98">
        <f>'Equipment Trans Segment 1'!I66+'Equipment Trans Segment 1'!I73</f>
        <v>8.5296429717196712E-2</v>
      </c>
      <c r="P55" s="98">
        <f>'Equipment Trans Segment 1'!J66+'Equipment Trans Segment 1'!J73</f>
        <v>7.5913822448305079E-2</v>
      </c>
      <c r="Q55" s="98">
        <f>'Equipment Trans Segment 1'!K66+'Equipment Trans Segment 1'!K73</f>
        <v>354.49288130883349</v>
      </c>
      <c r="R55" s="98">
        <f>'Equipment Trans Segment 1'!L66+'Equipment Trans Segment 1'!L73</f>
        <v>2.5630171466739519E-2</v>
      </c>
      <c r="S55" s="98">
        <f>'Equipment Trans Segment 1'!M66+'Equipment Trans Segment 1'!M73</f>
        <v>0.20995020382659527</v>
      </c>
    </row>
    <row r="56" spans="1:19" hidden="1" x14ac:dyDescent="0.25">
      <c r="A56" t="s">
        <v>120</v>
      </c>
      <c r="B56" s="98" t="e">
        <f>'Transmission Line Construct SC'!#REF!</f>
        <v>#REF!</v>
      </c>
      <c r="C56" s="98" t="e">
        <f>'Transmission Line Construct SC'!#REF!</f>
        <v>#REF!</v>
      </c>
      <c r="D56" s="98" t="e">
        <f>'Transmission Line Construct SC'!#REF!</f>
        <v>#REF!</v>
      </c>
      <c r="E56" s="98" t="e">
        <f>'Transmission Line Construct SC'!#REF!</f>
        <v>#REF!</v>
      </c>
      <c r="F56" s="98" t="e">
        <f>'Transmission Line Construct SC'!#REF!</f>
        <v>#REF!</v>
      </c>
      <c r="G56" s="98" t="e">
        <f>'Transmission Line Construct SC'!#REF!</f>
        <v>#REF!</v>
      </c>
      <c r="H56" s="98" t="e">
        <f>'Transmission Line Construct SC'!#REF!</f>
        <v>#REF!</v>
      </c>
      <c r="I56" s="98" t="e">
        <f>'Transmission Line Construct SC'!#REF!</f>
        <v>#REF!</v>
      </c>
      <c r="J56" s="98" t="e">
        <f>'Transmission Line Construct SC'!#REF!</f>
        <v>#REF!</v>
      </c>
      <c r="K56" s="98" t="e">
        <f>'Transmission Line Construct SC'!#REF!</f>
        <v>#REF!</v>
      </c>
      <c r="L56" s="98" t="e">
        <f>'Transmission Line Construct SC'!#REF!</f>
        <v>#REF!</v>
      </c>
      <c r="M56" s="98" t="e">
        <f>'Transmission Line Construct SC'!#REF!</f>
        <v>#REF!</v>
      </c>
      <c r="N56" s="98" t="e">
        <f>'Transmission Line Construct SC'!#REF!</f>
        <v>#REF!</v>
      </c>
      <c r="O56" s="98" t="e">
        <f>'Transmission Line Construct SC'!#REF!</f>
        <v>#REF!</v>
      </c>
      <c r="P56" s="98" t="e">
        <f>'Transmission Line Construct SC'!#REF!</f>
        <v>#REF!</v>
      </c>
      <c r="Q56" s="98" t="e">
        <f>'Transmission Line Construct SC'!#REF!</f>
        <v>#REF!</v>
      </c>
      <c r="R56" s="98" t="e">
        <f>'Transmission Line Construct SC'!#REF!</f>
        <v>#REF!</v>
      </c>
      <c r="S56" s="98" t="e">
        <f>'Transmission Line Construct SC'!#REF!</f>
        <v>#REF!</v>
      </c>
    </row>
    <row r="57" spans="1:19" hidden="1" x14ac:dyDescent="0.25">
      <c r="A57" t="s">
        <v>121</v>
      </c>
      <c r="B57" s="98" t="e">
        <f>'Transmission Line Construct SC'!#REF!</f>
        <v>#REF!</v>
      </c>
      <c r="C57" s="98" t="e">
        <f>'Transmission Line Construct SC'!#REF!</f>
        <v>#REF!</v>
      </c>
      <c r="D57" s="98" t="e">
        <f>'Transmission Line Construct SC'!#REF!</f>
        <v>#REF!</v>
      </c>
      <c r="E57" s="98" t="e">
        <f>'Transmission Line Construct SC'!#REF!</f>
        <v>#REF!</v>
      </c>
      <c r="F57" s="98" t="e">
        <f>'Transmission Line Construct SC'!#REF!</f>
        <v>#REF!</v>
      </c>
      <c r="G57" s="98" t="e">
        <f>'Transmission Line Construct SC'!#REF!</f>
        <v>#REF!</v>
      </c>
      <c r="H57" s="98" t="e">
        <f>'Transmission Line Construct SC'!#REF!</f>
        <v>#REF!</v>
      </c>
      <c r="I57" s="98" t="e">
        <f>'Transmission Line Construct SC'!#REF!</f>
        <v>#REF!</v>
      </c>
      <c r="J57" s="98" t="e">
        <f>'Transmission Line Construct SC'!#REF!</f>
        <v>#REF!</v>
      </c>
      <c r="K57" s="98" t="e">
        <f>'Transmission Line Construct SC'!#REF!</f>
        <v>#REF!</v>
      </c>
      <c r="L57" s="98" t="e">
        <f>'Transmission Line Construct SC'!#REF!</f>
        <v>#REF!</v>
      </c>
      <c r="M57" s="98" t="e">
        <f>'Transmission Line Construct SC'!#REF!</f>
        <v>#REF!</v>
      </c>
      <c r="N57" s="98" t="e">
        <f>'Transmission Line Construct SC'!#REF!</f>
        <v>#REF!</v>
      </c>
      <c r="O57" s="98" t="e">
        <f>'Transmission Line Construct SC'!#REF!</f>
        <v>#REF!</v>
      </c>
      <c r="P57" s="98" t="e">
        <f>'Transmission Line Construct SC'!#REF!</f>
        <v>#REF!</v>
      </c>
      <c r="Q57" s="98" t="e">
        <f>'Transmission Line Construct SC'!#REF!</f>
        <v>#REF!</v>
      </c>
      <c r="R57" s="98" t="e">
        <f>'Transmission Line Construct SC'!#REF!</f>
        <v>#REF!</v>
      </c>
      <c r="S57" s="98" t="e">
        <f>'Transmission Line Construct SC'!#REF!</f>
        <v>#REF!</v>
      </c>
    </row>
    <row r="58" spans="1:19" hidden="1" x14ac:dyDescent="0.25">
      <c r="A58" t="s">
        <v>122</v>
      </c>
      <c r="B58" s="98" t="e">
        <f>'Transmission Line Construct SC'!#REF!</f>
        <v>#REF!</v>
      </c>
      <c r="C58" s="98" t="e">
        <f>'Transmission Line Construct SC'!#REF!</f>
        <v>#REF!</v>
      </c>
      <c r="D58" s="98" t="e">
        <f>'Transmission Line Construct SC'!#REF!</f>
        <v>#REF!</v>
      </c>
      <c r="E58" s="98" t="e">
        <f>'Transmission Line Construct SC'!#REF!</f>
        <v>#REF!</v>
      </c>
      <c r="F58" s="98" t="e">
        <f>'Transmission Line Construct SC'!#REF!</f>
        <v>#REF!</v>
      </c>
      <c r="G58" s="98" t="e">
        <f>'Transmission Line Construct SC'!#REF!</f>
        <v>#REF!</v>
      </c>
      <c r="H58" s="98" t="e">
        <f>'Transmission Line Construct SC'!#REF!</f>
        <v>#REF!</v>
      </c>
      <c r="I58" s="98" t="e">
        <f>'Transmission Line Construct SC'!#REF!</f>
        <v>#REF!</v>
      </c>
      <c r="J58" s="98" t="e">
        <f>'Transmission Line Construct SC'!#REF!</f>
        <v>#REF!</v>
      </c>
      <c r="K58" s="98" t="e">
        <f>'Transmission Line Construct SC'!#REF!</f>
        <v>#REF!</v>
      </c>
      <c r="L58" s="98" t="e">
        <f>'Transmission Line Construct SC'!#REF!</f>
        <v>#REF!</v>
      </c>
      <c r="M58" s="98" t="e">
        <f>'Transmission Line Construct SC'!#REF!</f>
        <v>#REF!</v>
      </c>
      <c r="N58" s="98" t="e">
        <f>'Transmission Line Construct SC'!#REF!</f>
        <v>#REF!</v>
      </c>
      <c r="O58" s="98" t="e">
        <f>'Transmission Line Construct SC'!#REF!</f>
        <v>#REF!</v>
      </c>
      <c r="P58" s="98" t="e">
        <f>'Transmission Line Construct SC'!#REF!</f>
        <v>#REF!</v>
      </c>
      <c r="Q58" s="98" t="e">
        <f>'Transmission Line Construct SC'!#REF!</f>
        <v>#REF!</v>
      </c>
      <c r="R58" s="98" t="e">
        <f>'Transmission Line Construct SC'!#REF!</f>
        <v>#REF!</v>
      </c>
      <c r="S58" s="98" t="e">
        <f>'Transmission Line Construct SC'!#REF!</f>
        <v>#REF!</v>
      </c>
    </row>
    <row r="59" spans="1:19" hidden="1" x14ac:dyDescent="0.25">
      <c r="A59" s="3" t="s">
        <v>123</v>
      </c>
      <c r="B59" s="103" t="e">
        <f>'Transmission Line Construct SC'!#REF!</f>
        <v>#REF!</v>
      </c>
      <c r="C59" s="103" t="e">
        <f>'Transmission Line Construct SC'!#REF!</f>
        <v>#REF!</v>
      </c>
      <c r="D59" s="103" t="e">
        <f>'Transmission Line Construct SC'!#REF!</f>
        <v>#REF!</v>
      </c>
      <c r="E59" s="103" t="e">
        <f>'Transmission Line Construct SC'!#REF!</f>
        <v>#REF!</v>
      </c>
      <c r="F59" s="103" t="e">
        <f>'Transmission Line Construct SC'!#REF!</f>
        <v>#REF!</v>
      </c>
      <c r="G59" s="103" t="e">
        <f>'Transmission Line Construct SC'!#REF!</f>
        <v>#REF!</v>
      </c>
      <c r="H59" s="103" t="e">
        <f>'Transmission Line Construct SC'!#REF!</f>
        <v>#REF!</v>
      </c>
      <c r="I59" s="103" t="e">
        <f>'Transmission Line Construct SC'!#REF!</f>
        <v>#REF!</v>
      </c>
      <c r="J59" s="103" t="e">
        <f>'Transmission Line Construct SC'!#REF!</f>
        <v>#REF!</v>
      </c>
      <c r="K59" s="103" t="e">
        <f>'Transmission Line Construct SC'!#REF!</f>
        <v>#REF!</v>
      </c>
      <c r="L59" s="103" t="e">
        <f>'Transmission Line Construct SC'!#REF!</f>
        <v>#REF!</v>
      </c>
      <c r="M59" s="103" t="e">
        <f>'Transmission Line Construct SC'!#REF!</f>
        <v>#REF!</v>
      </c>
      <c r="N59" s="103" t="e">
        <f>'Transmission Line Construct SC'!#REF!</f>
        <v>#REF!</v>
      </c>
      <c r="O59" s="103" t="e">
        <f>'Transmission Line Construct SC'!#REF!</f>
        <v>#REF!</v>
      </c>
      <c r="P59" s="103" t="e">
        <f>'Transmission Line Construct SC'!#REF!</f>
        <v>#REF!</v>
      </c>
      <c r="Q59" s="103" t="e">
        <f>'Transmission Line Construct SC'!#REF!</f>
        <v>#REF!</v>
      </c>
      <c r="R59" s="103" t="e">
        <f>'Transmission Line Construct SC'!#REF!</f>
        <v>#REF!</v>
      </c>
      <c r="S59" s="103" t="e">
        <f>'Transmission Line Construct SC'!#REF!</f>
        <v>#REF!</v>
      </c>
    </row>
    <row r="60" spans="1:19" hidden="1" x14ac:dyDescent="0.25">
      <c r="A60" s="3" t="s">
        <v>339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 hidden="1" x14ac:dyDescent="0.25">
      <c r="A61" t="s">
        <v>75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 hidden="1" x14ac:dyDescent="0.25">
      <c r="A62" t="s">
        <v>119</v>
      </c>
      <c r="B62" s="98">
        <f>'Equipment Trans Talega Seg 4 23'!Q19+'Equipment Trans Talega Seg 4 23'!Q26</f>
        <v>10.573920197837824</v>
      </c>
      <c r="C62" s="98">
        <f>'Equipment Trans Talega Seg 4 23'!R19+'Equipment Trans Talega Seg 4 23'!R26</f>
        <v>44.244993856164179</v>
      </c>
      <c r="D62" s="98">
        <f>'Equipment Trans Talega Seg 4 23'!S19+'Equipment Trans Talega Seg 4 23'!S26</f>
        <v>85.737394220241626</v>
      </c>
      <c r="E62" s="98">
        <f>'Equipment Trans Talega Seg 4 23'!T19+'Equipment Trans Talega Seg 4 23'!T26</f>
        <v>0.1487513827033628</v>
      </c>
      <c r="F62" s="98">
        <f>'Equipment Trans Talega Seg 4 23'!U19+'Equipment Trans Talega Seg 4 23'!U26</f>
        <v>3.3229130154916553</v>
      </c>
      <c r="G62" s="98">
        <f>'Equipment Trans Talega Seg 4 23'!V19+'Equipment Trans Talega Seg 4 23'!V26</f>
        <v>2.957392583787573</v>
      </c>
      <c r="H62" s="98">
        <f>'Equipment Trans Talega Seg 4 23'!W19+'Equipment Trans Talega Seg 4 23'!W26</f>
        <v>13877.804562409867</v>
      </c>
      <c r="I62" s="98">
        <f>'Equipment Trans Talega Seg 4 23'!X19+'Equipment Trans Talega Seg 4 23'!X26</f>
        <v>0.99372122613022951</v>
      </c>
      <c r="J62" s="98">
        <f>'Equipment Trans Talega Seg 4 23'!Y19+'Equipment Trans Talega Seg 4 23'!Y26</f>
        <v>8.1450524509229556</v>
      </c>
      <c r="K62" s="98">
        <f>'Equipment Trans Talega Seg 4 23'!E65+'Equipment Trans Talega Seg 4 23'!E72</f>
        <v>0.16253387828226218</v>
      </c>
      <c r="L62" s="98">
        <f>'Equipment Trans Talega Seg 4 23'!F65+'Equipment Trans Talega Seg 4 23'!F72</f>
        <v>0.66890064955669826</v>
      </c>
      <c r="M62" s="98">
        <f>'Equipment Trans Talega Seg 4 23'!G65+'Equipment Trans Talega Seg 4 23'!G72</f>
        <v>1.3134677028583459</v>
      </c>
      <c r="N62" s="98">
        <f>'Equipment Trans Talega Seg 4 23'!H65+'Equipment Trans Talega Seg 4 23'!H72</f>
        <v>2.4631212497317951E-3</v>
      </c>
      <c r="O62" s="98">
        <f>'Equipment Trans Talega Seg 4 23'!I65+'Equipment Trans Talega Seg 4 23'!I72</f>
        <v>4.956859309436449E-2</v>
      </c>
      <c r="P62" s="98">
        <f>'Equipment Trans Talega Seg 4 23'!J65+'Equipment Trans Talega Seg 4 23'!J72</f>
        <v>4.4116047853984396E-2</v>
      </c>
      <c r="Q62" s="98">
        <f>'Equipment Trans Talega Seg 4 23'!K65+'Equipment Trans Talega Seg 4 23'!K72</f>
        <v>224.48687779990229</v>
      </c>
      <c r="R62" s="98">
        <f>'Equipment Trans Talega Seg 4 23'!L65+'Equipment Trans Talega Seg 4 23'!L72</f>
        <v>1.5271022146888039E-2</v>
      </c>
      <c r="S62" s="98">
        <f>'Equipment Trans Talega Seg 4 23'!M65+'Equipment Trans Talega Seg 4 23'!M72</f>
        <v>0.12477943177154285</v>
      </c>
    </row>
    <row r="63" spans="1:19" hidden="1" x14ac:dyDescent="0.25">
      <c r="A63" t="s">
        <v>120</v>
      </c>
      <c r="B63" s="98" t="e">
        <f>'Transmission Line Construct SC'!#REF!</f>
        <v>#REF!</v>
      </c>
      <c r="C63" s="98" t="e">
        <f>'Transmission Line Construct SC'!#REF!</f>
        <v>#REF!</v>
      </c>
      <c r="D63" s="98" t="e">
        <f>'Transmission Line Construct SC'!#REF!</f>
        <v>#REF!</v>
      </c>
      <c r="E63" s="98" t="e">
        <f>'Transmission Line Construct SC'!#REF!</f>
        <v>#REF!</v>
      </c>
      <c r="F63" s="98" t="e">
        <f>'Transmission Line Construct SC'!#REF!</f>
        <v>#REF!</v>
      </c>
      <c r="G63" s="98" t="e">
        <f>'Transmission Line Construct SC'!#REF!</f>
        <v>#REF!</v>
      </c>
      <c r="H63" s="98" t="e">
        <f>'Transmission Line Construct SC'!#REF!</f>
        <v>#REF!</v>
      </c>
      <c r="I63" s="98" t="e">
        <f>'Transmission Line Construct SC'!#REF!</f>
        <v>#REF!</v>
      </c>
      <c r="J63" s="98" t="e">
        <f>'Transmission Line Construct SC'!#REF!</f>
        <v>#REF!</v>
      </c>
      <c r="K63" s="98" t="e">
        <f>'Transmission Line Construct SC'!#REF!</f>
        <v>#REF!</v>
      </c>
      <c r="L63" s="98" t="e">
        <f>'Transmission Line Construct SC'!#REF!</f>
        <v>#REF!</v>
      </c>
      <c r="M63" s="98" t="e">
        <f>'Transmission Line Construct SC'!#REF!</f>
        <v>#REF!</v>
      </c>
      <c r="N63" s="98" t="e">
        <f>'Transmission Line Construct SC'!#REF!</f>
        <v>#REF!</v>
      </c>
      <c r="O63" s="98" t="e">
        <f>'Transmission Line Construct SC'!#REF!</f>
        <v>#REF!</v>
      </c>
      <c r="P63" s="98" t="e">
        <f>'Transmission Line Construct SC'!#REF!</f>
        <v>#REF!</v>
      </c>
      <c r="Q63" s="98" t="e">
        <f>'Transmission Line Construct SC'!#REF!</f>
        <v>#REF!</v>
      </c>
      <c r="R63" s="98" t="e">
        <f>'Transmission Line Construct SC'!#REF!</f>
        <v>#REF!</v>
      </c>
      <c r="S63" s="98" t="e">
        <f>'Transmission Line Construct SC'!#REF!</f>
        <v>#REF!</v>
      </c>
    </row>
    <row r="64" spans="1:19" hidden="1" x14ac:dyDescent="0.25">
      <c r="A64" t="s">
        <v>121</v>
      </c>
      <c r="B64" s="98" t="e">
        <f>'Transmission Line Construct SC'!#REF!</f>
        <v>#REF!</v>
      </c>
      <c r="C64" s="98" t="e">
        <f>'Transmission Line Construct SC'!#REF!</f>
        <v>#REF!</v>
      </c>
      <c r="D64" s="98" t="e">
        <f>'Transmission Line Construct SC'!#REF!</f>
        <v>#REF!</v>
      </c>
      <c r="E64" s="98" t="e">
        <f>'Transmission Line Construct SC'!#REF!</f>
        <v>#REF!</v>
      </c>
      <c r="F64" s="98" t="e">
        <f>'Transmission Line Construct SC'!#REF!</f>
        <v>#REF!</v>
      </c>
      <c r="G64" s="98" t="e">
        <f>'Transmission Line Construct SC'!#REF!</f>
        <v>#REF!</v>
      </c>
      <c r="H64" s="98" t="e">
        <f>'Transmission Line Construct SC'!#REF!</f>
        <v>#REF!</v>
      </c>
      <c r="I64" s="98" t="e">
        <f>'Transmission Line Construct SC'!#REF!</f>
        <v>#REF!</v>
      </c>
      <c r="J64" s="98" t="e">
        <f>'Transmission Line Construct SC'!#REF!</f>
        <v>#REF!</v>
      </c>
      <c r="K64" s="98" t="e">
        <f>'Transmission Line Construct SC'!#REF!</f>
        <v>#REF!</v>
      </c>
      <c r="L64" s="98" t="e">
        <f>'Transmission Line Construct SC'!#REF!</f>
        <v>#REF!</v>
      </c>
      <c r="M64" s="98" t="e">
        <f>'Transmission Line Construct SC'!#REF!</f>
        <v>#REF!</v>
      </c>
      <c r="N64" s="98" t="e">
        <f>'Transmission Line Construct SC'!#REF!</f>
        <v>#REF!</v>
      </c>
      <c r="O64" s="98" t="e">
        <f>'Transmission Line Construct SC'!#REF!</f>
        <v>#REF!</v>
      </c>
      <c r="P64" s="98" t="e">
        <f>'Transmission Line Construct SC'!#REF!</f>
        <v>#REF!</v>
      </c>
      <c r="Q64" s="98" t="e">
        <f>'Transmission Line Construct SC'!#REF!</f>
        <v>#REF!</v>
      </c>
      <c r="R64" s="98" t="e">
        <f>'Transmission Line Construct SC'!#REF!</f>
        <v>#REF!</v>
      </c>
      <c r="S64" s="98" t="e">
        <f>'Transmission Line Construct SC'!#REF!</f>
        <v>#REF!</v>
      </c>
    </row>
    <row r="65" spans="1:19" hidden="1" x14ac:dyDescent="0.25">
      <c r="A65" t="s">
        <v>122</v>
      </c>
      <c r="B65" s="98" t="e">
        <f>'Transmission Line Construct SC'!#REF!</f>
        <v>#REF!</v>
      </c>
      <c r="C65" s="98" t="e">
        <f>'Transmission Line Construct SC'!#REF!</f>
        <v>#REF!</v>
      </c>
      <c r="D65" s="98" t="e">
        <f>'Transmission Line Construct SC'!#REF!</f>
        <v>#REF!</v>
      </c>
      <c r="E65" s="98" t="e">
        <f>'Transmission Line Construct SC'!#REF!</f>
        <v>#REF!</v>
      </c>
      <c r="F65" s="98" t="e">
        <f>'Transmission Line Construct SC'!#REF!</f>
        <v>#REF!</v>
      </c>
      <c r="G65" s="98" t="e">
        <f>'Transmission Line Construct SC'!#REF!</f>
        <v>#REF!</v>
      </c>
      <c r="H65" s="98" t="e">
        <f>'Transmission Line Construct SC'!#REF!</f>
        <v>#REF!</v>
      </c>
      <c r="I65" s="98" t="e">
        <f>'Transmission Line Construct SC'!#REF!</f>
        <v>#REF!</v>
      </c>
      <c r="J65" s="98" t="e">
        <f>'Transmission Line Construct SC'!#REF!</f>
        <v>#REF!</v>
      </c>
      <c r="K65" s="98" t="e">
        <f>'Transmission Line Construct SC'!#REF!</f>
        <v>#REF!</v>
      </c>
      <c r="L65" s="98" t="e">
        <f>'Transmission Line Construct SC'!#REF!</f>
        <v>#REF!</v>
      </c>
      <c r="M65" s="98" t="e">
        <f>'Transmission Line Construct SC'!#REF!</f>
        <v>#REF!</v>
      </c>
      <c r="N65" s="98" t="e">
        <f>'Transmission Line Construct SC'!#REF!</f>
        <v>#REF!</v>
      </c>
      <c r="O65" s="98" t="e">
        <f>'Transmission Line Construct SC'!#REF!</f>
        <v>#REF!</v>
      </c>
      <c r="P65" s="98" t="e">
        <f>'Transmission Line Construct SC'!#REF!</f>
        <v>#REF!</v>
      </c>
      <c r="Q65" s="98" t="e">
        <f>'Transmission Line Construct SC'!#REF!</f>
        <v>#REF!</v>
      </c>
      <c r="R65" s="98" t="e">
        <f>'Transmission Line Construct SC'!#REF!</f>
        <v>#REF!</v>
      </c>
      <c r="S65" s="98" t="e">
        <f>'Transmission Line Construct SC'!#REF!</f>
        <v>#REF!</v>
      </c>
    </row>
    <row r="66" spans="1:19" hidden="1" x14ac:dyDescent="0.25">
      <c r="A66" s="3" t="s">
        <v>123</v>
      </c>
      <c r="B66" s="103" t="e">
        <f>'Transmission Line Construct SC'!#REF!</f>
        <v>#REF!</v>
      </c>
      <c r="C66" s="103" t="e">
        <f>'Transmission Line Construct SC'!#REF!</f>
        <v>#REF!</v>
      </c>
      <c r="D66" s="103" t="e">
        <f>'Transmission Line Construct SC'!#REF!</f>
        <v>#REF!</v>
      </c>
      <c r="E66" s="103" t="e">
        <f>'Transmission Line Construct SC'!#REF!</f>
        <v>#REF!</v>
      </c>
      <c r="F66" s="103" t="e">
        <f>'Transmission Line Construct SC'!#REF!</f>
        <v>#REF!</v>
      </c>
      <c r="G66" s="103" t="e">
        <f>'Transmission Line Construct SC'!#REF!</f>
        <v>#REF!</v>
      </c>
      <c r="H66" s="103" t="e">
        <f>'Transmission Line Construct SC'!#REF!</f>
        <v>#REF!</v>
      </c>
      <c r="I66" s="103" t="e">
        <f>'Transmission Line Construct SC'!#REF!</f>
        <v>#REF!</v>
      </c>
      <c r="J66" s="103" t="e">
        <f>'Transmission Line Construct SC'!#REF!</f>
        <v>#REF!</v>
      </c>
      <c r="K66" s="103" t="e">
        <f>'Transmission Line Construct SC'!#REF!</f>
        <v>#REF!</v>
      </c>
      <c r="L66" s="103" t="e">
        <f>'Transmission Line Construct SC'!#REF!</f>
        <v>#REF!</v>
      </c>
      <c r="M66" s="103" t="e">
        <f>'Transmission Line Construct SC'!#REF!</f>
        <v>#REF!</v>
      </c>
      <c r="N66" s="103" t="e">
        <f>'Transmission Line Construct SC'!#REF!</f>
        <v>#REF!</v>
      </c>
      <c r="O66" s="103" t="e">
        <f>'Transmission Line Construct SC'!#REF!</f>
        <v>#REF!</v>
      </c>
      <c r="P66" s="103" t="e">
        <f>'Transmission Line Construct SC'!#REF!</f>
        <v>#REF!</v>
      </c>
      <c r="Q66" s="103" t="e">
        <f>'Transmission Line Construct SC'!#REF!</f>
        <v>#REF!</v>
      </c>
      <c r="R66" s="103" t="e">
        <f>'Transmission Line Construct SC'!#REF!</f>
        <v>#REF!</v>
      </c>
      <c r="S66" s="103" t="e">
        <f>'Transmission Line Construct SC'!#REF!</f>
        <v>#REF!</v>
      </c>
    </row>
    <row r="67" spans="1:19" hidden="1" x14ac:dyDescent="0.25">
      <c r="A67" s="3" t="s">
        <v>346</v>
      </c>
      <c r="B67" s="103" t="e">
        <f>B38+B45+B52+B59+B66</f>
        <v>#REF!</v>
      </c>
      <c r="C67" s="103" t="e">
        <f t="shared" ref="C67:S67" si="11">C38+C45+C52+C59+C66</f>
        <v>#REF!</v>
      </c>
      <c r="D67" s="103" t="e">
        <f t="shared" si="11"/>
        <v>#REF!</v>
      </c>
      <c r="E67" s="103" t="e">
        <f t="shared" si="11"/>
        <v>#REF!</v>
      </c>
      <c r="F67" s="103" t="e">
        <f t="shared" si="11"/>
        <v>#REF!</v>
      </c>
      <c r="G67" s="103" t="e">
        <f t="shared" si="11"/>
        <v>#REF!</v>
      </c>
      <c r="H67" s="103" t="e">
        <f t="shared" si="11"/>
        <v>#REF!</v>
      </c>
      <c r="I67" s="103" t="e">
        <f t="shared" si="11"/>
        <v>#REF!</v>
      </c>
      <c r="J67" s="103" t="e">
        <f t="shared" si="11"/>
        <v>#REF!</v>
      </c>
      <c r="K67" s="103" t="e">
        <f t="shared" si="11"/>
        <v>#REF!</v>
      </c>
      <c r="L67" s="103" t="e">
        <f t="shared" si="11"/>
        <v>#REF!</v>
      </c>
      <c r="M67" s="103" t="e">
        <f t="shared" si="11"/>
        <v>#REF!</v>
      </c>
      <c r="N67" s="103" t="e">
        <f t="shared" si="11"/>
        <v>#REF!</v>
      </c>
      <c r="O67" s="103" t="e">
        <f t="shared" si="11"/>
        <v>#REF!</v>
      </c>
      <c r="P67" s="103" t="e">
        <f t="shared" si="11"/>
        <v>#REF!</v>
      </c>
      <c r="Q67" s="103" t="e">
        <f t="shared" si="11"/>
        <v>#REF!</v>
      </c>
      <c r="R67" s="103" t="e">
        <f t="shared" si="11"/>
        <v>#REF!</v>
      </c>
      <c r="S67" s="103" t="e">
        <f t="shared" si="11"/>
        <v>#REF!</v>
      </c>
    </row>
    <row r="68" spans="1:19" hidden="1" x14ac:dyDescent="0.25">
      <c r="A68" s="97" t="s">
        <v>344</v>
      </c>
      <c r="B68">
        <v>75</v>
      </c>
      <c r="C68">
        <v>100</v>
      </c>
      <c r="D68">
        <v>550</v>
      </c>
      <c r="E68">
        <v>150</v>
      </c>
      <c r="F68">
        <v>150</v>
      </c>
      <c r="G68">
        <v>55</v>
      </c>
      <c r="H68" s="97" t="s">
        <v>345</v>
      </c>
      <c r="I68" s="97" t="s">
        <v>345</v>
      </c>
      <c r="J68" s="97" t="s">
        <v>345</v>
      </c>
      <c r="K68" s="97" t="s">
        <v>345</v>
      </c>
      <c r="L68" s="97" t="s">
        <v>345</v>
      </c>
      <c r="M68" s="97" t="s">
        <v>345</v>
      </c>
      <c r="N68" s="97" t="s">
        <v>345</v>
      </c>
      <c r="O68" s="97" t="s">
        <v>345</v>
      </c>
      <c r="P68" s="97" t="s">
        <v>345</v>
      </c>
      <c r="Q68" s="97" t="s">
        <v>345</v>
      </c>
      <c r="R68" s="97" t="s">
        <v>345</v>
      </c>
      <c r="S68" s="97" t="s">
        <v>345</v>
      </c>
    </row>
    <row r="69" spans="1:19" hidden="1" x14ac:dyDescent="0.25"/>
    <row r="70" spans="1:19" hidden="1" x14ac:dyDescent="0.25"/>
    <row r="71" spans="1:19" hidden="1" x14ac:dyDescent="0.25"/>
    <row r="72" spans="1:19" hidden="1" x14ac:dyDescent="0.25"/>
    <row r="73" spans="1:19" hidden="1" x14ac:dyDescent="0.25"/>
    <row r="74" spans="1:19" hidden="1" x14ac:dyDescent="0.25"/>
    <row r="75" spans="1:19" hidden="1" x14ac:dyDescent="0.25"/>
    <row r="76" spans="1:19" hidden="1" x14ac:dyDescent="0.25"/>
    <row r="77" spans="1:19" hidden="1" x14ac:dyDescent="0.25"/>
    <row r="78" spans="1:19" hidden="1" x14ac:dyDescent="0.25"/>
    <row r="79" spans="1:19" hidden="1" x14ac:dyDescent="0.25"/>
    <row r="80" spans="1:19" s="580" customFormat="1" x14ac:dyDescent="0.25">
      <c r="A80" s="3" t="s">
        <v>338</v>
      </c>
    </row>
    <row r="81" spans="1:19" s="580" customFormat="1" x14ac:dyDescent="0.25">
      <c r="A81" s="601" t="s">
        <v>644</v>
      </c>
    </row>
    <row r="82" spans="1:19" s="580" customFormat="1" x14ac:dyDescent="0.25">
      <c r="A82" s="585">
        <v>2015</v>
      </c>
    </row>
    <row r="83" spans="1:19" s="580" customFormat="1" ht="39.6" x14ac:dyDescent="0.25">
      <c r="A83" s="19" t="s">
        <v>132</v>
      </c>
      <c r="B83" s="16" t="s">
        <v>18</v>
      </c>
      <c r="C83" s="16" t="s">
        <v>19</v>
      </c>
      <c r="D83" s="16" t="s">
        <v>20</v>
      </c>
      <c r="E83" s="16" t="s">
        <v>21</v>
      </c>
      <c r="F83" s="16" t="s">
        <v>22</v>
      </c>
      <c r="G83" s="16" t="s">
        <v>23</v>
      </c>
      <c r="H83" s="17" t="s">
        <v>24</v>
      </c>
      <c r="I83" s="16" t="s">
        <v>25</v>
      </c>
      <c r="J83" s="16" t="s">
        <v>26</v>
      </c>
      <c r="K83" s="18" t="s">
        <v>27</v>
      </c>
      <c r="L83" s="18" t="s">
        <v>28</v>
      </c>
      <c r="M83" s="18" t="s">
        <v>29</v>
      </c>
      <c r="N83" s="18" t="s">
        <v>30</v>
      </c>
      <c r="O83" s="18" t="s">
        <v>31</v>
      </c>
      <c r="P83" s="18" t="s">
        <v>32</v>
      </c>
      <c r="Q83" s="17" t="s">
        <v>33</v>
      </c>
      <c r="R83" s="18" t="s">
        <v>34</v>
      </c>
      <c r="S83" s="18" t="s">
        <v>35</v>
      </c>
    </row>
    <row r="84" spans="1:19" s="580" customFormat="1" x14ac:dyDescent="0.25">
      <c r="A84" s="19" t="s">
        <v>640</v>
      </c>
      <c r="B84" s="16"/>
      <c r="C84" s="16"/>
      <c r="D84" s="16"/>
      <c r="E84" s="16"/>
      <c r="F84" s="16"/>
      <c r="G84" s="16"/>
      <c r="H84" s="17"/>
      <c r="I84" s="16"/>
      <c r="J84" s="16"/>
      <c r="K84" s="18"/>
      <c r="L84" s="18"/>
      <c r="M84" s="18"/>
      <c r="N84" s="18"/>
      <c r="O84" s="18"/>
      <c r="P84" s="18"/>
      <c r="Q84" s="17"/>
      <c r="R84" s="18"/>
      <c r="S84" s="18"/>
    </row>
    <row r="85" spans="1:19" s="580" customFormat="1" x14ac:dyDescent="0.25">
      <c r="A85" s="27" t="s">
        <v>75</v>
      </c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</row>
    <row r="86" spans="1:19" s="580" customFormat="1" x14ac:dyDescent="0.25">
      <c r="A86" s="27" t="s">
        <v>119</v>
      </c>
      <c r="B86" s="215">
        <f>'Substation Construction SC'!B28</f>
        <v>35.218648862800876</v>
      </c>
      <c r="C86" s="215">
        <f>'Substation Construction SC'!C28</f>
        <v>121.38165018571409</v>
      </c>
      <c r="D86" s="215">
        <f>'Substation Construction SC'!D28</f>
        <v>283.93582306139115</v>
      </c>
      <c r="E86" s="215">
        <f>'Substation Construction SC'!E28</f>
        <v>0.49619112473670252</v>
      </c>
      <c r="F86" s="215">
        <f>'Substation Construction SC'!F28</f>
        <v>10.014185880111226</v>
      </c>
      <c r="G86" s="215">
        <f>'Substation Construction SC'!G28</f>
        <v>8.912625433298988</v>
      </c>
      <c r="H86" s="215">
        <f>'Substation Construction SC'!H28</f>
        <v>45785.24924502131</v>
      </c>
      <c r="I86" s="215">
        <f>'Substation Construction SC'!I28</f>
        <v>3.3086321239501006</v>
      </c>
      <c r="J86" s="215">
        <f>'Substation Construction SC'!J28</f>
        <v>26.973903190832161</v>
      </c>
      <c r="K86" s="215">
        <f>'Substation Construction SC'!K28</f>
        <v>2.065161615647384</v>
      </c>
      <c r="L86" s="215">
        <f>'Substation Construction SC'!L28</f>
        <v>6.9775870722264504</v>
      </c>
      <c r="M86" s="215">
        <f>'Substation Construction SC'!M28</f>
        <v>16.596991795885277</v>
      </c>
      <c r="N86" s="215">
        <f>'Substation Construction SC'!N28</f>
        <v>2.9829135927033009E-2</v>
      </c>
      <c r="O86" s="215">
        <f>'Substation Construction SC'!O28</f>
        <v>0.57833453076437513</v>
      </c>
      <c r="P86" s="215">
        <f>'Substation Construction SC'!P28</f>
        <v>0.51471773238029384</v>
      </c>
      <c r="Q86" s="215">
        <f>'Substation Construction SC'!Q28</f>
        <v>2724.3856601830958</v>
      </c>
      <c r="R86" s="215">
        <f>'Substation Construction SC'!R28</f>
        <v>0.19398533031386819</v>
      </c>
      <c r="S86" s="215">
        <f>'Substation Construction SC'!S28</f>
        <v>1.5767142206091014</v>
      </c>
    </row>
    <row r="87" spans="1:19" s="580" customFormat="1" x14ac:dyDescent="0.25">
      <c r="A87" s="27" t="s">
        <v>120</v>
      </c>
      <c r="B87" s="215">
        <f>'Substation Construction SC'!B29</f>
        <v>0.65511805175905713</v>
      </c>
      <c r="C87" s="215">
        <f>'Substation Construction SC'!C29</f>
        <v>6.7054812850475116</v>
      </c>
      <c r="D87" s="215">
        <f>'Substation Construction SC'!D29</f>
        <v>0.60504306214685344</v>
      </c>
      <c r="E87" s="215">
        <f>'Substation Construction SC'!E29</f>
        <v>7.9777146299521585E-3</v>
      </c>
      <c r="F87" s="215">
        <f>'Substation Construction SC'!F29</f>
        <v>0.18827082191907141</v>
      </c>
      <c r="G87" s="215">
        <f>'Substation Construction SC'!G29</f>
        <v>6.1849162068781334E-2</v>
      </c>
      <c r="H87" s="215">
        <f>'Substation Construction SC'!H29</f>
        <v>642.86953798786374</v>
      </c>
      <c r="I87" s="215">
        <f>'Substation Construction SC'!I29</f>
        <v>3.48936441957894E-2</v>
      </c>
      <c r="J87" s="215">
        <f>'Substation Construction SC'!J29</f>
        <v>6.3490421675329631E-2</v>
      </c>
      <c r="K87" s="215">
        <f>'Substation Construction SC'!K29</f>
        <v>0.22128088240656787</v>
      </c>
      <c r="L87" s="215">
        <f>'Substation Construction SC'!L29</f>
        <v>1.9966421050846166E-2</v>
      </c>
      <c r="M87" s="215">
        <f>'Substation Construction SC'!M29</f>
        <v>2.1618895708048886E-2</v>
      </c>
      <c r="N87" s="215">
        <f>'Substation Construction SC'!N29</f>
        <v>2.6326458278842123E-4</v>
      </c>
      <c r="O87" s="215">
        <f>'Substation Construction SC'!O29</f>
        <v>6.2129371233293554E-3</v>
      </c>
      <c r="P87" s="215">
        <f>'Substation Construction SC'!P29</f>
        <v>2.0410223482697841E-3</v>
      </c>
      <c r="Q87" s="215">
        <f>'Substation Construction SC'!Q29</f>
        <v>21.214694753599503</v>
      </c>
      <c r="R87" s="215">
        <f>'Substation Construction SC'!R29</f>
        <v>1.1514902584610503E-3</v>
      </c>
      <c r="S87" s="215">
        <f>'Substation Construction SC'!S29</f>
        <v>2.0951839152858779E-3</v>
      </c>
    </row>
    <row r="88" spans="1:19" s="580" customFormat="1" x14ac:dyDescent="0.25">
      <c r="A88" s="27" t="s">
        <v>121</v>
      </c>
      <c r="B88" s="215">
        <f>'Substation Construction SC'!B30</f>
        <v>0.48550298534550068</v>
      </c>
      <c r="C88" s="215">
        <f>'Substation Construction SC'!C30</f>
        <v>2.0238559714269715</v>
      </c>
      <c r="D88" s="215">
        <f>'Substation Construction SC'!D30</f>
        <v>10.864067120886034</v>
      </c>
      <c r="E88" s="215">
        <f>'Substation Construction SC'!E30</f>
        <v>1.88925117396768E-2</v>
      </c>
      <c r="F88" s="215">
        <f>'Substation Construction SC'!F30</f>
        <v>0.39122815847050274</v>
      </c>
      <c r="G88" s="215">
        <f>'Substation Construction SC'!G30</f>
        <v>0.20814360315230343</v>
      </c>
      <c r="H88" s="215">
        <f>'Substation Construction SC'!H30</f>
        <v>3061.0942475167976</v>
      </c>
      <c r="I88" s="215">
        <f>'Substation Construction SC'!I30</f>
        <v>0.17492010858585233</v>
      </c>
      <c r="J88" s="215">
        <f>'Substation Construction SC'!J30</f>
        <v>7.8412990244390274E-2</v>
      </c>
      <c r="K88" s="215">
        <f>'Substation Construction SC'!K30</f>
        <v>3.204319703280304E-2</v>
      </c>
      <c r="L88" s="215">
        <f>'Substation Construction SC'!L30</f>
        <v>0.13357449411418013</v>
      </c>
      <c r="M88" s="215">
        <f>'Substation Construction SC'!M30</f>
        <v>0.71702842997847827</v>
      </c>
      <c r="N88" s="215">
        <f>'Substation Construction SC'!N30</f>
        <v>1.2469057748186686E-3</v>
      </c>
      <c r="O88" s="215">
        <f>'Substation Construction SC'!O30</f>
        <v>2.5821058459053182E-2</v>
      </c>
      <c r="P88" s="215">
        <f>'Substation Construction SC'!P30</f>
        <v>1.3737477808052028E-2</v>
      </c>
      <c r="Q88" s="215">
        <f>'Substation Construction SC'!Q30</f>
        <v>202.03222033610865</v>
      </c>
      <c r="R88" s="215">
        <f>'Substation Construction SC'!R30</f>
        <v>1.1544727166666255E-2</v>
      </c>
      <c r="S88" s="215">
        <f>'Substation Construction SC'!S30</f>
        <v>5.1752573561297576E-3</v>
      </c>
    </row>
    <row r="89" spans="1:19" s="580" customFormat="1" x14ac:dyDescent="0.25">
      <c r="A89" s="27" t="s">
        <v>122</v>
      </c>
      <c r="B89" s="215">
        <f>'Substation Construction SC'!B31</f>
        <v>0</v>
      </c>
      <c r="C89" s="215">
        <f>'Substation Construction SC'!C31</f>
        <v>0</v>
      </c>
      <c r="D89" s="215">
        <f>'Substation Construction SC'!D31</f>
        <v>0</v>
      </c>
      <c r="E89" s="215">
        <f>'Substation Construction SC'!E31</f>
        <v>0</v>
      </c>
      <c r="F89" s="215">
        <f>'Substation Construction SC'!F31</f>
        <v>72.850973023881437</v>
      </c>
      <c r="G89" s="215">
        <f>'Substation Construction SC'!G31</f>
        <v>20.510624021291605</v>
      </c>
      <c r="H89" s="215">
        <f>'Substation Construction SC'!H31</f>
        <v>0</v>
      </c>
      <c r="I89" s="215">
        <f>'Substation Construction SC'!I31</f>
        <v>0</v>
      </c>
      <c r="J89" s="215">
        <f>'Substation Construction SC'!J31</f>
        <v>0</v>
      </c>
      <c r="K89" s="215">
        <f>'Substation Construction SC'!K31</f>
        <v>0</v>
      </c>
      <c r="L89" s="215">
        <f>'Substation Construction SC'!L31</f>
        <v>0</v>
      </c>
      <c r="M89" s="215">
        <f>'Substation Construction SC'!M31</f>
        <v>0</v>
      </c>
      <c r="N89" s="215">
        <f>'Substation Construction SC'!N31</f>
        <v>0</v>
      </c>
      <c r="O89" s="215">
        <f>'Substation Construction SC'!O31</f>
        <v>8.1748884391523493</v>
      </c>
      <c r="P89" s="215">
        <f>'Substation Construction SC'!P31</f>
        <v>2.4046999708104915</v>
      </c>
      <c r="Q89" s="215">
        <f>'Substation Construction SC'!Q31</f>
        <v>0</v>
      </c>
      <c r="R89" s="215">
        <f>'Substation Construction SC'!R31</f>
        <v>0</v>
      </c>
      <c r="S89" s="215">
        <f>'Substation Construction SC'!S31</f>
        <v>0</v>
      </c>
    </row>
    <row r="90" spans="1:19" s="580" customFormat="1" x14ac:dyDescent="0.25">
      <c r="A90" s="19" t="s">
        <v>123</v>
      </c>
      <c r="B90" s="22">
        <f>SUM(B86:B89)</f>
        <v>36.359269899905428</v>
      </c>
      <c r="C90" s="22">
        <f t="shared" ref="C90:S90" si="12">SUM(C86:C89)</f>
        <v>130.11098744218859</v>
      </c>
      <c r="D90" s="22">
        <f t="shared" si="12"/>
        <v>295.40493324442406</v>
      </c>
      <c r="E90" s="22">
        <f t="shared" si="12"/>
        <v>0.52306135110633145</v>
      </c>
      <c r="F90" s="22">
        <f t="shared" si="12"/>
        <v>83.444657884382238</v>
      </c>
      <c r="G90" s="22">
        <f t="shared" si="12"/>
        <v>29.69324221981168</v>
      </c>
      <c r="H90" s="22">
        <f t="shared" si="12"/>
        <v>49489.213030525971</v>
      </c>
      <c r="I90" s="22">
        <f t="shared" si="12"/>
        <v>3.5184458767317426</v>
      </c>
      <c r="J90" s="22">
        <f t="shared" si="12"/>
        <v>27.115806602751881</v>
      </c>
      <c r="K90" s="22">
        <f t="shared" si="12"/>
        <v>2.3184856950867552</v>
      </c>
      <c r="L90" s="22">
        <f t="shared" si="12"/>
        <v>7.1311279873914764</v>
      </c>
      <c r="M90" s="22">
        <f t="shared" si="12"/>
        <v>17.335639121571802</v>
      </c>
      <c r="N90" s="22">
        <f t="shared" si="12"/>
        <v>3.13393062846401E-2</v>
      </c>
      <c r="O90" s="22">
        <f t="shared" si="12"/>
        <v>8.7852569654991068</v>
      </c>
      <c r="P90" s="22">
        <f t="shared" si="12"/>
        <v>2.9351962033471071</v>
      </c>
      <c r="Q90" s="22">
        <f t="shared" si="12"/>
        <v>2947.6325752728039</v>
      </c>
      <c r="R90" s="22">
        <f t="shared" si="12"/>
        <v>0.2066815477389955</v>
      </c>
      <c r="S90" s="22">
        <f t="shared" si="12"/>
        <v>1.5839846618805169</v>
      </c>
    </row>
    <row r="91" spans="1:19" s="580" customFormat="1" x14ac:dyDescent="0.25">
      <c r="A91" s="19" t="s">
        <v>641</v>
      </c>
      <c r="B91" s="215"/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</row>
    <row r="92" spans="1:19" s="580" customFormat="1" x14ac:dyDescent="0.25">
      <c r="A92" s="27" t="str">
        <f>'Substation Construction SC'!A112</f>
        <v>Emissions, lbs/day</v>
      </c>
      <c r="B92" s="215"/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</row>
    <row r="93" spans="1:19" s="580" customFormat="1" x14ac:dyDescent="0.25">
      <c r="A93" s="27" t="s">
        <v>119</v>
      </c>
      <c r="B93" s="215">
        <f>'Transmission Line Construct SC'!B5+'Transmission Line Construct SC'!B16+'Transmission Line Construct SC'!B27+'Transmission Line Construct SC'!B39</f>
        <v>46.168438156974872</v>
      </c>
      <c r="C93" s="215">
        <f>'Transmission Line Construct SC'!C5+'Transmission Line Construct SC'!C16+'Transmission Line Construct SC'!C27+'Transmission Line Construct SC'!C39</f>
        <v>184.92405122914005</v>
      </c>
      <c r="D93" s="215">
        <f>'Transmission Line Construct SC'!D5+'Transmission Line Construct SC'!D16+'Transmission Line Construct SC'!D27+'Transmission Line Construct SC'!D39</f>
        <v>371.9996824258929</v>
      </c>
      <c r="E93" s="215">
        <f>'Transmission Line Construct SC'!E5+'Transmission Line Construct SC'!E16+'Transmission Line Construct SC'!E27+'Transmission Line Construct SC'!E39</f>
        <v>0.63796367513449193</v>
      </c>
      <c r="F93" s="215">
        <f>'Transmission Line Construct SC'!F5+'Transmission Line Construct SC'!F16+'Transmission Line Construct SC'!F27+'Transmission Line Construct SC'!F39</f>
        <v>14.62106216538092</v>
      </c>
      <c r="G93" s="215">
        <f>'Transmission Line Construct SC'!G5+'Transmission Line Construct SC'!G16+'Transmission Line Construct SC'!G27+'Transmission Line Construct SC'!G39</f>
        <v>13.012745327189018</v>
      </c>
      <c r="H93" s="215">
        <f>'Transmission Line Construct SC'!H5+'Transmission Line Construct SC'!H16+'Transmission Line Construct SC'!H27+'Transmission Line Construct SC'!H39</f>
        <v>60269.40343282446</v>
      </c>
      <c r="I93" s="215">
        <f>'Transmission Line Construct SC'!I5+'Transmission Line Construct SC'!I16+'Transmission Line Construct SC'!I27+'Transmission Line Construct SC'!I39</f>
        <v>4.3388909261379611</v>
      </c>
      <c r="J93" s="215">
        <f>'Transmission Line Construct SC'!J5+'Transmission Line Construct SC'!J16+'Transmission Line Construct SC'!J27+'Transmission Line Construct SC'!J39</f>
        <v>35.339969830459829</v>
      </c>
      <c r="K93" s="215">
        <f>'Transmission Line Construct SC'!K5+'Transmission Line Construct SC'!K16+'Transmission Line Construct SC'!K27+'Transmission Line Construct SC'!K39</f>
        <v>1.0769599149752127</v>
      </c>
      <c r="L93" s="215">
        <f>'Transmission Line Construct SC'!L5+'Transmission Line Construct SC'!L16+'Transmission Line Construct SC'!L27+'Transmission Line Construct SC'!L39</f>
        <v>4.3160095019558664</v>
      </c>
      <c r="M93" s="215">
        <f>'Transmission Line Construct SC'!M5+'Transmission Line Construct SC'!M16+'Transmission Line Construct SC'!M27+'Transmission Line Construct SC'!M39</f>
        <v>8.5016816970540496</v>
      </c>
      <c r="N93" s="215">
        <f>'Transmission Line Construct SC'!N5+'Transmission Line Construct SC'!N16+'Transmission Line Construct SC'!N27+'Transmission Line Construct SC'!N39</f>
        <v>1.5074430338877618E-2</v>
      </c>
      <c r="O93" s="215">
        <f>'Transmission Line Construct SC'!O5+'Transmission Line Construct SC'!O16+'Transmission Line Construct SC'!O27+'Transmission Line Construct SC'!O39</f>
        <v>0.3498045862507656</v>
      </c>
      <c r="P93" s="215">
        <f>'Transmission Line Construct SC'!P5+'Transmission Line Construct SC'!P16+'Transmission Line Construct SC'!P27+'Transmission Line Construct SC'!P39</f>
        <v>0.31132608176318138</v>
      </c>
      <c r="Q93" s="215">
        <f>'Transmission Line Construct SC'!Q5+'Transmission Line Construct SC'!Q16+'Transmission Line Construct SC'!Q27+'Transmission Line Construct SC'!Q39</f>
        <v>1394.1492041796553</v>
      </c>
      <c r="R93" s="215">
        <f>'Transmission Line Construct SC'!R5+'Transmission Line Construct SC'!R16+'Transmission Line Construct SC'!R27+'Transmission Line Construct SC'!R39</f>
        <v>0.10124466386696564</v>
      </c>
      <c r="S93" s="215">
        <f>'Transmission Line Construct SC'!S5+'Transmission Line Construct SC'!S16+'Transmission Line Construct SC'!S27+'Transmission Line Construct SC'!S39</f>
        <v>0.80765976122013461</v>
      </c>
    </row>
    <row r="94" spans="1:19" s="580" customFormat="1" x14ac:dyDescent="0.25">
      <c r="A94" s="27" t="s">
        <v>120</v>
      </c>
      <c r="B94" s="215">
        <f>'Transmission Line Construct SC'!B6+'Transmission Line Construct SC'!B17+'Transmission Line Construct SC'!B28+'Transmission Line Construct SC'!B40</f>
        <v>3.8526599281152301</v>
      </c>
      <c r="C94" s="215">
        <f>'Transmission Line Construct SC'!C6+'Transmission Line Construct SC'!C17+'Transmission Line Construct SC'!C28+'Transmission Line Construct SC'!C40</f>
        <v>39.434021053552826</v>
      </c>
      <c r="D94" s="215">
        <f>'Transmission Line Construct SC'!D6+'Transmission Line Construct SC'!D17+'Transmission Line Construct SC'!D28+'Transmission Line Construct SC'!D40</f>
        <v>3.5581757426135336</v>
      </c>
      <c r="E94" s="215">
        <f>'Transmission Line Construct SC'!E6+'Transmission Line Construct SC'!E17+'Transmission Line Construct SC'!E28+'Transmission Line Construct SC'!E40</f>
        <v>4.6915851868571848E-2</v>
      </c>
      <c r="F94" s="215">
        <f>'Transmission Line Construct SC'!F6+'Transmission Line Construct SC'!F17+'Transmission Line Construct SC'!F28+'Transmission Line Construct SC'!F40</f>
        <v>1.1071950304121607</v>
      </c>
      <c r="G94" s="215">
        <f>'Transmission Line Construct SC'!G6+'Transmission Line Construct SC'!G17+'Transmission Line Construct SC'!G28+'Transmission Line Construct SC'!G40</f>
        <v>0.47290402579019686</v>
      </c>
      <c r="H94" s="215">
        <f>'Transmission Line Construct SC'!H6+'Transmission Line Construct SC'!H17+'Transmission Line Construct SC'!H28+'Transmission Line Construct SC'!H40</f>
        <v>3780.6280888787196</v>
      </c>
      <c r="I94" s="215">
        <f>'Transmission Line Construct SC'!I6+'Transmission Line Construct SC'!I17+'Transmission Line Construct SC'!I28+'Transmission Line Construct SC'!I40</f>
        <v>0.20520476329122894</v>
      </c>
      <c r="J94" s="215">
        <f>'Transmission Line Construct SC'!J6+'Transmission Line Construct SC'!J17+'Transmission Line Construct SC'!J28+'Transmission Line Construct SC'!J40</f>
        <v>0.37337851208783968</v>
      </c>
      <c r="K94" s="215">
        <f>'Transmission Line Construct SC'!K6+'Transmission Line Construct SC'!K17+'Transmission Line Construct SC'!K28+'Transmission Line Construct SC'!K40</f>
        <v>0.12713777762780257</v>
      </c>
      <c r="L94" s="215">
        <f>'Transmission Line Construct SC'!L6+'Transmission Line Construct SC'!L17+'Transmission Line Construct SC'!L28+'Transmission Line Construct SC'!L40</f>
        <v>1.3013226947672432</v>
      </c>
      <c r="M94" s="215">
        <f>'Transmission Line Construct SC'!M6+'Transmission Line Construct SC'!M17+'Transmission Line Construct SC'!M28+'Transmission Line Construct SC'!M40</f>
        <v>0.11741979950624662</v>
      </c>
      <c r="N94" s="215">
        <f>'Transmission Line Construct SC'!N6+'Transmission Line Construct SC'!N17+'Transmission Line Construct SC'!N28+'Transmission Line Construct SC'!N40</f>
        <v>1.5482231116628708E-3</v>
      </c>
      <c r="O94" s="215">
        <f>'Transmission Line Construct SC'!O6+'Transmission Line Construct SC'!O17+'Transmission Line Construct SC'!O28+'Transmission Line Construct SC'!O40</f>
        <v>3.6537436003601306E-2</v>
      </c>
      <c r="P94" s="215">
        <f>'Transmission Line Construct SC'!P6+'Transmission Line Construct SC'!P17+'Transmission Line Construct SC'!P28+'Transmission Line Construct SC'!P40</f>
        <v>1.5605832851076498E-2</v>
      </c>
      <c r="Q94" s="215">
        <f>'Transmission Line Construct SC'!Q6+'Transmission Line Construct SC'!Q17+'Transmission Line Construct SC'!Q28+'Transmission Line Construct SC'!Q40</f>
        <v>124.76072693299774</v>
      </c>
      <c r="R94" s="215">
        <f>'Transmission Line Construct SC'!R6+'Transmission Line Construct SC'!R17+'Transmission Line Construct SC'!R28+'Transmission Line Construct SC'!R40</f>
        <v>6.7717571886105558E-3</v>
      </c>
      <c r="S94" s="215">
        <f>'Transmission Line Construct SC'!S6+'Transmission Line Construct SC'!S17+'Transmission Line Construct SC'!S28+'Transmission Line Construct SC'!S40</f>
        <v>1.232149089889871E-2</v>
      </c>
    </row>
    <row r="95" spans="1:19" s="580" customFormat="1" x14ac:dyDescent="0.25">
      <c r="A95" s="27" t="s">
        <v>121</v>
      </c>
      <c r="B95" s="215">
        <f>'Transmission Line Construct SC'!B7+'Transmission Line Construct SC'!B18+'Transmission Line Construct SC'!B29+'Transmission Line Construct SC'!B41</f>
        <v>2.6372183287591895</v>
      </c>
      <c r="C95" s="215">
        <f>'Transmission Line Construct SC'!C7+'Transmission Line Construct SC'!C18+'Transmission Line Construct SC'!C29+'Transmission Line Construct SC'!C41</f>
        <v>11.262889452713267</v>
      </c>
      <c r="D95" s="215">
        <f>'Transmission Line Construct SC'!D7+'Transmission Line Construct SC'!D18+'Transmission Line Construct SC'!D29+'Transmission Line Construct SC'!D41</f>
        <v>53.62090165386013</v>
      </c>
      <c r="E95" s="215">
        <f>'Transmission Line Construct SC'!E7+'Transmission Line Construct SC'!E18+'Transmission Line Construct SC'!E29+'Transmission Line Construct SC'!E41</f>
        <v>9.6584439915147785E-2</v>
      </c>
      <c r="F95" s="215">
        <f>'Transmission Line Construct SC'!F7+'Transmission Line Construct SC'!F18+'Transmission Line Construct SC'!F29+'Transmission Line Construct SC'!F41</f>
        <v>2.3002915093166494</v>
      </c>
      <c r="G95" s="215">
        <f>'Transmission Line Construct SC'!G7+'Transmission Line Construct SC'!G18+'Transmission Line Construct SC'!G29+'Transmission Line Construct SC'!G41</f>
        <v>1.2858022705909371</v>
      </c>
      <c r="H95" s="215">
        <f>'Transmission Line Construct SC'!H7+'Transmission Line Construct SC'!H18+'Transmission Line Construct SC'!H29+'Transmission Line Construct SC'!H41</f>
        <v>15285.913510158251</v>
      </c>
      <c r="I95" s="215">
        <f>'Transmission Line Construct SC'!I7+'Transmission Line Construct SC'!I18+'Transmission Line Construct SC'!I29+'Transmission Line Construct SC'!I41</f>
        <v>0.8734829557109729</v>
      </c>
      <c r="J95" s="215">
        <f>'Transmission Line Construct SC'!J7+'Transmission Line Construct SC'!J18+'Transmission Line Construct SC'!J29+'Transmission Line Construct SC'!J41</f>
        <v>0.39156396047621372</v>
      </c>
      <c r="K95" s="215">
        <f>'Transmission Line Construct SC'!K7+'Transmission Line Construct SC'!K18+'Transmission Line Construct SC'!K29+'Transmission Line Construct SC'!K41</f>
        <v>8.4335458006257996E-2</v>
      </c>
      <c r="L95" s="215">
        <f>'Transmission Line Construct SC'!L7+'Transmission Line Construct SC'!L18+'Transmission Line Construct SC'!L29+'Transmission Line Construct SC'!L41</f>
        <v>0.36934212035937131</v>
      </c>
      <c r="M95" s="215">
        <f>'Transmission Line Construct SC'!M7+'Transmission Line Construct SC'!M18+'Transmission Line Construct SC'!M29+'Transmission Line Construct SC'!M41</f>
        <v>1.5312999052150293</v>
      </c>
      <c r="N95" s="215">
        <f>'Transmission Line Construct SC'!N7+'Transmission Line Construct SC'!N18+'Transmission Line Construct SC'!N29+'Transmission Line Construct SC'!N41</f>
        <v>2.8832368649074807E-3</v>
      </c>
      <c r="O95" s="215">
        <f>'Transmission Line Construct SC'!O7+'Transmission Line Construct SC'!O18+'Transmission Line Construct SC'!O29+'Transmission Line Construct SC'!O41</f>
        <v>7.9520275929549966E-2</v>
      </c>
      <c r="P95" s="215">
        <f>'Transmission Line Construct SC'!P7+'Transmission Line Construct SC'!P18+'Transmission Line Construct SC'!P29+'Transmission Line Construct SC'!P41</f>
        <v>4.6398011996456177E-2</v>
      </c>
      <c r="Q95" s="215">
        <f>'Transmission Line Construct SC'!Q7+'Transmission Line Construct SC'!Q18+'Transmission Line Construct SC'!Q29+'Transmission Line Construct SC'!Q41</f>
        <v>443.18007472934028</v>
      </c>
      <c r="R95" s="215">
        <f>'Transmission Line Construct SC'!R7+'Transmission Line Construct SC'!R18+'Transmission Line Construct SC'!R29+'Transmission Line Construct SC'!R41</f>
        <v>2.5324639010258693E-2</v>
      </c>
      <c r="S95" s="215">
        <f>'Transmission Line Construct SC'!S7+'Transmission Line Construct SC'!S18+'Transmission Line Construct SC'!S29+'Transmission Line Construct SC'!S41</f>
        <v>1.1352500794266781E-2</v>
      </c>
    </row>
    <row r="96" spans="1:19" s="612" customFormat="1" x14ac:dyDescent="0.25">
      <c r="A96" s="27" t="s">
        <v>656</v>
      </c>
      <c r="B96" s="215">
        <f>'Transmission Line Construct SC'!B30</f>
        <v>12.830799050242181</v>
      </c>
      <c r="C96" s="215">
        <f>'Transmission Line Construct SC'!C30</f>
        <v>66.887438003316817</v>
      </c>
      <c r="D96" s="215">
        <f>'Transmission Line Construct SC'!D30</f>
        <v>66.887438003316817</v>
      </c>
      <c r="E96" s="215">
        <f>'Transmission Line Construct SC'!E30</f>
        <v>12.314722567340549</v>
      </c>
      <c r="F96" s="215">
        <f>'Transmission Line Construct SC'!F30</f>
        <v>22.109244879957675</v>
      </c>
      <c r="G96" s="215">
        <f>'Transmission Line Construct SC'!G30</f>
        <v>22.109244879957675</v>
      </c>
      <c r="H96" s="215">
        <f>'Transmission Line Construct SC'!H30</f>
        <v>30084.642801206399</v>
      </c>
      <c r="I96" s="215">
        <f>'Transmission Line Construct SC'!I30</f>
        <v>0</v>
      </c>
      <c r="J96" s="215">
        <f>'Transmission Line Construct SC'!J30</f>
        <v>0</v>
      </c>
      <c r="K96" s="215">
        <f>'Transmission Line Construct SC'!K30</f>
        <v>0.12830799050242181</v>
      </c>
      <c r="L96" s="215">
        <f>'Transmission Line Construct SC'!L30</f>
        <v>0.66887438003316801</v>
      </c>
      <c r="M96" s="215">
        <f>'Transmission Line Construct SC'!M30</f>
        <v>0.66887438003316801</v>
      </c>
      <c r="N96" s="215">
        <f>'Transmission Line Construct SC'!N30</f>
        <v>0.1231472256734055</v>
      </c>
      <c r="O96" s="215">
        <f>'Transmission Line Construct SC'!O30</f>
        <v>0.22109244879957674</v>
      </c>
      <c r="P96" s="215">
        <f>'Transmission Line Construct SC'!P30</f>
        <v>0.22109244879957674</v>
      </c>
      <c r="Q96" s="215">
        <f>'Transmission Line Construct SC'!Q30</f>
        <v>300.846428012064</v>
      </c>
      <c r="R96" s="215">
        <f>'Transmission Line Construct SC'!R30</f>
        <v>0</v>
      </c>
      <c r="S96" s="215">
        <f>'Transmission Line Construct SC'!S30</f>
        <v>0</v>
      </c>
    </row>
    <row r="97" spans="1:19" s="580" customFormat="1" x14ac:dyDescent="0.25">
      <c r="A97" s="27" t="s">
        <v>122</v>
      </c>
      <c r="B97" s="215">
        <f>'Transmission Line Construct SC'!B8+'Transmission Line Construct SC'!B19+'Transmission Line Construct SC'!B31+'Transmission Line Construct SC'!B42</f>
        <v>0</v>
      </c>
      <c r="C97" s="215">
        <f>'Transmission Line Construct SC'!C8+'Transmission Line Construct SC'!C19+'Transmission Line Construct SC'!C31+'Transmission Line Construct SC'!C42</f>
        <v>0</v>
      </c>
      <c r="D97" s="215">
        <f>'Transmission Line Construct SC'!D8+'Transmission Line Construct SC'!D19+'Transmission Line Construct SC'!D31+'Transmission Line Construct SC'!D42</f>
        <v>0</v>
      </c>
      <c r="E97" s="215">
        <f>'Transmission Line Construct SC'!E8+'Transmission Line Construct SC'!E19+'Transmission Line Construct SC'!E31+'Transmission Line Construct SC'!E42</f>
        <v>0</v>
      </c>
      <c r="F97" s="215">
        <f>'Transmission Line Construct SC'!F8+'Transmission Line Construct SC'!F19+'Transmission Line Construct SC'!F31+'Transmission Line Construct SC'!F42</f>
        <v>325.42060762929759</v>
      </c>
      <c r="G97" s="215">
        <f>'Transmission Line Construct SC'!G8+'Transmission Line Construct SC'!G19+'Transmission Line Construct SC'!G31+'Transmission Line Construct SC'!G42</f>
        <v>97.108515187932909</v>
      </c>
      <c r="H97" s="215">
        <f>'Transmission Line Construct SC'!H8+'Transmission Line Construct SC'!H19+'Transmission Line Construct SC'!H31+'Transmission Line Construct SC'!H42</f>
        <v>0</v>
      </c>
      <c r="I97" s="215">
        <f>'Transmission Line Construct SC'!I8+'Transmission Line Construct SC'!I19+'Transmission Line Construct SC'!I31+'Transmission Line Construct SC'!I42</f>
        <v>0</v>
      </c>
      <c r="J97" s="215">
        <f>'Transmission Line Construct SC'!J8+'Transmission Line Construct SC'!J19+'Transmission Line Construct SC'!J31+'Transmission Line Construct SC'!J42</f>
        <v>0</v>
      </c>
      <c r="K97" s="215">
        <f>'Transmission Line Construct SC'!K8+'Transmission Line Construct SC'!K19+'Transmission Line Construct SC'!K31+'Transmission Line Construct SC'!K42</f>
        <v>0</v>
      </c>
      <c r="L97" s="215">
        <f>'Transmission Line Construct SC'!L8+'Transmission Line Construct SC'!L19+'Transmission Line Construct SC'!L31+'Transmission Line Construct SC'!L42</f>
        <v>0</v>
      </c>
      <c r="M97" s="215">
        <f>'Transmission Line Construct SC'!M8+'Transmission Line Construct SC'!M19+'Transmission Line Construct SC'!M31+'Transmission Line Construct SC'!M42</f>
        <v>0</v>
      </c>
      <c r="N97" s="215">
        <f>'Transmission Line Construct SC'!N8+'Transmission Line Construct SC'!N19+'Transmission Line Construct SC'!N31+'Transmission Line Construct SC'!N42</f>
        <v>0</v>
      </c>
      <c r="O97" s="215">
        <f>'Transmission Line Construct SC'!O8+'Transmission Line Construct SC'!O19+'Transmission Line Construct SC'!O31+'Transmission Line Construct SC'!O42</f>
        <v>13.331023512538122</v>
      </c>
      <c r="P97" s="215">
        <f>'Transmission Line Construct SC'!P8+'Transmission Line Construct SC'!P19+'Transmission Line Construct SC'!P31+'Transmission Line Construct SC'!P42</f>
        <v>3.9781005532160107</v>
      </c>
      <c r="Q97" s="215">
        <f>'Transmission Line Construct SC'!Q8+'Transmission Line Construct SC'!Q19+'Transmission Line Construct SC'!Q31+'Transmission Line Construct SC'!Q42</f>
        <v>0</v>
      </c>
      <c r="R97" s="215">
        <f>'Transmission Line Construct SC'!R8+'Transmission Line Construct SC'!R19+'Transmission Line Construct SC'!R31+'Transmission Line Construct SC'!R42</f>
        <v>0</v>
      </c>
      <c r="S97" s="215">
        <f>'Transmission Line Construct SC'!S8+'Transmission Line Construct SC'!S19+'Transmission Line Construct SC'!S31+'Transmission Line Construct SC'!S42</f>
        <v>0</v>
      </c>
    </row>
    <row r="98" spans="1:19" s="580" customFormat="1" x14ac:dyDescent="0.25">
      <c r="A98" s="19" t="s">
        <v>123</v>
      </c>
      <c r="B98" s="22">
        <f>SUM(B93:B97)</f>
        <v>65.489115464091469</v>
      </c>
      <c r="C98" s="22">
        <f t="shared" ref="C98:S98" si="13">SUM(C93:C97)</f>
        <v>302.50839973872297</v>
      </c>
      <c r="D98" s="22">
        <f t="shared" si="13"/>
        <v>496.06619782568339</v>
      </c>
      <c r="E98" s="22">
        <f t="shared" si="13"/>
        <v>13.096186534258761</v>
      </c>
      <c r="F98" s="22">
        <f t="shared" si="13"/>
        <v>365.55840121436501</v>
      </c>
      <c r="G98" s="22">
        <f t="shared" si="13"/>
        <v>133.98921169146075</v>
      </c>
      <c r="H98" s="22">
        <f t="shared" si="13"/>
        <v>109420.58783306782</v>
      </c>
      <c r="I98" s="22">
        <f t="shared" si="13"/>
        <v>5.4175786451401624</v>
      </c>
      <c r="J98" s="22">
        <f t="shared" si="13"/>
        <v>36.10491230302388</v>
      </c>
      <c r="K98" s="22">
        <f t="shared" si="13"/>
        <v>1.4167411411116952</v>
      </c>
      <c r="L98" s="22">
        <f t="shared" si="13"/>
        <v>6.6555486971156492</v>
      </c>
      <c r="M98" s="22">
        <f t="shared" si="13"/>
        <v>10.819275781808493</v>
      </c>
      <c r="N98" s="22">
        <f t="shared" si="13"/>
        <v>0.14265311598885347</v>
      </c>
      <c r="O98" s="22">
        <f t="shared" si="13"/>
        <v>14.017978259521616</v>
      </c>
      <c r="P98" s="22">
        <f t="shared" si="13"/>
        <v>4.5725229286263014</v>
      </c>
      <c r="Q98" s="22">
        <f t="shared" si="13"/>
        <v>2262.9364338540572</v>
      </c>
      <c r="R98" s="22">
        <f t="shared" si="13"/>
        <v>0.1333410600658349</v>
      </c>
      <c r="S98" s="22">
        <f t="shared" si="13"/>
        <v>0.83133375291330003</v>
      </c>
    </row>
    <row r="99" spans="1:19" s="580" customFormat="1" x14ac:dyDescent="0.25">
      <c r="A99" s="19" t="s">
        <v>642</v>
      </c>
      <c r="B99" s="215"/>
      <c r="C99" s="215"/>
      <c r="D99" s="215"/>
      <c r="E99" s="215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</row>
    <row r="100" spans="1:19" s="580" customFormat="1" x14ac:dyDescent="0.25">
      <c r="A100" s="213" t="s">
        <v>75</v>
      </c>
      <c r="B100" s="215"/>
      <c r="C100" s="215"/>
      <c r="D100" s="215"/>
      <c r="E100" s="215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</row>
    <row r="101" spans="1:19" s="580" customFormat="1" x14ac:dyDescent="0.25">
      <c r="A101" s="213" t="s">
        <v>119</v>
      </c>
      <c r="B101" s="215">
        <f>'Distribution Line Construction'!B4</f>
        <v>8.076541964514206</v>
      </c>
      <c r="C101" s="215">
        <f>'Distribution Line Construction'!C4</f>
        <v>31.086316392538752</v>
      </c>
      <c r="D101" s="215">
        <f>'Distribution Line Construction'!D4</f>
        <v>58.472401686628174</v>
      </c>
      <c r="E101" s="215">
        <f>'Distribution Line Construction'!E4</f>
        <v>0.10166004820491668</v>
      </c>
      <c r="F101" s="215">
        <f>'Distribution Line Construction'!F4</f>
        <v>2.8290924617045459</v>
      </c>
      <c r="G101" s="215">
        <f>'Distribution Line Construction'!G4</f>
        <v>2.5178922909170458</v>
      </c>
      <c r="H101" s="215">
        <f>'Distribution Line Construction'!H4</f>
        <v>8871.5862150720732</v>
      </c>
      <c r="I101" s="215">
        <f>'Distribution Line Construction'!I4</f>
        <v>0.75643225415866733</v>
      </c>
      <c r="J101" s="215">
        <f>'Distribution Line Construction'!J4</f>
        <v>5.554878160229678</v>
      </c>
      <c r="K101" s="215">
        <f>'Distribution Line Construction'!K4</f>
        <v>0.14154457546339841</v>
      </c>
      <c r="L101" s="215">
        <f>'Distribution Line Construction'!L4</f>
        <v>0.56899452111709625</v>
      </c>
      <c r="M101" s="215">
        <f>'Distribution Line Construction'!M4</f>
        <v>1.0398399548117214</v>
      </c>
      <c r="N101" s="215">
        <f>'Distribution Line Construction'!N4</f>
        <v>1.7938433875911064E-3</v>
      </c>
      <c r="O101" s="215">
        <f>'Distribution Line Construction'!O4</f>
        <v>5.2732462980333891E-2</v>
      </c>
      <c r="P101" s="215">
        <f>'Distribution Line Construction'!P4</f>
        <v>4.6931892052497169E-2</v>
      </c>
      <c r="Q101" s="215">
        <f>'Distribution Line Construction'!Q4</f>
        <v>156.1901970885952</v>
      </c>
      <c r="R101" s="215">
        <f>'Distribution Line Construction'!R4</f>
        <v>1.3290334534613464E-2</v>
      </c>
      <c r="S101" s="215">
        <f>'Distribution Line Construction'!S4</f>
        <v>9.8784795707113543E-2</v>
      </c>
    </row>
    <row r="102" spans="1:19" s="580" customFormat="1" x14ac:dyDescent="0.25">
      <c r="A102" s="213" t="s">
        <v>120</v>
      </c>
      <c r="B102" s="215">
        <f>'Distribution Line Construction'!B5</f>
        <v>0.42105684827324247</v>
      </c>
      <c r="C102" s="215">
        <f>'Distribution Line Construction'!C5</f>
        <v>9.14383811597388</v>
      </c>
      <c r="D102" s="215">
        <f>'Distribution Line Construction'!D5</f>
        <v>0.82505872110934553</v>
      </c>
      <c r="E102" s="215">
        <f>'Distribution Line Construction'!E5</f>
        <v>1.087870176811658E-2</v>
      </c>
      <c r="F102" s="215">
        <f>'Distribution Line Construction'!F5</f>
        <v>0.25673293898055188</v>
      </c>
      <c r="G102" s="215">
        <f>'Distribution Line Construction'!G5</f>
        <v>0.10965551421564478</v>
      </c>
      <c r="H102" s="215">
        <f>'Distribution Line Construction'!H5</f>
        <v>876.64027907435968</v>
      </c>
      <c r="I102" s="215">
        <f>'Distribution Line Construction'!I5</f>
        <v>4.758224208516737E-2</v>
      </c>
      <c r="J102" s="215">
        <f>'Distribution Line Construction'!J5</f>
        <v>8.6577847739085875E-2</v>
      </c>
      <c r="K102" s="215">
        <f>'Distribution Line Construction'!K5</f>
        <v>5.0291109637856338E-2</v>
      </c>
      <c r="L102" s="215">
        <f>'Distribution Line Construction'!L5</f>
        <v>4.5378229661013998E-3</v>
      </c>
      <c r="M102" s="215">
        <f>'Distribution Line Construction'!M5</f>
        <v>2.3158126655028334E-3</v>
      </c>
      <c r="N102" s="215">
        <f>'Distribution Line Construction'!N5</f>
        <v>5.9832859724641188E-5</v>
      </c>
      <c r="O102" s="215">
        <f>'Distribution Line Construction'!O5</f>
        <v>1.4120311643930354E-3</v>
      </c>
      <c r="P102" s="215">
        <f>'Distribution Line Construction'!P5</f>
        <v>6.0310532818604631E-4</v>
      </c>
      <c r="Q102" s="215">
        <f>'Distribution Line Construction'!Q5</f>
        <v>4.8215215349089782</v>
      </c>
      <c r="R102" s="215">
        <f>'Distribution Line Construction'!R5</f>
        <v>2.6170233146842052E-4</v>
      </c>
      <c r="S102" s="215">
        <f>'Distribution Line Construction'!S5</f>
        <v>4.7617816256497229E-4</v>
      </c>
    </row>
    <row r="103" spans="1:19" s="580" customFormat="1" x14ac:dyDescent="0.25">
      <c r="A103" s="213" t="s">
        <v>121</v>
      </c>
      <c r="B103" s="215">
        <f>'Distribution Line Construction'!B6</f>
        <v>0.35232434949445984</v>
      </c>
      <c r="C103" s="215">
        <f>'Distribution Line Construction'!C6</f>
        <v>1.5649211249505588</v>
      </c>
      <c r="D103" s="215">
        <f>'Distribution Line Construction'!D6</f>
        <v>5.9582405153027187</v>
      </c>
      <c r="E103" s="215">
        <f>'Distribution Line Construction'!E6</f>
        <v>1.1553535714373807E-2</v>
      </c>
      <c r="F103" s="215">
        <f>'Distribution Line Construction'!F6</f>
        <v>0.34646991804176447</v>
      </c>
      <c r="G103" s="215">
        <f>'Distribution Line Construction'!G6</f>
        <v>0.20646929281182336</v>
      </c>
      <c r="H103" s="215">
        <f>'Distribution Line Construction'!H6</f>
        <v>1742.2118102146922</v>
      </c>
      <c r="I103" s="215">
        <f>'Distribution Line Construction'!I6</f>
        <v>9.9555209471098138E-2</v>
      </c>
      <c r="J103" s="215">
        <f>'Distribution Line Construction'!J6</f>
        <v>4.462849773045955E-2</v>
      </c>
      <c r="K103" s="215">
        <f>'Distribution Line Construction'!K6</f>
        <v>1.9377839222195291E-2</v>
      </c>
      <c r="L103" s="215">
        <f>'Distribution Line Construction'!L6</f>
        <v>8.607066187228074E-2</v>
      </c>
      <c r="M103" s="215">
        <f>'Distribution Line Construction'!M6</f>
        <v>0.3277032283416495</v>
      </c>
      <c r="N103" s="215">
        <f>'Distribution Line Construction'!N6</f>
        <v>6.3544446429055943E-4</v>
      </c>
      <c r="O103" s="215">
        <f>'Distribution Line Construction'!O6</f>
        <v>1.9055845492297045E-2</v>
      </c>
      <c r="P103" s="215">
        <f>'Distribution Line Construction'!P6</f>
        <v>1.1355811104650285E-2</v>
      </c>
      <c r="Q103" s="215">
        <f>'Distribution Line Construction'!Q6</f>
        <v>95.821649561808059</v>
      </c>
      <c r="R103" s="215">
        <f>'Distribution Line Construction'!R6</f>
        <v>5.4755365209103969E-3</v>
      </c>
      <c r="S103" s="215">
        <f>'Distribution Line Construction'!S6</f>
        <v>2.4545673751752753E-3</v>
      </c>
    </row>
    <row r="104" spans="1:19" s="580" customFormat="1" x14ac:dyDescent="0.25">
      <c r="A104" s="19" t="s">
        <v>123</v>
      </c>
      <c r="B104" s="22">
        <f t="shared" ref="B104:S104" si="14">SUM(B101:B103)</f>
        <v>8.8499231622819075</v>
      </c>
      <c r="C104" s="22">
        <f t="shared" si="14"/>
        <v>41.795075633463192</v>
      </c>
      <c r="D104" s="22">
        <f t="shared" si="14"/>
        <v>65.255700923040237</v>
      </c>
      <c r="E104" s="22">
        <f t="shared" si="14"/>
        <v>0.12409228568740707</v>
      </c>
      <c r="F104" s="22">
        <f t="shared" si="14"/>
        <v>3.4322953187268621</v>
      </c>
      <c r="G104" s="22">
        <f t="shared" si="14"/>
        <v>2.8340170979445141</v>
      </c>
      <c r="H104" s="22">
        <f t="shared" si="14"/>
        <v>11490.438304361125</v>
      </c>
      <c r="I104" s="22">
        <f t="shared" si="14"/>
        <v>0.90356970571493278</v>
      </c>
      <c r="J104" s="22">
        <f t="shared" si="14"/>
        <v>5.686084505699224</v>
      </c>
      <c r="K104" s="22">
        <f t="shared" si="14"/>
        <v>0.21121352432345006</v>
      </c>
      <c r="L104" s="22">
        <f t="shared" si="14"/>
        <v>0.65960300595547838</v>
      </c>
      <c r="M104" s="22">
        <f t="shared" si="14"/>
        <v>1.3698589958188736</v>
      </c>
      <c r="N104" s="22">
        <f t="shared" si="14"/>
        <v>2.4891207116063069E-3</v>
      </c>
      <c r="O104" s="22">
        <f t="shared" si="14"/>
        <v>7.3200339637023965E-2</v>
      </c>
      <c r="P104" s="22">
        <f t="shared" si="14"/>
        <v>5.8890808485333498E-2</v>
      </c>
      <c r="Q104" s="22">
        <f t="shared" si="14"/>
        <v>256.83336818531222</v>
      </c>
      <c r="R104" s="22">
        <f t="shared" si="14"/>
        <v>1.9027573386992281E-2</v>
      </c>
      <c r="S104" s="22">
        <f t="shared" si="14"/>
        <v>0.10171554124485378</v>
      </c>
    </row>
    <row r="105" spans="1:19" s="580" customFormat="1" x14ac:dyDescent="0.25">
      <c r="A105" s="19" t="s">
        <v>643</v>
      </c>
      <c r="B105" s="22">
        <f t="shared" ref="B105:S105" si="15">B90+B98+B104</f>
        <v>110.69830852627881</v>
      </c>
      <c r="C105" s="22">
        <f t="shared" si="15"/>
        <v>474.4144628143747</v>
      </c>
      <c r="D105" s="22">
        <f t="shared" si="15"/>
        <v>856.7268319931477</v>
      </c>
      <c r="E105" s="22">
        <f t="shared" si="15"/>
        <v>13.7433401710525</v>
      </c>
      <c r="F105" s="22">
        <f t="shared" si="15"/>
        <v>452.43535441747412</v>
      </c>
      <c r="G105" s="22">
        <f t="shared" si="15"/>
        <v>166.51647100921696</v>
      </c>
      <c r="H105" s="22">
        <f t="shared" si="15"/>
        <v>170400.23916795492</v>
      </c>
      <c r="I105" s="22">
        <f t="shared" si="15"/>
        <v>9.8395942275868382</v>
      </c>
      <c r="J105" s="22">
        <f t="shared" si="15"/>
        <v>68.906803411474982</v>
      </c>
      <c r="K105" s="22">
        <f t="shared" si="15"/>
        <v>3.9464403605219003</v>
      </c>
      <c r="L105" s="22">
        <f t="shared" si="15"/>
        <v>14.446279690462603</v>
      </c>
      <c r="M105" s="22">
        <f t="shared" si="15"/>
        <v>29.524773899199168</v>
      </c>
      <c r="N105" s="22">
        <f t="shared" si="15"/>
        <v>0.17648154298509988</v>
      </c>
      <c r="O105" s="22">
        <f t="shared" si="15"/>
        <v>22.876435564657744</v>
      </c>
      <c r="P105" s="22">
        <f t="shared" si="15"/>
        <v>7.5666099404587417</v>
      </c>
      <c r="Q105" s="22">
        <f t="shared" si="15"/>
        <v>5467.4023773121726</v>
      </c>
      <c r="R105" s="22">
        <f t="shared" si="15"/>
        <v>0.35905018119182269</v>
      </c>
      <c r="S105" s="22">
        <f t="shared" si="15"/>
        <v>2.517033956038671</v>
      </c>
    </row>
    <row r="106" spans="1:19" s="580" customFormat="1" x14ac:dyDescent="0.25">
      <c r="A106" s="27" t="s">
        <v>344</v>
      </c>
      <c r="B106" s="213">
        <v>75</v>
      </c>
      <c r="C106" s="213">
        <v>550</v>
      </c>
      <c r="D106" s="213">
        <v>100</v>
      </c>
      <c r="E106" s="213">
        <v>150</v>
      </c>
      <c r="F106" s="213">
        <v>150</v>
      </c>
      <c r="G106" s="213">
        <v>55</v>
      </c>
      <c r="H106" s="27" t="s">
        <v>345</v>
      </c>
      <c r="I106" s="27" t="s">
        <v>345</v>
      </c>
      <c r="J106" s="27" t="s">
        <v>345</v>
      </c>
      <c r="K106" s="27" t="s">
        <v>345</v>
      </c>
      <c r="L106" s="27" t="s">
        <v>345</v>
      </c>
      <c r="M106" s="27" t="s">
        <v>345</v>
      </c>
      <c r="N106" s="27" t="s">
        <v>345</v>
      </c>
      <c r="O106" s="27" t="s">
        <v>345</v>
      </c>
      <c r="P106" s="27" t="s">
        <v>345</v>
      </c>
      <c r="Q106" s="27" t="s">
        <v>345</v>
      </c>
      <c r="R106" s="27" t="s">
        <v>345</v>
      </c>
      <c r="S106" s="27" t="s">
        <v>345</v>
      </c>
    </row>
    <row r="107" spans="1:19" s="580" customFormat="1" x14ac:dyDescent="0.25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</row>
    <row r="108" spans="1:19" s="580" customFormat="1" x14ac:dyDescent="0.25">
      <c r="A108" s="585">
        <v>2016</v>
      </c>
    </row>
    <row r="109" spans="1:19" s="580" customFormat="1" ht="39.6" x14ac:dyDescent="0.25">
      <c r="A109" s="19" t="s">
        <v>132</v>
      </c>
      <c r="B109" s="16" t="s">
        <v>18</v>
      </c>
      <c r="C109" s="16" t="s">
        <v>19</v>
      </c>
      <c r="D109" s="16" t="s">
        <v>20</v>
      </c>
      <c r="E109" s="16" t="s">
        <v>21</v>
      </c>
      <c r="F109" s="16" t="s">
        <v>22</v>
      </c>
      <c r="G109" s="16" t="s">
        <v>23</v>
      </c>
      <c r="H109" s="17" t="s">
        <v>24</v>
      </c>
      <c r="I109" s="16" t="s">
        <v>25</v>
      </c>
      <c r="J109" s="16" t="s">
        <v>26</v>
      </c>
      <c r="K109" s="18" t="s">
        <v>27</v>
      </c>
      <c r="L109" s="18" t="s">
        <v>28</v>
      </c>
      <c r="M109" s="18" t="s">
        <v>29</v>
      </c>
      <c r="N109" s="18" t="s">
        <v>30</v>
      </c>
      <c r="O109" s="18" t="s">
        <v>31</v>
      </c>
      <c r="P109" s="18" t="s">
        <v>32</v>
      </c>
      <c r="Q109" s="17" t="s">
        <v>33</v>
      </c>
      <c r="R109" s="18" t="s">
        <v>34</v>
      </c>
      <c r="S109" s="18" t="s">
        <v>35</v>
      </c>
    </row>
    <row r="110" spans="1:19" s="580" customFormat="1" x14ac:dyDescent="0.25">
      <c r="A110" s="19" t="s">
        <v>640</v>
      </c>
      <c r="B110" s="16"/>
      <c r="C110" s="16"/>
      <c r="D110" s="16"/>
      <c r="E110" s="16"/>
      <c r="F110" s="16"/>
      <c r="G110" s="16"/>
      <c r="H110" s="17"/>
      <c r="I110" s="16"/>
      <c r="J110" s="16"/>
      <c r="K110" s="18"/>
      <c r="L110" s="18"/>
      <c r="M110" s="18"/>
      <c r="N110" s="18"/>
      <c r="O110" s="18"/>
      <c r="P110" s="18"/>
      <c r="Q110" s="17"/>
      <c r="R110" s="18"/>
      <c r="S110" s="18"/>
    </row>
    <row r="111" spans="1:19" s="580" customFormat="1" x14ac:dyDescent="0.25">
      <c r="A111" s="27" t="s">
        <v>75</v>
      </c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</row>
    <row r="112" spans="1:19" s="580" customFormat="1" x14ac:dyDescent="0.25">
      <c r="A112" s="27" t="s">
        <v>119</v>
      </c>
      <c r="B112" s="215">
        <f>'Substation Construction SC'!B40+'Substation Construction SC'!B51+'Substation Construction SC'!B62</f>
        <v>22.79137467019796</v>
      </c>
      <c r="C112" s="215">
        <f>'Substation Construction SC'!C40+'Substation Construction SC'!C51+'Substation Construction SC'!C62</f>
        <v>90.425357229354205</v>
      </c>
      <c r="D112" s="215">
        <f>'Substation Construction SC'!D40+'Substation Construction SC'!D51+'Substation Construction SC'!D62</f>
        <v>167.84721949500386</v>
      </c>
      <c r="E112" s="215">
        <f>'Substation Construction SC'!E40+'Substation Construction SC'!E51+'Substation Construction SC'!E62</f>
        <v>0.3851461437428112</v>
      </c>
      <c r="F112" s="215">
        <f>'Substation Construction SC'!F40+'Substation Construction SC'!F51+'Substation Construction SC'!F62</f>
        <v>6.2003164956789405</v>
      </c>
      <c r="G112" s="215">
        <f>'Substation Construction SC'!G40+'Substation Construction SC'!G51+'Substation Construction SC'!G62</f>
        <v>5.5182816811542583</v>
      </c>
      <c r="H112" s="215">
        <f>'Substation Construction SC'!H40+'Substation Construction SC'!H51+'Substation Construction SC'!H62</f>
        <v>34247.687902081045</v>
      </c>
      <c r="I112" s="215">
        <f>'Substation Construction SC'!I40+'Substation Construction SC'!I51+'Substation Construction SC'!I62</f>
        <v>2.2260772205653305</v>
      </c>
      <c r="J112" s="215">
        <f>'Substation Construction SC'!J40+'Substation Construction SC'!J51+'Substation Construction SC'!J62</f>
        <v>15.945485852025366</v>
      </c>
      <c r="K112" s="215">
        <f>'Substation Construction SC'!K40+'Substation Construction SC'!K51+'Substation Construction SC'!K62</f>
        <v>1.0370873556074298</v>
      </c>
      <c r="L112" s="215">
        <f>'Substation Construction SC'!L40+'Substation Construction SC'!L51+'Substation Construction SC'!L62</f>
        <v>4.27921087969181</v>
      </c>
      <c r="M112" s="215">
        <f>'Substation Construction SC'!M40+'Substation Construction SC'!M51+'Substation Construction SC'!M62</f>
        <v>7.7228844595302224</v>
      </c>
      <c r="N112" s="215">
        <f>'Substation Construction SC'!N40+'Substation Construction SC'!N51+'Substation Construction SC'!N62</f>
        <v>1.7197717780755836E-2</v>
      </c>
      <c r="O112" s="215">
        <f>'Substation Construction SC'!O40+'Substation Construction SC'!O51+'Substation Construction SC'!O62</f>
        <v>0.30664904729793918</v>
      </c>
      <c r="P112" s="215">
        <f>'Substation Construction SC'!P40+'Substation Construction SC'!P51+'Substation Construction SC'!P62</f>
        <v>0.27291765209516583</v>
      </c>
      <c r="Q112" s="215">
        <f>'Substation Construction SC'!Q40+'Substation Construction SC'!Q51+'Substation Construction SC'!Q62</f>
        <v>1524.9333080264955</v>
      </c>
      <c r="R112" s="215">
        <f>'Substation Construction SC'!R40+'Substation Construction SC'!R51+'Substation Construction SC'!R62</f>
        <v>0.10134598065699998</v>
      </c>
      <c r="S112" s="215">
        <f>'Substation Construction SC'!S40+'Substation Construction SC'!S51+'Substation Construction SC'!S62</f>
        <v>0.73367402365537104</v>
      </c>
    </row>
    <row r="113" spans="1:19" s="580" customFormat="1" x14ac:dyDescent="0.25">
      <c r="A113" s="27" t="s">
        <v>120</v>
      </c>
      <c r="B113" s="215">
        <f>'Substation Construction SC'!B41+'Substation Construction SC'!B52+'Substation Construction SC'!B63</f>
        <v>1.9956777889960078</v>
      </c>
      <c r="C113" s="215">
        <f>'Substation Construction SC'!C41+'Substation Construction SC'!C52+'Substation Construction SC'!C63</f>
        <v>20.252143203961534</v>
      </c>
      <c r="D113" s="215">
        <f>'Substation Construction SC'!D41+'Substation Construction SC'!D52+'Substation Construction SC'!D63</f>
        <v>1.8282050087065969</v>
      </c>
      <c r="E113" s="215">
        <f>'Substation Construction SC'!E41+'Substation Construction SC'!E52+'Substation Construction SC'!E63</f>
        <v>2.5282152069886901E-2</v>
      </c>
      <c r="F113" s="215">
        <f>'Substation Construction SC'!F41+'Substation Construction SC'!F52+'Substation Construction SC'!F63</f>
        <v>0.59574286487309536</v>
      </c>
      <c r="G113" s="215">
        <f>'Substation Construction SC'!G41+'Substation Construction SC'!G52+'Substation Construction SC'!G63</f>
        <v>0.19519421633574702</v>
      </c>
      <c r="H113" s="215">
        <f>'Substation Construction SC'!H41+'Substation Construction SC'!H52+'Substation Construction SC'!H63</f>
        <v>2002.2937849089137</v>
      </c>
      <c r="I113" s="215">
        <f>'Substation Construction SC'!I41+'Substation Construction SC'!I52+'Substation Construction SC'!I63</f>
        <v>0.11055883721394719</v>
      </c>
      <c r="J113" s="215">
        <f>'Substation Construction SC'!J41+'Substation Construction SC'!J52+'Substation Construction SC'!J63</f>
        <v>0.20120586118164441</v>
      </c>
      <c r="K113" s="215">
        <f>'Substation Construction SC'!K41+'Substation Construction SC'!K52+'Substation Construction SC'!K63</f>
        <v>0.66832072573073065</v>
      </c>
      <c r="L113" s="215">
        <f>'Substation Construction SC'!L41+'Substation Construction SC'!L52+'Substation Construction SC'!L63</f>
        <v>6.0330765287317692E-2</v>
      </c>
      <c r="M113" s="215">
        <f>'Substation Construction SC'!M41+'Substation Construction SC'!M52+'Substation Construction SC'!M63</f>
        <v>6.5857367036868245E-2</v>
      </c>
      <c r="N113" s="215">
        <f>'Substation Construction SC'!N41+'Substation Construction SC'!N52+'Substation Construction SC'!N63</f>
        <v>8.3431101830626776E-4</v>
      </c>
      <c r="O113" s="215">
        <f>'Substation Construction SC'!O41+'Substation Construction SC'!O52+'Substation Construction SC'!O63</f>
        <v>1.9659514540812141E-2</v>
      </c>
      <c r="P113" s="215">
        <f>'Substation Construction SC'!P41+'Substation Construction SC'!P52+'Substation Construction SC'!P63</f>
        <v>6.4414091390796527E-3</v>
      </c>
      <c r="Q113" s="215">
        <f>'Substation Construction SC'!Q41+'Substation Construction SC'!Q52+'Substation Construction SC'!Q63</f>
        <v>66.075694901994154</v>
      </c>
      <c r="R113" s="215">
        <f>'Substation Construction SC'!R41+'Substation Construction SC'!R52+'Substation Construction SC'!R63</f>
        <v>3.6484416280602571E-3</v>
      </c>
      <c r="S113" s="215">
        <f>'Substation Construction SC'!S41+'Substation Construction SC'!S52+'Substation Construction SC'!S63</f>
        <v>6.6397934189942661E-3</v>
      </c>
    </row>
    <row r="114" spans="1:19" s="580" customFormat="1" x14ac:dyDescent="0.25">
      <c r="A114" s="27" t="s">
        <v>121</v>
      </c>
      <c r="B114" s="215">
        <f>'Substation Construction SC'!B42+'Substation Construction SC'!B53+'Substation Construction SC'!B64</f>
        <v>1.3994440895289479</v>
      </c>
      <c r="C114" s="215">
        <f>'Substation Construction SC'!C42+'Substation Construction SC'!C53+'Substation Construction SC'!C64</f>
        <v>5.8828705385697715</v>
      </c>
      <c r="D114" s="215">
        <f>'Substation Construction SC'!D42+'Substation Construction SC'!D53+'Substation Construction SC'!D64</f>
        <v>24.958563152315495</v>
      </c>
      <c r="E114" s="215">
        <f>'Substation Construction SC'!E42+'Substation Construction SC'!E53+'Substation Construction SC'!E64</f>
        <v>5.5167052022529986E-2</v>
      </c>
      <c r="F114" s="215">
        <f>'Substation Construction SC'!F42+'Substation Construction SC'!F53+'Substation Construction SC'!F64</f>
        <v>1.2135725119921892</v>
      </c>
      <c r="G114" s="215">
        <f>'Substation Construction SC'!G42+'Substation Construction SC'!G53+'Substation Construction SC'!G64</f>
        <v>0.64991185145992036</v>
      </c>
      <c r="H114" s="215">
        <f>'Substation Construction SC'!H42+'Substation Construction SC'!H53+'Substation Construction SC'!H64</f>
        <v>8649.1254830000053</v>
      </c>
      <c r="I114" s="215">
        <f>'Substation Construction SC'!I42+'Substation Construction SC'!I53+'Substation Construction SC'!I64</f>
        <v>0.49423697747506917</v>
      </c>
      <c r="J114" s="215">
        <f>'Substation Construction SC'!J42+'Substation Construction SC'!J53+'Substation Construction SC'!J64</f>
        <v>0.22155599837252812</v>
      </c>
      <c r="K114" s="215">
        <f>'Substation Construction SC'!K42+'Substation Construction SC'!K53+'Substation Construction SC'!K64</f>
        <v>5.0231141903836089E-2</v>
      </c>
      <c r="L114" s="215">
        <f>'Substation Construction SC'!L42+'Substation Construction SC'!L53+'Substation Construction SC'!L64</f>
        <v>0.22300868926920764</v>
      </c>
      <c r="M114" s="215">
        <f>'Substation Construction SC'!M42+'Substation Construction SC'!M53+'Substation Construction SC'!M64</f>
        <v>0.73303956191178521</v>
      </c>
      <c r="N114" s="215">
        <f>'Substation Construction SC'!N42+'Substation Construction SC'!N53+'Substation Construction SC'!N64</f>
        <v>1.7719012161680173E-3</v>
      </c>
      <c r="O114" s="215">
        <f>'Substation Construction SC'!O42+'Substation Construction SC'!O53+'Substation Construction SC'!O64</f>
        <v>5.1377770135178559E-2</v>
      </c>
      <c r="P114" s="215">
        <f>'Substation Construction SC'!P42+'Substation Construction SC'!P53+'Substation Construction SC'!P64</f>
        <v>2.969246981631652E-2</v>
      </c>
      <c r="Q114" s="215">
        <f>'Substation Construction SC'!Q42+'Substation Construction SC'!Q53+'Substation Construction SC'!Q64</f>
        <v>259.91424853825924</v>
      </c>
      <c r="R114" s="215">
        <f>'Substation Construction SC'!R42+'Substation Construction SC'!R53+'Substation Construction SC'!R64</f>
        <v>1.4852279904221746E-2</v>
      </c>
      <c r="S114" s="215">
        <f>'Substation Construction SC'!S42+'Substation Construction SC'!S53+'Substation Construction SC'!S64</f>
        <v>6.6579633905560478E-3</v>
      </c>
    </row>
    <row r="115" spans="1:19" s="580" customFormat="1" x14ac:dyDescent="0.25">
      <c r="A115" s="27" t="s">
        <v>122</v>
      </c>
      <c r="B115" s="215">
        <f>'Substation Construction SC'!B43+'Substation Construction SC'!B54</f>
        <v>0</v>
      </c>
      <c r="C115" s="215">
        <f>'Substation Construction SC'!C43+'Substation Construction SC'!C54</f>
        <v>0</v>
      </c>
      <c r="D115" s="215">
        <f>'Substation Construction SC'!D43+'Substation Construction SC'!D54</f>
        <v>0</v>
      </c>
      <c r="E115" s="215">
        <f>'Substation Construction SC'!E43+'Substation Construction SC'!E54</f>
        <v>0</v>
      </c>
      <c r="F115" s="215">
        <f>'Substation Construction SC'!F43+'Substation Construction SC'!F54</f>
        <v>43.234315859483431</v>
      </c>
      <c r="G115" s="215">
        <f>'Substation Construction SC'!G43+'Substation Construction SC'!G54</f>
        <v>13.587927841551938</v>
      </c>
      <c r="H115" s="215">
        <f>'Substation Construction SC'!H43+'Substation Construction SC'!H54</f>
        <v>0</v>
      </c>
      <c r="I115" s="215">
        <f>'Substation Construction SC'!I43+'Substation Construction SC'!I54</f>
        <v>0</v>
      </c>
      <c r="J115" s="215">
        <f>'Substation Construction SC'!J43+'Substation Construction SC'!J54</f>
        <v>0</v>
      </c>
      <c r="K115" s="215">
        <f>'Substation Construction SC'!K43+'Substation Construction SC'!K54</f>
        <v>0</v>
      </c>
      <c r="L115" s="215">
        <f>'Substation Construction SC'!L43+'Substation Construction SC'!L54</f>
        <v>0</v>
      </c>
      <c r="M115" s="215">
        <f>'Substation Construction SC'!M43+'Substation Construction SC'!M54</f>
        <v>0</v>
      </c>
      <c r="N115" s="215">
        <f>'Substation Construction SC'!N43+'Substation Construction SC'!N54</f>
        <v>0</v>
      </c>
      <c r="O115" s="215">
        <f>'Substation Construction SC'!O43+'Substation Construction SC'!O54</f>
        <v>2.4573305027747502E-2</v>
      </c>
      <c r="P115" s="215">
        <f>'Substation Construction SC'!P43+'Substation Construction SC'!P54</f>
        <v>7.7230387230063594E-3</v>
      </c>
      <c r="Q115" s="215">
        <f>'Substation Construction SC'!Q43+'Substation Construction SC'!Q54</f>
        <v>0</v>
      </c>
      <c r="R115" s="215">
        <f>'Substation Construction SC'!R43+'Substation Construction SC'!R54</f>
        <v>0</v>
      </c>
      <c r="S115" s="215">
        <f>'Substation Construction SC'!S43+'Substation Construction SC'!S54</f>
        <v>0</v>
      </c>
    </row>
    <row r="116" spans="1:19" s="580" customFormat="1" x14ac:dyDescent="0.25">
      <c r="A116" s="19" t="s">
        <v>123</v>
      </c>
      <c r="B116" s="22">
        <f>SUM(B112:B115)</f>
        <v>26.186496548722918</v>
      </c>
      <c r="C116" s="22">
        <f t="shared" ref="C116:S116" si="16">SUM(C112:C115)</f>
        <v>116.56037097188552</v>
      </c>
      <c r="D116" s="22">
        <f t="shared" si="16"/>
        <v>194.63398765602594</v>
      </c>
      <c r="E116" s="22">
        <f t="shared" si="16"/>
        <v>0.46559534783522805</v>
      </c>
      <c r="F116" s="22">
        <f t="shared" si="16"/>
        <v>51.243947732027657</v>
      </c>
      <c r="G116" s="22">
        <f t="shared" si="16"/>
        <v>19.951315590501864</v>
      </c>
      <c r="H116" s="22">
        <f t="shared" si="16"/>
        <v>44899.107169989962</v>
      </c>
      <c r="I116" s="22">
        <f t="shared" si="16"/>
        <v>2.830873035254347</v>
      </c>
      <c r="J116" s="22">
        <f t="shared" si="16"/>
        <v>16.368247711579535</v>
      </c>
      <c r="K116" s="22">
        <f t="shared" si="16"/>
        <v>1.7556392232419966</v>
      </c>
      <c r="L116" s="22">
        <f t="shared" si="16"/>
        <v>4.5625503342483356</v>
      </c>
      <c r="M116" s="22">
        <f t="shared" si="16"/>
        <v>8.5217813884788747</v>
      </c>
      <c r="N116" s="22">
        <f t="shared" si="16"/>
        <v>1.980393001523012E-2</v>
      </c>
      <c r="O116" s="22">
        <f t="shared" si="16"/>
        <v>0.40225963700167744</v>
      </c>
      <c r="P116" s="22">
        <f t="shared" si="16"/>
        <v>0.31677456977356833</v>
      </c>
      <c r="Q116" s="22">
        <f t="shared" si="16"/>
        <v>1850.923251466749</v>
      </c>
      <c r="R116" s="22">
        <f t="shared" si="16"/>
        <v>0.11984670218928199</v>
      </c>
      <c r="S116" s="22">
        <f t="shared" si="16"/>
        <v>0.7469717804649213</v>
      </c>
    </row>
    <row r="117" spans="1:19" s="580" customFormat="1" x14ac:dyDescent="0.25">
      <c r="A117" s="19" t="s">
        <v>641</v>
      </c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</row>
    <row r="118" spans="1:19" s="580" customFormat="1" x14ac:dyDescent="0.25">
      <c r="A118" s="27" t="s">
        <v>75</v>
      </c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</row>
    <row r="119" spans="1:19" s="580" customFormat="1" x14ac:dyDescent="0.25">
      <c r="A119" s="27" t="s">
        <v>119</v>
      </c>
      <c r="B119" s="215">
        <f>'Transmission Line Construct SC'!B51+'Transmission Line Construct SC'!B62+'Transmission Line Construct SC'!B73+'Transmission Line Construct SC'!B85</f>
        <v>14.831992204470298</v>
      </c>
      <c r="C119" s="215">
        <f>'Transmission Line Construct SC'!C51+'Transmission Line Construct SC'!C62+'Transmission Line Construct SC'!C73+'Transmission Line Construct SC'!C85</f>
        <v>64.225867551455778</v>
      </c>
      <c r="D119" s="215">
        <f>'Transmission Line Construct SC'!D51+'Transmission Line Construct SC'!D62+'Transmission Line Construct SC'!D73+'Transmission Line Construct SC'!D85</f>
        <v>91.934159894092801</v>
      </c>
      <c r="E119" s="215">
        <f>'Transmission Line Construct SC'!E51+'Transmission Line Construct SC'!E62+'Transmission Line Construct SC'!E73+'Transmission Line Construct SC'!E85</f>
        <v>0.16769818242415943</v>
      </c>
      <c r="F119" s="215">
        <f>'Transmission Line Construct SC'!F51+'Transmission Line Construct SC'!F62+'Transmission Line Construct SC'!F73+'Transmission Line Construct SC'!F85</f>
        <v>4.7482896917554891</v>
      </c>
      <c r="G119" s="215">
        <f>'Transmission Line Construct SC'!G51+'Transmission Line Construct SC'!G62+'Transmission Line Construct SC'!G73+'Transmission Line Construct SC'!G85</f>
        <v>4.2259778256623859</v>
      </c>
      <c r="H119" s="215">
        <f>'Transmission Line Construct SC'!H51+'Transmission Line Construct SC'!H62+'Transmission Line Construct SC'!H73+'Transmission Line Construct SC'!H85</f>
        <v>15366.042919826561</v>
      </c>
      <c r="I119" s="215">
        <f>'Transmission Line Construct SC'!I51+'Transmission Line Construct SC'!I62+'Transmission Line Construct SC'!I73+'Transmission Line Construct SC'!I85</f>
        <v>1.454359950788185</v>
      </c>
      <c r="J119" s="215">
        <f>'Transmission Line Construct SC'!J51+'Transmission Line Construct SC'!J62+'Transmission Line Construct SC'!J73+'Transmission Line Construct SC'!J85</f>
        <v>8.7337451899388157</v>
      </c>
      <c r="K119" s="215">
        <f>'Transmission Line Construct SC'!K51+'Transmission Line Construct SC'!K62+'Transmission Line Construct SC'!K73+'Transmission Line Construct SC'!K85</f>
        <v>0.63913198056126264</v>
      </c>
      <c r="L119" s="215">
        <f>'Transmission Line Construct SC'!L51+'Transmission Line Construct SC'!L62+'Transmission Line Construct SC'!L73+'Transmission Line Construct SC'!L85</f>
        <v>2.7839420606337582</v>
      </c>
      <c r="M119" s="215">
        <f>'Transmission Line Construct SC'!M51+'Transmission Line Construct SC'!M62+'Transmission Line Construct SC'!M73+'Transmission Line Construct SC'!M85</f>
        <v>3.7460344651977904</v>
      </c>
      <c r="N119" s="215">
        <f>'Transmission Line Construct SC'!N51+'Transmission Line Construct SC'!N62+'Transmission Line Construct SC'!N73+'Transmission Line Construct SC'!N85</f>
        <v>6.7332754636180341E-3</v>
      </c>
      <c r="O119" s="215">
        <f>'Transmission Line Construct SC'!O51+'Transmission Line Construct SC'!O62+'Transmission Line Construct SC'!O73+'Transmission Line Construct SC'!O85</f>
        <v>0.2008410334254653</v>
      </c>
      <c r="P119" s="215">
        <f>'Transmission Line Construct SC'!P51+'Transmission Line Construct SC'!P62+'Transmission Line Construct SC'!P73+'Transmission Line Construct SC'!P85</f>
        <v>0.17874851974866413</v>
      </c>
      <c r="Q119" s="215">
        <f>'Transmission Line Construct SC'!Q51+'Transmission Line Construct SC'!Q62+'Transmission Line Construct SC'!Q73+'Transmission Line Construct SC'!Q85</f>
        <v>611.05737380466996</v>
      </c>
      <c r="R119" s="215">
        <f>'Transmission Line Construct SC'!R51+'Transmission Line Construct SC'!R62+'Transmission Line Construct SC'!R73+'Transmission Line Construct SC'!R85</f>
        <v>6.3074426589875596E-2</v>
      </c>
      <c r="S119" s="215">
        <f>'Transmission Line Construct SC'!S51+'Transmission Line Construct SC'!S62+'Transmission Line Construct SC'!S73+'Transmission Line Construct SC'!S85</f>
        <v>0.35587327419379011</v>
      </c>
    </row>
    <row r="120" spans="1:19" s="580" customFormat="1" x14ac:dyDescent="0.25">
      <c r="A120" s="27" t="s">
        <v>120</v>
      </c>
      <c r="B120" s="215">
        <f>'Transmission Line Construct SC'!B52+'Transmission Line Construct SC'!B63+'Transmission Line Construct SC'!B74+'Transmission Line Construct SC'!B86</f>
        <v>3.5763354618499399</v>
      </c>
      <c r="C120" s="215">
        <f>'Transmission Line Construct SC'!C52+'Transmission Line Construct SC'!C63+'Transmission Line Construct SC'!C74+'Transmission Line Construct SC'!C86</f>
        <v>36.006610165190565</v>
      </c>
      <c r="D120" s="215">
        <f>'Transmission Line Construct SC'!D52+'Transmission Line Construct SC'!D63+'Transmission Line Construct SC'!D74+'Transmission Line Construct SC'!D86</f>
        <v>3.2517684248175622</v>
      </c>
      <c r="E120" s="215">
        <f>'Transmission Line Construct SC'!E52+'Transmission Line Construct SC'!E63+'Transmission Line Construct SC'!E74+'Transmission Line Construct SC'!E86</f>
        <v>4.6911045829063684E-2</v>
      </c>
      <c r="F120" s="215">
        <f>'Transmission Line Construct SC'!F52+'Transmission Line Construct SC'!F63+'Transmission Line Construct SC'!F74+'Transmission Line Construct SC'!F86</f>
        <v>1.1039755895776442</v>
      </c>
      <c r="G120" s="215">
        <f>'Transmission Line Construct SC'!G52+'Transmission Line Construct SC'!G63+'Transmission Line Construct SC'!G74+'Transmission Line Construct SC'!G86</f>
        <v>0.47008266155368872</v>
      </c>
      <c r="H120" s="215">
        <f>'Transmission Line Construct SC'!H52+'Transmission Line Construct SC'!H63+'Transmission Line Construct SC'!H74+'Transmission Line Construct SC'!H86</f>
        <v>3660.1280021633793</v>
      </c>
      <c r="I120" s="215">
        <f>'Transmission Line Construct SC'!I52+'Transmission Line Construct SC'!I63+'Transmission Line Construct SC'!I74+'Transmission Line Construct SC'!I86</f>
        <v>0.2051065468821956</v>
      </c>
      <c r="J120" s="215">
        <f>'Transmission Line Construct SC'!J52+'Transmission Line Construct SC'!J63+'Transmission Line Construct SC'!J74+'Transmission Line Construct SC'!J86</f>
        <v>0.37333529654885755</v>
      </c>
      <c r="K120" s="215">
        <f>'Transmission Line Construct SC'!K52+'Transmission Line Construct SC'!K63+'Transmission Line Construct SC'!K74+'Transmission Line Construct SC'!K86</f>
        <v>0.118019070241048</v>
      </c>
      <c r="L120" s="215">
        <f>'Transmission Line Construct SC'!L52+'Transmission Line Construct SC'!L63+'Transmission Line Construct SC'!L74+'Transmission Line Construct SC'!L86</f>
        <v>1.1882181354512888</v>
      </c>
      <c r="M120" s="215">
        <f>'Transmission Line Construct SC'!M52+'Transmission Line Construct SC'!M63+'Transmission Line Construct SC'!M74+'Transmission Line Construct SC'!M86</f>
        <v>0.10730835801897956</v>
      </c>
      <c r="N120" s="215">
        <f>'Transmission Line Construct SC'!N52+'Transmission Line Construct SC'!N63+'Transmission Line Construct SC'!N74+'Transmission Line Construct SC'!N86</f>
        <v>1.5480645123591018E-3</v>
      </c>
      <c r="O120" s="215">
        <f>'Transmission Line Construct SC'!O52+'Transmission Line Construct SC'!O63+'Transmission Line Construct SC'!O74+'Transmission Line Construct SC'!O86</f>
        <v>3.6431194456062257E-2</v>
      </c>
      <c r="P120" s="215">
        <f>'Transmission Line Construct SC'!P52+'Transmission Line Construct SC'!P63+'Transmission Line Construct SC'!P74+'Transmission Line Construct SC'!P86</f>
        <v>1.5512727831271729E-2</v>
      </c>
      <c r="Q120" s="215">
        <f>'Transmission Line Construct SC'!Q52+'Transmission Line Construct SC'!Q63+'Transmission Line Construct SC'!Q74+'Transmission Line Construct SC'!Q86</f>
        <v>120.78422407139152</v>
      </c>
      <c r="R120" s="215">
        <f>'Transmission Line Construct SC'!R52+'Transmission Line Construct SC'!R63+'Transmission Line Construct SC'!R74+'Transmission Line Construct SC'!R86</f>
        <v>6.7685160471124542E-3</v>
      </c>
      <c r="S120" s="215">
        <f>'Transmission Line Construct SC'!S52+'Transmission Line Construct SC'!S63+'Transmission Line Construct SC'!S74+'Transmission Line Construct SC'!S86</f>
        <v>1.2320064786112301E-2</v>
      </c>
    </row>
    <row r="121" spans="1:19" s="580" customFormat="1" x14ac:dyDescent="0.25">
      <c r="A121" s="27" t="s">
        <v>121</v>
      </c>
      <c r="B121" s="215">
        <f>'Transmission Line Construct SC'!B53+'Transmission Line Construct SC'!B64+'Transmission Line Construct SC'!B75+'Transmission Line Construct SC'!B87</f>
        <v>2.2926748328318158</v>
      </c>
      <c r="C121" s="215">
        <f>'Transmission Line Construct SC'!C53+'Transmission Line Construct SC'!C64+'Transmission Line Construct SC'!C75+'Transmission Line Construct SC'!C87</f>
        <v>9.7146685560072115</v>
      </c>
      <c r="D121" s="215">
        <f>'Transmission Line Construct SC'!D53+'Transmission Line Construct SC'!D64+'Transmission Line Construct SC'!D75+'Transmission Line Construct SC'!D87</f>
        <v>39.832431362024906</v>
      </c>
      <c r="E121" s="215">
        <f>'Transmission Line Construct SC'!E53+'Transmission Line Construct SC'!E64+'Transmission Line Construct SC'!E75+'Transmission Line Construct SC'!E87</f>
        <v>8.9027435219277057E-2</v>
      </c>
      <c r="F121" s="215">
        <f>'Transmission Line Construct SC'!F53+'Transmission Line Construct SC'!F64+'Transmission Line Construct SC'!F75+'Transmission Line Construct SC'!F87</f>
        <v>2.038901797009594</v>
      </c>
      <c r="G121" s="215">
        <f>'Transmission Line Construct SC'!G53+'Transmission Line Construct SC'!G64+'Transmission Line Construct SC'!G75+'Transmission Line Construct SC'!G87</f>
        <v>1.1060382409335752</v>
      </c>
      <c r="H121" s="215">
        <f>'Transmission Line Construct SC'!H53+'Transmission Line Construct SC'!H64+'Transmission Line Construct SC'!H75+'Transmission Line Construct SC'!H87</f>
        <v>13841.711073362014</v>
      </c>
      <c r="I121" s="215">
        <f>'Transmission Line Construct SC'!I53+'Transmission Line Construct SC'!I64+'Transmission Line Construct SC'!I75+'Transmission Line Construct SC'!I87</f>
        <v>0.79095689586512552</v>
      </c>
      <c r="J121" s="215">
        <f>'Transmission Line Construct SC'!J53+'Transmission Line Construct SC'!J64+'Transmission Line Construct SC'!J75+'Transmission Line Construct SC'!J87</f>
        <v>0.35456927085524126</v>
      </c>
      <c r="K121" s="215">
        <f>'Transmission Line Construct SC'!K53+'Transmission Line Construct SC'!K64+'Transmission Line Construct SC'!K75+'Transmission Line Construct SC'!K87</f>
        <v>6.576557490104841E-2</v>
      </c>
      <c r="L121" s="215">
        <f>'Transmission Line Construct SC'!L53+'Transmission Line Construct SC'!L64+'Transmission Line Construct SC'!L75+'Transmission Line Construct SC'!L87</f>
        <v>0.28829997715015837</v>
      </c>
      <c r="M121" s="215">
        <f>'Transmission Line Construct SC'!M53+'Transmission Line Construct SC'!M64+'Transmission Line Construct SC'!M75+'Transmission Line Construct SC'!M87</f>
        <v>1.010243045213516</v>
      </c>
      <c r="N121" s="215">
        <f>'Transmission Line Construct SC'!N53+'Transmission Line Construct SC'!N64+'Transmission Line Construct SC'!N75+'Transmission Line Construct SC'!N87</f>
        <v>2.3844745549800135E-3</v>
      </c>
      <c r="O121" s="215">
        <f>'Transmission Line Construct SC'!O53+'Transmission Line Construct SC'!O64+'Transmission Line Construct SC'!O75+'Transmission Line Construct SC'!O87</f>
        <v>6.4841617461823958E-2</v>
      </c>
      <c r="P121" s="215">
        <f>'Transmission Line Construct SC'!P53+'Transmission Line Construct SC'!P64+'Transmission Line Construct SC'!P75+'Transmission Line Construct SC'!P87</f>
        <v>3.6900803580046798E-2</v>
      </c>
      <c r="Q121" s="215">
        <f>'Transmission Line Construct SC'!Q53+'Transmission Line Construct SC'!Q64+'Transmission Line Construct SC'!Q75+'Transmission Line Construct SC'!Q87</f>
        <v>355.97065687277995</v>
      </c>
      <c r="R121" s="215">
        <f>'Transmission Line Construct SC'!R53+'Transmission Line Construct SC'!R64+'Transmission Line Construct SC'!R75+'Transmission Line Construct SC'!R87</f>
        <v>2.0341231245681265E-2</v>
      </c>
      <c r="S121" s="215">
        <f>'Transmission Line Construct SC'!S53+'Transmission Line Construct SC'!S64+'Transmission Line Construct SC'!S75+'Transmission Line Construct SC'!S87</f>
        <v>9.1185443464531293E-3</v>
      </c>
    </row>
    <row r="122" spans="1:19" s="612" customFormat="1" x14ac:dyDescent="0.25">
      <c r="A122" s="27" t="s">
        <v>656</v>
      </c>
      <c r="B122" s="215">
        <f>'Transmission Line Construct SC'!B76</f>
        <v>12.830799050242181</v>
      </c>
      <c r="C122" s="215">
        <f>'Transmission Line Construct SC'!C76</f>
        <v>66.887438003316817</v>
      </c>
      <c r="D122" s="215">
        <f>'Transmission Line Construct SC'!D76</f>
        <v>66.887438003316817</v>
      </c>
      <c r="E122" s="215">
        <f>'Transmission Line Construct SC'!E76</f>
        <v>12.314722567340549</v>
      </c>
      <c r="F122" s="215">
        <f>'Transmission Line Construct SC'!F76</f>
        <v>22.109244879957675</v>
      </c>
      <c r="G122" s="215">
        <f>'Transmission Line Construct SC'!G76</f>
        <v>22.109244879957675</v>
      </c>
      <c r="H122" s="215">
        <f>'Transmission Line Construct SC'!H76</f>
        <v>30084.642801206399</v>
      </c>
      <c r="I122" s="215">
        <f>'Transmission Line Construct SC'!I76</f>
        <v>0</v>
      </c>
      <c r="J122" s="215">
        <f>'Transmission Line Construct SC'!J76</f>
        <v>0</v>
      </c>
      <c r="K122" s="215">
        <f>'Transmission Line Construct SC'!K76</f>
        <v>0.12830799050242181</v>
      </c>
      <c r="L122" s="215">
        <f>'Transmission Line Construct SC'!L76</f>
        <v>0.66887438003316801</v>
      </c>
      <c r="M122" s="215">
        <f>'Transmission Line Construct SC'!M76</f>
        <v>0.66887438003316801</v>
      </c>
      <c r="N122" s="215">
        <f>'Transmission Line Construct SC'!N76</f>
        <v>0.1231472256734055</v>
      </c>
      <c r="O122" s="215">
        <f>'Transmission Line Construct SC'!O76</f>
        <v>0.22109244879957674</v>
      </c>
      <c r="P122" s="215">
        <f>'Transmission Line Construct SC'!P76</f>
        <v>0.22109244879957674</v>
      </c>
      <c r="Q122" s="215">
        <f>'Transmission Line Construct SC'!Q76</f>
        <v>300.846428012064</v>
      </c>
      <c r="R122" s="215">
        <f>'Transmission Line Construct SC'!R76</f>
        <v>0</v>
      </c>
      <c r="S122" s="215">
        <f>'Transmission Line Construct SC'!S76</f>
        <v>0</v>
      </c>
    </row>
    <row r="123" spans="1:19" s="580" customFormat="1" x14ac:dyDescent="0.25">
      <c r="A123" s="27" t="s">
        <v>122</v>
      </c>
      <c r="B123" s="215">
        <f>'Transmission Line Construct SC'!B54+'Transmission Line Construct SC'!B65+'Transmission Line Construct SC'!B77+'Transmission Line Construct SC'!B88</f>
        <v>0</v>
      </c>
      <c r="C123" s="215">
        <f>'Transmission Line Construct SC'!C54+'Transmission Line Construct SC'!C65+'Transmission Line Construct SC'!C77+'Transmission Line Construct SC'!C88</f>
        <v>0</v>
      </c>
      <c r="D123" s="215">
        <f>'Transmission Line Construct SC'!D54+'Transmission Line Construct SC'!D65+'Transmission Line Construct SC'!D77+'Transmission Line Construct SC'!D88</f>
        <v>0</v>
      </c>
      <c r="E123" s="215">
        <f>'Transmission Line Construct SC'!E54+'Transmission Line Construct SC'!E65+'Transmission Line Construct SC'!E77+'Transmission Line Construct SC'!E88</f>
        <v>0</v>
      </c>
      <c r="F123" s="215">
        <f>'Transmission Line Construct SC'!F54+'Transmission Line Construct SC'!F65+'Transmission Line Construct SC'!F77+'Transmission Line Construct SC'!F88</f>
        <v>325.42060762929759</v>
      </c>
      <c r="G123" s="215">
        <f>'Transmission Line Construct SC'!G54+'Transmission Line Construct SC'!G65+'Transmission Line Construct SC'!G77+'Transmission Line Construct SC'!G88</f>
        <v>97.108515187932909</v>
      </c>
      <c r="H123" s="215">
        <f>'Transmission Line Construct SC'!H54+'Transmission Line Construct SC'!H65+'Transmission Line Construct SC'!H77+'Transmission Line Construct SC'!H88</f>
        <v>0</v>
      </c>
      <c r="I123" s="215">
        <f>'Transmission Line Construct SC'!I54+'Transmission Line Construct SC'!I65+'Transmission Line Construct SC'!I77+'Transmission Line Construct SC'!I88</f>
        <v>0</v>
      </c>
      <c r="J123" s="215">
        <f>'Transmission Line Construct SC'!J54+'Transmission Line Construct SC'!J65+'Transmission Line Construct SC'!J77+'Transmission Line Construct SC'!J88</f>
        <v>0</v>
      </c>
      <c r="K123" s="215">
        <f>'Transmission Line Construct SC'!K54+'Transmission Line Construct SC'!K65+'Transmission Line Construct SC'!K77+'Transmission Line Construct SC'!K88</f>
        <v>0</v>
      </c>
      <c r="L123" s="215">
        <f>'Transmission Line Construct SC'!L54+'Transmission Line Construct SC'!L65+'Transmission Line Construct SC'!L77+'Transmission Line Construct SC'!L88</f>
        <v>0</v>
      </c>
      <c r="M123" s="215">
        <f>'Transmission Line Construct SC'!M54+'Transmission Line Construct SC'!M65+'Transmission Line Construct SC'!M77+'Transmission Line Construct SC'!M88</f>
        <v>0</v>
      </c>
      <c r="N123" s="215">
        <f>'Transmission Line Construct SC'!N54+'Transmission Line Construct SC'!N65+'Transmission Line Construct SC'!N77+'Transmission Line Construct SC'!N88</f>
        <v>0</v>
      </c>
      <c r="O123" s="215">
        <f>'Transmission Line Construct SC'!O54+'Transmission Line Construct SC'!O65+'Transmission Line Construct SC'!O77+'Transmission Line Construct SC'!O88</f>
        <v>13.331023512538122</v>
      </c>
      <c r="P123" s="215">
        <f>'Transmission Line Construct SC'!P54+'Transmission Line Construct SC'!P65+'Transmission Line Construct SC'!P77+'Transmission Line Construct SC'!P88</f>
        <v>3.9781005532160107</v>
      </c>
      <c r="Q123" s="215">
        <f>'Transmission Line Construct SC'!Q54+'Transmission Line Construct SC'!Q65+'Transmission Line Construct SC'!Q77+'Transmission Line Construct SC'!Q88</f>
        <v>0</v>
      </c>
      <c r="R123" s="215">
        <f>'Transmission Line Construct SC'!R54+'Transmission Line Construct SC'!R65+'Transmission Line Construct SC'!R77+'Transmission Line Construct SC'!R88</f>
        <v>0</v>
      </c>
      <c r="S123" s="215">
        <f>'Transmission Line Construct SC'!S54+'Transmission Line Construct SC'!S65+'Transmission Line Construct SC'!S77+'Transmission Line Construct SC'!S88</f>
        <v>0</v>
      </c>
    </row>
    <row r="124" spans="1:19" s="580" customFormat="1" x14ac:dyDescent="0.25">
      <c r="A124" s="19" t="s">
        <v>123</v>
      </c>
      <c r="B124" s="22">
        <f>SUM(B119:B123)</f>
        <v>33.531801549394231</v>
      </c>
      <c r="C124" s="22">
        <f t="shared" ref="C124:S124" si="17">SUM(C119:C123)</f>
        <v>176.83458427597037</v>
      </c>
      <c r="D124" s="22">
        <f t="shared" si="17"/>
        <v>201.90579768425206</v>
      </c>
      <c r="E124" s="22">
        <f t="shared" si="17"/>
        <v>12.61835923081305</v>
      </c>
      <c r="F124" s="22">
        <f t="shared" si="17"/>
        <v>355.42101958759798</v>
      </c>
      <c r="G124" s="22">
        <f t="shared" si="17"/>
        <v>125.01985879604024</v>
      </c>
      <c r="H124" s="22">
        <f t="shared" si="17"/>
        <v>62952.524796558355</v>
      </c>
      <c r="I124" s="22">
        <f t="shared" si="17"/>
        <v>2.4504233935355062</v>
      </c>
      <c r="J124" s="22">
        <f t="shared" si="17"/>
        <v>9.461649757342915</v>
      </c>
      <c r="K124" s="22">
        <f t="shared" si="17"/>
        <v>0.9512246162057808</v>
      </c>
      <c r="L124" s="22">
        <f t="shared" si="17"/>
        <v>4.9293345532683732</v>
      </c>
      <c r="M124" s="22">
        <f t="shared" si="17"/>
        <v>5.5324602484634546</v>
      </c>
      <c r="N124" s="22">
        <f t="shared" si="17"/>
        <v>0.13381304020436263</v>
      </c>
      <c r="O124" s="22">
        <f t="shared" si="17"/>
        <v>13.854229806681051</v>
      </c>
      <c r="P124" s="22">
        <f t="shared" si="17"/>
        <v>4.4303550531755702</v>
      </c>
      <c r="Q124" s="22">
        <f t="shared" si="17"/>
        <v>1388.6586827609055</v>
      </c>
      <c r="R124" s="22">
        <f t="shared" si="17"/>
        <v>9.0184173882669319E-2</v>
      </c>
      <c r="S124" s="22">
        <f t="shared" si="17"/>
        <v>0.37731188332635557</v>
      </c>
    </row>
    <row r="125" spans="1:19" s="580" customFormat="1" x14ac:dyDescent="0.25">
      <c r="A125" s="19" t="s">
        <v>645</v>
      </c>
      <c r="B125" s="22">
        <f>B116+B124</f>
        <v>59.718298098117145</v>
      </c>
      <c r="C125" s="22">
        <f t="shared" ref="C125:S125" si="18">C116+C124</f>
        <v>293.39495524785588</v>
      </c>
      <c r="D125" s="22">
        <f t="shared" si="18"/>
        <v>396.539785340278</v>
      </c>
      <c r="E125" s="22">
        <f t="shared" si="18"/>
        <v>13.083954578648278</v>
      </c>
      <c r="F125" s="22">
        <f t="shared" si="18"/>
        <v>406.66496731962565</v>
      </c>
      <c r="G125" s="22">
        <f t="shared" si="18"/>
        <v>144.97117438654209</v>
      </c>
      <c r="H125" s="22">
        <f t="shared" si="18"/>
        <v>107851.63196654832</v>
      </c>
      <c r="I125" s="22">
        <f t="shared" si="18"/>
        <v>5.2812964287898527</v>
      </c>
      <c r="J125" s="22">
        <f t="shared" si="18"/>
        <v>25.82989746892245</v>
      </c>
      <c r="K125" s="22">
        <f t="shared" si="18"/>
        <v>2.7068638394477773</v>
      </c>
      <c r="L125" s="22">
        <f t="shared" si="18"/>
        <v>9.4918848875167079</v>
      </c>
      <c r="M125" s="22">
        <f t="shared" si="18"/>
        <v>14.054241636942329</v>
      </c>
      <c r="N125" s="22">
        <f t="shared" si="18"/>
        <v>0.15361697021959275</v>
      </c>
      <c r="O125" s="22">
        <f t="shared" si="18"/>
        <v>14.256489443682728</v>
      </c>
      <c r="P125" s="22">
        <f t="shared" si="18"/>
        <v>4.7471296229491386</v>
      </c>
      <c r="Q125" s="22">
        <f t="shared" si="18"/>
        <v>3239.5819342276545</v>
      </c>
      <c r="R125" s="22">
        <f t="shared" si="18"/>
        <v>0.21003087607195131</v>
      </c>
      <c r="S125" s="22">
        <f t="shared" si="18"/>
        <v>1.1242836637912768</v>
      </c>
    </row>
    <row r="126" spans="1:19" s="580" customFormat="1" x14ac:dyDescent="0.25">
      <c r="A126" s="27" t="s">
        <v>344</v>
      </c>
      <c r="B126" s="213">
        <v>75</v>
      </c>
      <c r="C126" s="213">
        <v>550</v>
      </c>
      <c r="D126" s="213">
        <v>100</v>
      </c>
      <c r="E126" s="213">
        <v>150</v>
      </c>
      <c r="F126" s="213">
        <v>150</v>
      </c>
      <c r="G126" s="213">
        <v>55</v>
      </c>
      <c r="H126" s="27" t="s">
        <v>345</v>
      </c>
      <c r="I126" s="27" t="s">
        <v>345</v>
      </c>
      <c r="J126" s="27" t="s">
        <v>345</v>
      </c>
      <c r="K126" s="27" t="s">
        <v>345</v>
      </c>
      <c r="L126" s="27" t="s">
        <v>345</v>
      </c>
      <c r="M126" s="27" t="s">
        <v>345</v>
      </c>
      <c r="N126" s="27" t="s">
        <v>345</v>
      </c>
      <c r="O126" s="27" t="s">
        <v>345</v>
      </c>
      <c r="P126" s="27" t="s">
        <v>345</v>
      </c>
      <c r="Q126" s="27" t="s">
        <v>345</v>
      </c>
      <c r="R126" s="27" t="s">
        <v>345</v>
      </c>
      <c r="S126" s="27" t="s">
        <v>345</v>
      </c>
    </row>
    <row r="127" spans="1:19" s="580" customFormat="1" x14ac:dyDescent="0.25"/>
    <row r="128" spans="1:19" s="580" customFormat="1" x14ac:dyDescent="0.25"/>
    <row r="129" spans="1:19" s="580" customFormat="1" x14ac:dyDescent="0.25">
      <c r="A129" s="585">
        <v>2017</v>
      </c>
    </row>
    <row r="130" spans="1:19" s="580" customFormat="1" ht="39.6" x14ac:dyDescent="0.25">
      <c r="A130" s="19" t="s">
        <v>132</v>
      </c>
      <c r="B130" s="16" t="s">
        <v>18</v>
      </c>
      <c r="C130" s="16" t="s">
        <v>19</v>
      </c>
      <c r="D130" s="16" t="s">
        <v>20</v>
      </c>
      <c r="E130" s="16" t="s">
        <v>21</v>
      </c>
      <c r="F130" s="16" t="s">
        <v>22</v>
      </c>
      <c r="G130" s="16" t="s">
        <v>23</v>
      </c>
      <c r="H130" s="17" t="s">
        <v>24</v>
      </c>
      <c r="I130" s="16" t="s">
        <v>25</v>
      </c>
      <c r="J130" s="16" t="s">
        <v>26</v>
      </c>
      <c r="K130" s="18" t="s">
        <v>27</v>
      </c>
      <c r="L130" s="18" t="s">
        <v>28</v>
      </c>
      <c r="M130" s="18" t="s">
        <v>29</v>
      </c>
      <c r="N130" s="18" t="s">
        <v>30</v>
      </c>
      <c r="O130" s="18" t="s">
        <v>31</v>
      </c>
      <c r="P130" s="18" t="s">
        <v>32</v>
      </c>
      <c r="Q130" s="17" t="s">
        <v>33</v>
      </c>
      <c r="R130" s="18" t="s">
        <v>34</v>
      </c>
      <c r="S130" s="18" t="s">
        <v>35</v>
      </c>
    </row>
    <row r="131" spans="1:19" s="580" customFormat="1" x14ac:dyDescent="0.25">
      <c r="A131" s="19" t="s">
        <v>640</v>
      </c>
      <c r="B131" s="16"/>
      <c r="C131" s="16"/>
      <c r="D131" s="16"/>
      <c r="E131" s="16"/>
      <c r="F131" s="16"/>
      <c r="G131" s="16"/>
      <c r="H131" s="17"/>
      <c r="I131" s="16"/>
      <c r="J131" s="16"/>
      <c r="K131" s="18"/>
      <c r="L131" s="18"/>
      <c r="M131" s="18"/>
      <c r="N131" s="18"/>
      <c r="O131" s="18"/>
      <c r="P131" s="18"/>
      <c r="Q131" s="17"/>
      <c r="R131" s="18"/>
      <c r="S131" s="18"/>
    </row>
    <row r="132" spans="1:19" s="580" customFormat="1" x14ac:dyDescent="0.25">
      <c r="A132" s="27" t="s">
        <v>75</v>
      </c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</row>
    <row r="133" spans="1:19" s="580" customFormat="1" x14ac:dyDescent="0.25">
      <c r="A133" s="27" t="s">
        <v>119</v>
      </c>
      <c r="B133" s="215">
        <f>'Substation Construction SC'!B73+'Substation Construction SC'!B83+'Substation Construction SC'!B93+'Substation Construction SC'!B103+'Substation Construction SC'!B113+'Substation Construction SC'!B123</f>
        <v>27.946670826904011</v>
      </c>
      <c r="C133" s="215">
        <f>'Substation Construction SC'!C73+'Substation Construction SC'!C83+'Substation Construction SC'!C93+'Substation Construction SC'!C103+'Substation Construction SC'!C113+'Substation Construction SC'!C123</f>
        <v>115.30017799255731</v>
      </c>
      <c r="D133" s="215">
        <f>'Substation Construction SC'!D73+'Substation Construction SC'!D83+'Substation Construction SC'!D93+'Substation Construction SC'!D103+'Substation Construction SC'!D113+'Substation Construction SC'!D123</f>
        <v>204.45472577972606</v>
      </c>
      <c r="E133" s="215">
        <f>'Substation Construction SC'!E73+'Substation Construction SC'!E83+'Substation Construction SC'!E93+'Substation Construction SC'!E103+'Substation Construction SC'!E113+'Substation Construction SC'!E123</f>
        <v>0.45941307712135881</v>
      </c>
      <c r="F133" s="215">
        <f>'Substation Construction SC'!F73+'Substation Construction SC'!F83+'Substation Construction SC'!F93+'Substation Construction SC'!F103+'Substation Construction SC'!F113+'Substation Construction SC'!F123</f>
        <v>7.7981140206881223</v>
      </c>
      <c r="G133" s="215">
        <f>'Substation Construction SC'!G73+'Substation Construction SC'!G83+'Substation Construction SC'!G93+'Substation Construction SC'!G103+'Substation Construction SC'!G113+'Substation Construction SC'!G123</f>
        <v>6.9403214784124287</v>
      </c>
      <c r="H133" s="215">
        <f>'Substation Construction SC'!H73+'Substation Construction SC'!H83+'Substation Construction SC'!H93+'Substation Construction SC'!H103+'Substation Construction SC'!H113+'Substation Construction SC'!H123</f>
        <v>42952.336201927908</v>
      </c>
      <c r="I133" s="215">
        <f>'Substation Construction SC'!I73+'Substation Construction SC'!I83+'Substation Construction SC'!I93+'Substation Construction SC'!I103+'Substation Construction SC'!I113+'Substation Construction SC'!I123</f>
        <v>2.8901658443356926</v>
      </c>
      <c r="J133" s="215">
        <f>'Substation Construction SC'!J73+'Substation Construction SC'!J83+'Substation Construction SC'!J93+'Substation Construction SC'!J103+'Substation Construction SC'!J113+'Substation Construction SC'!J123</f>
        <v>19.423198949073978</v>
      </c>
      <c r="K133" s="215">
        <f>'Substation Construction SC'!K73+'Substation Construction SC'!K83+'Substation Construction SC'!K93+'Substation Construction SC'!K103+'Substation Construction SC'!K113+'Substation Construction SC'!K123</f>
        <v>0.98571139055639589</v>
      </c>
      <c r="L133" s="215">
        <f>'Substation Construction SC'!L73+'Substation Construction SC'!L83+'Substation Construction SC'!L93+'Substation Construction SC'!L103+'Substation Construction SC'!L113+'Substation Construction SC'!L123</f>
        <v>4.1158346115773465</v>
      </c>
      <c r="M133" s="215">
        <f>'Substation Construction SC'!M73+'Substation Construction SC'!M83+'Substation Construction SC'!M93+'Substation Construction SC'!M103+'Substation Construction SC'!M113+'Substation Construction SC'!M123</f>
        <v>7.3868772243002603</v>
      </c>
      <c r="N133" s="215">
        <f>'Substation Construction SC'!N73+'Substation Construction SC'!N83+'Substation Construction SC'!N93+'Substation Construction SC'!N103+'Substation Construction SC'!N113+'Substation Construction SC'!N123</f>
        <v>1.6076977318866061E-2</v>
      </c>
      <c r="O133" s="215">
        <f>'Substation Construction SC'!O73+'Substation Construction SC'!O83+'Substation Construction SC'!O93+'Substation Construction SC'!O103+'Substation Construction SC'!O113+'Substation Construction SC'!O123</f>
        <v>0.29214623791707528</v>
      </c>
      <c r="P133" s="215">
        <f>'Substation Construction SC'!P73+'Substation Construction SC'!P83+'Substation Construction SC'!P93+'Substation Construction SC'!P103+'Substation Construction SC'!P113+'Substation Construction SC'!P123</f>
        <v>0.26001015174619702</v>
      </c>
      <c r="Q133" s="215">
        <f>'Substation Construction SC'!Q73+'Substation Construction SC'!Q83+'Substation Construction SC'!Q93+'Substation Construction SC'!Q103+'Substation Construction SC'!Q113+'Substation Construction SC'!Q123</f>
        <v>1491.7423211409775</v>
      </c>
      <c r="R133" s="215">
        <f>'Substation Construction SC'!R73+'Substation Construction SC'!R83+'Substation Construction SC'!R93+'Substation Construction SC'!R103+'Substation Construction SC'!R113+'Substation Construction SC'!R123</f>
        <v>0.10087621697482842</v>
      </c>
      <c r="S133" s="215">
        <f>'Substation Construction SC'!S73+'Substation Construction SC'!S83+'Substation Construction SC'!S93+'Substation Construction SC'!S103+'Substation Construction SC'!S113+'Substation Construction SC'!S123</f>
        <v>0.70175333630852488</v>
      </c>
    </row>
    <row r="134" spans="1:19" s="580" customFormat="1" x14ac:dyDescent="0.25">
      <c r="A134" s="27" t="s">
        <v>120</v>
      </c>
      <c r="B134" s="215">
        <f>'Substation Construction SC'!B74+'Substation Construction SC'!B84+'Substation Construction SC'!B94+'Substation Construction SC'!B104+'Substation Construction SC'!B114+'Substation Construction SC'!B124</f>
        <v>3.6656728574780533</v>
      </c>
      <c r="C134" s="215">
        <f>'Substation Construction SC'!C74+'Substation Construction SC'!C84+'Substation Construction SC'!C94+'Substation Construction SC'!C104+'Substation Construction SC'!C114+'Substation Construction SC'!C124</f>
        <v>36.257047366816359</v>
      </c>
      <c r="D134" s="215">
        <f>'Substation Construction SC'!D74+'Substation Construction SC'!D84+'Substation Construction SC'!D94+'Substation Construction SC'!D104+'Substation Construction SC'!D114+'Substation Construction SC'!D124</f>
        <v>3.2720911249121762</v>
      </c>
      <c r="E134" s="215">
        <f>'Substation Construction SC'!E74+'Substation Construction SC'!E84+'Substation Construction SC'!E94+'Substation Construction SC'!E104+'Substation Construction SC'!E114+'Substation Construction SC'!E124</f>
        <v>4.8106579430763741E-2</v>
      </c>
      <c r="F134" s="215">
        <f>'Substation Construction SC'!F74+'Substation Construction SC'!F84+'Substation Construction SC'!F94+'Substation Construction SC'!F104+'Substation Construction SC'!F114+'Substation Construction SC'!F124</f>
        <v>1.1259233710130221</v>
      </c>
      <c r="G134" s="215">
        <f>'Substation Construction SC'!G74+'Substation Construction SC'!G84+'Substation Construction SC'!G94+'Substation Construction SC'!G104+'Substation Construction SC'!G114+'Substation Construction SC'!G124</f>
        <v>0.36785372705059782</v>
      </c>
      <c r="H134" s="215">
        <f>'Substation Construction SC'!H74+'Substation Construction SC'!H84+'Substation Construction SC'!H94+'Substation Construction SC'!H104+'Substation Construction SC'!H114+'Substation Construction SC'!H124</f>
        <v>3711.9749757889149</v>
      </c>
      <c r="I134" s="215">
        <f>'Substation Construction SC'!I74+'Substation Construction SC'!I84+'Substation Construction SC'!I94+'Substation Construction SC'!I104+'Substation Construction SC'!I114+'Substation Construction SC'!I124</f>
        <v>0.20923949484075097</v>
      </c>
      <c r="J134" s="215">
        <f>'Substation Construction SC'!J74+'Substation Construction SC'!J84+'Substation Construction SC'!J94+'Substation Construction SC'!J104+'Substation Construction SC'!J114+'Substation Construction SC'!J124</f>
        <v>0.38088868670756476</v>
      </c>
      <c r="K134" s="215">
        <f>'Substation Construction SC'!K74+'Substation Construction SC'!K84+'Substation Construction SC'!K94+'Substation Construction SC'!K104+'Substation Construction SC'!K114+'Substation Construction SC'!K124</f>
        <v>1.1964825631049398</v>
      </c>
      <c r="L134" s="215">
        <f>'Substation Construction SC'!L74+'Substation Construction SC'!L84+'Substation Construction SC'!L94+'Substation Construction SC'!L104+'Substation Construction SC'!L114+'Substation Construction SC'!L124</f>
        <v>0.10797900712210182</v>
      </c>
      <c r="M134" s="215">
        <f>'Substation Construction SC'!M74+'Substation Construction SC'!M84+'Substation Construction SC'!M94+'Substation Construction SC'!M104+'Substation Construction SC'!M114+'Substation Construction SC'!M124</f>
        <v>0.12096720429677577</v>
      </c>
      <c r="N134" s="215">
        <f>'Substation Construction SC'!N74+'Substation Construction SC'!N84+'Substation Construction SC'!N94+'Substation Construction SC'!N104+'Substation Construction SC'!N114+'Substation Construction SC'!N124</f>
        <v>1.5875171212152036E-3</v>
      </c>
      <c r="O134" s="215">
        <f>'Substation Construction SC'!O74+'Substation Construction SC'!O84+'Substation Construction SC'!O94+'Substation Construction SC'!O104+'Substation Construction SC'!O114+'Substation Construction SC'!O124</f>
        <v>3.7155471243429723E-2</v>
      </c>
      <c r="P134" s="215">
        <f>'Substation Construction SC'!P74+'Substation Construction SC'!P84+'Substation Construction SC'!P94+'Substation Construction SC'!P104+'Substation Construction SC'!P114+'Substation Construction SC'!P124</f>
        <v>1.2139172992669731E-2</v>
      </c>
      <c r="Q134" s="215">
        <f>'Substation Construction SC'!Q74+'Substation Construction SC'!Q84+'Substation Construction SC'!Q94+'Substation Construction SC'!Q104+'Substation Construction SC'!Q114+'Substation Construction SC'!Q124</f>
        <v>122.49517420103419</v>
      </c>
      <c r="R134" s="215">
        <f>'Substation Construction SC'!R74+'Substation Construction SC'!R84+'Substation Construction SC'!R94+'Substation Construction SC'!R104+'Substation Construction SC'!R114+'Substation Construction SC'!R124</f>
        <v>6.9049033297447823E-3</v>
      </c>
      <c r="S134" s="215">
        <f>'Substation Construction SC'!S74+'Substation Construction SC'!S84+'Substation Construction SC'!S94+'Substation Construction SC'!S104+'Substation Construction SC'!S114+'Substation Construction SC'!S124</f>
        <v>1.2569326661349637E-2</v>
      </c>
    </row>
    <row r="135" spans="1:19" s="580" customFormat="1" x14ac:dyDescent="0.25">
      <c r="A135" s="27" t="s">
        <v>121</v>
      </c>
      <c r="B135" s="215">
        <f>'Substation Construction SC'!B75+'Substation Construction SC'!B85+'Substation Construction SC'!B95+'Substation Construction SC'!B105+'Substation Construction SC'!B115+'Substation Construction SC'!B125</f>
        <v>0.7417011789725787</v>
      </c>
      <c r="C135" s="215">
        <f>'Substation Construction SC'!C75+'Substation Construction SC'!C85+'Substation Construction SC'!C95+'Substation Construction SC'!C105+'Substation Construction SC'!C115+'Substation Construction SC'!C125</f>
        <v>3.3586693774421921</v>
      </c>
      <c r="D135" s="215">
        <f>'Substation Construction SC'!D75+'Substation Construction SC'!D85+'Substation Construction SC'!D95+'Substation Construction SC'!D105+'Substation Construction SC'!D115+'Substation Construction SC'!D125</f>
        <v>8.7775668444271417</v>
      </c>
      <c r="E135" s="215">
        <f>'Substation Construction SC'!E75+'Substation Construction SC'!E85+'Substation Construction SC'!E95+'Substation Construction SC'!E105+'Substation Construction SC'!E115+'Substation Construction SC'!E125</f>
        <v>2.6478719180004263E-2</v>
      </c>
      <c r="F135" s="215">
        <f>'Substation Construction SC'!F75+'Substation Construction SC'!F85+'Substation Construction SC'!F95+'Substation Construction SC'!F105+'Substation Construction SC'!F115+'Substation Construction SC'!F125</f>
        <v>0.83110254658777505</v>
      </c>
      <c r="G135" s="215">
        <f>'Substation Construction SC'!G75+'Substation Construction SC'!G85+'Substation Construction SC'!G95+'Substation Construction SC'!G105+'Substation Construction SC'!G115+'Substation Construction SC'!G125</f>
        <v>0.48182444969040916</v>
      </c>
      <c r="H135" s="215">
        <f>'Substation Construction SC'!H75+'Substation Construction SC'!H85+'Substation Construction SC'!H95+'Substation Construction SC'!H105+'Substation Construction SC'!H115+'Substation Construction SC'!H125</f>
        <v>3671.3273123259105</v>
      </c>
      <c r="I135" s="215">
        <f>'Substation Construction SC'!I75+'Substation Construction SC'!I85+'Substation Construction SC'!I95+'Substation Construction SC'!I105+'Substation Construction SC'!I115+'Substation Construction SC'!I125</f>
        <v>0.20979065660823951</v>
      </c>
      <c r="J135" s="215">
        <f>'Substation Construction SC'!J75+'Substation Construction SC'!J85+'Substation Construction SC'!J95+'Substation Construction SC'!J105+'Substation Construction SC'!J115+'Substation Construction SC'!J125</f>
        <v>9.4044720432540529E-2</v>
      </c>
      <c r="K135" s="215">
        <f>'Substation Construction SC'!K75+'Substation Construction SC'!K85+'Substation Construction SC'!K95+'Substation Construction SC'!K105+'Substation Construction SC'!K115+'Substation Construction SC'!K125</f>
        <v>3.5806253080325409E-2</v>
      </c>
      <c r="L135" s="215">
        <f>'Substation Construction SC'!L75+'Substation Construction SC'!L85+'Substation Construction SC'!L95+'Substation Construction SC'!L105+'Substation Construction SC'!L115+'Substation Construction SC'!L125</f>
        <v>0.1690122699981822</v>
      </c>
      <c r="M135" s="215">
        <f>'Substation Construction SC'!M75+'Substation Construction SC'!M85+'Substation Construction SC'!M95+'Substation Construction SC'!M105+'Substation Construction SC'!M115+'Substation Construction SC'!M125</f>
        <v>0.3467752825625719</v>
      </c>
      <c r="N135" s="215">
        <f>'Substation Construction SC'!N75+'Substation Construction SC'!N85+'Substation Construction SC'!N95+'Substation Construction SC'!N105+'Substation Construction SC'!N115+'Substation Construction SC'!N125</f>
        <v>1.1334146097869027E-3</v>
      </c>
      <c r="O135" s="215">
        <f>'Substation Construction SC'!O75+'Substation Construction SC'!O85+'Substation Construction SC'!O95+'Substation Construction SC'!O105+'Substation Construction SC'!O115+'Substation Construction SC'!O125</f>
        <v>4.416378808569562E-2</v>
      </c>
      <c r="P135" s="215">
        <f>'Substation Construction SC'!P75+'Substation Construction SC'!P85+'Substation Construction SC'!P95+'Substation Construction SC'!P105+'Substation Construction SC'!P115+'Substation Construction SC'!P125</f>
        <v>2.6815384617455584E-2</v>
      </c>
      <c r="Q135" s="215">
        <f>'Substation Construction SC'!Q75+'Substation Construction SC'!Q85+'Substation Construction SC'!Q95+'Substation Construction SC'!Q105+'Substation Construction SC'!Q115+'Substation Construction SC'!Q125</f>
        <v>146.11756268277406</v>
      </c>
      <c r="R135" s="215">
        <f>'Substation Construction SC'!R75+'Substation Construction SC'!R85+'Substation Construction SC'!R95+'Substation Construction SC'!R105+'Substation Construction SC'!R115+'Substation Construction SC'!R125</f>
        <v>8.3495958843817566E-3</v>
      </c>
      <c r="S135" s="215">
        <f>'Substation Construction SC'!S75+'Substation Construction SC'!S85+'Substation Construction SC'!S95+'Substation Construction SC'!S105+'Substation Construction SC'!S115+'Substation Construction SC'!S125</f>
        <v>3.7429474856819399E-3</v>
      </c>
    </row>
    <row r="136" spans="1:19" s="580" customFormat="1" x14ac:dyDescent="0.25">
      <c r="A136" s="27" t="s">
        <v>122</v>
      </c>
      <c r="B136" s="215">
        <f>'Substation Construction SC'!B126</f>
        <v>0</v>
      </c>
      <c r="C136" s="215">
        <f>'Substation Construction SC'!C126</f>
        <v>0</v>
      </c>
      <c r="D136" s="215">
        <f>'Substation Construction SC'!D126</f>
        <v>0</v>
      </c>
      <c r="E136" s="215">
        <f>'Substation Construction SC'!E126</f>
        <v>0</v>
      </c>
      <c r="F136" s="215">
        <f>'Substation Construction SC'!F126</f>
        <v>61.930973023881435</v>
      </c>
      <c r="G136" s="215">
        <f>'Substation Construction SC'!G126</f>
        <v>18.217424021291603</v>
      </c>
      <c r="H136" s="215">
        <f>'Substation Construction SC'!H126</f>
        <v>0</v>
      </c>
      <c r="I136" s="215">
        <f>'Substation Construction SC'!I126</f>
        <v>0</v>
      </c>
      <c r="J136" s="215">
        <f>'Substation Construction SC'!J126</f>
        <v>0</v>
      </c>
      <c r="K136" s="215">
        <f>'Substation Construction SC'!K126</f>
        <v>0</v>
      </c>
      <c r="L136" s="215">
        <f>'Substation Construction SC'!L126</f>
        <v>0</v>
      </c>
      <c r="M136" s="215">
        <f>'Substation Construction SC'!M126</f>
        <v>0</v>
      </c>
      <c r="N136" s="215">
        <f>'Substation Construction SC'!N126</f>
        <v>0</v>
      </c>
      <c r="O136" s="215">
        <f>'Substation Construction SC'!O126</f>
        <v>6.8124070326269575</v>
      </c>
      <c r="P136" s="215">
        <f>'Substation Construction SC'!P126</f>
        <v>2.0039166423420762</v>
      </c>
      <c r="Q136" s="215">
        <f>'Substation Construction SC'!Q126</f>
        <v>0</v>
      </c>
      <c r="R136" s="215">
        <f>'Substation Construction SC'!R126</f>
        <v>0</v>
      </c>
      <c r="S136" s="215">
        <f>'Substation Construction SC'!S126</f>
        <v>0</v>
      </c>
    </row>
    <row r="137" spans="1:19" s="580" customFormat="1" x14ac:dyDescent="0.25">
      <c r="A137" s="19" t="s">
        <v>123</v>
      </c>
      <c r="B137" s="22">
        <f>SUM(B133:B136)</f>
        <v>32.354044863354645</v>
      </c>
      <c r="C137" s="22">
        <f t="shared" ref="C137:S137" si="19">SUM(C133:C136)</f>
        <v>154.91589473681586</v>
      </c>
      <c r="D137" s="22">
        <f t="shared" si="19"/>
        <v>216.50438374906537</v>
      </c>
      <c r="E137" s="22">
        <f t="shared" si="19"/>
        <v>0.53399837573212672</v>
      </c>
      <c r="F137" s="22">
        <f t="shared" si="19"/>
        <v>71.686112962170355</v>
      </c>
      <c r="G137" s="22">
        <f t="shared" si="19"/>
        <v>26.007423676445036</v>
      </c>
      <c r="H137" s="22">
        <f t="shared" si="19"/>
        <v>50335.638490042737</v>
      </c>
      <c r="I137" s="22">
        <f t="shared" si="19"/>
        <v>3.309195995784683</v>
      </c>
      <c r="J137" s="22">
        <f t="shared" si="19"/>
        <v>19.898132356214084</v>
      </c>
      <c r="K137" s="22">
        <f t="shared" si="19"/>
        <v>2.2180002067416611</v>
      </c>
      <c r="L137" s="22">
        <f t="shared" si="19"/>
        <v>4.3928258886976304</v>
      </c>
      <c r="M137" s="22">
        <f t="shared" si="19"/>
        <v>7.8546197111596072</v>
      </c>
      <c r="N137" s="22">
        <f t="shared" si="19"/>
        <v>1.879790904986817E-2</v>
      </c>
      <c r="O137" s="22">
        <f t="shared" si="19"/>
        <v>7.1858725298731585</v>
      </c>
      <c r="P137" s="22">
        <f t="shared" si="19"/>
        <v>2.3028813516983986</v>
      </c>
      <c r="Q137" s="22">
        <f t="shared" si="19"/>
        <v>1760.3550580247856</v>
      </c>
      <c r="R137" s="22">
        <f t="shared" si="19"/>
        <v>0.11613071618895496</v>
      </c>
      <c r="S137" s="22">
        <f t="shared" si="19"/>
        <v>0.7180656104555565</v>
      </c>
    </row>
    <row r="138" spans="1:19" s="580" customFormat="1" x14ac:dyDescent="0.25">
      <c r="A138" s="19" t="s">
        <v>641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</row>
    <row r="139" spans="1:19" s="580" customFormat="1" x14ac:dyDescent="0.25">
      <c r="A139" s="27" t="s">
        <v>75</v>
      </c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</row>
    <row r="140" spans="1:19" s="580" customFormat="1" x14ac:dyDescent="0.25">
      <c r="A140" s="27" t="s">
        <v>119</v>
      </c>
      <c r="B140" s="215">
        <f>'Transmission Line Construct SC'!B97+'Transmission Line Construct SC'!B108</f>
        <v>19.767071941259999</v>
      </c>
      <c r="C140" s="215">
        <f>'Transmission Line Construct SC'!C97+'Transmission Line Construct SC'!C108</f>
        <v>92.657086042656331</v>
      </c>
      <c r="D140" s="215">
        <f>'Transmission Line Construct SC'!D97+'Transmission Line Construct SC'!D108</f>
        <v>130.82303849329151</v>
      </c>
      <c r="E140" s="215">
        <f>'Transmission Line Construct SC'!E97+'Transmission Line Construct SC'!E108</f>
        <v>0.32233924216608445</v>
      </c>
      <c r="F140" s="215">
        <f>'Transmission Line Construct SC'!F97+'Transmission Line Construct SC'!F108</f>
        <v>5.6257247496569152</v>
      </c>
      <c r="G140" s="215">
        <f>'Transmission Line Construct SC'!G97+'Transmission Line Construct SC'!G108</f>
        <v>5.0068950271946555</v>
      </c>
      <c r="H140" s="215">
        <f>'Transmission Line Construct SC'!H97+'Transmission Line Construct SC'!H108</f>
        <v>29692.290862315353</v>
      </c>
      <c r="I140" s="215">
        <f>'Transmission Line Construct SC'!I97+'Transmission Line Construct SC'!I108</f>
        <v>2.1231555324596334</v>
      </c>
      <c r="J140" s="215">
        <f>'Transmission Line Construct SC'!J97+'Transmission Line Construct SC'!J108</f>
        <v>12.428188656862694</v>
      </c>
      <c r="K140" s="215">
        <f>'Transmission Line Construct SC'!K97+'Transmission Line Construct SC'!K108</f>
        <v>0.3189184465497486</v>
      </c>
      <c r="L140" s="215">
        <f>'Transmission Line Construct SC'!L97+'Transmission Line Construct SC'!L108</f>
        <v>1.4971942747322156</v>
      </c>
      <c r="M140" s="215">
        <f>'Transmission Line Construct SC'!M97+'Transmission Line Construct SC'!M108</f>
        <v>2.0996816002008765</v>
      </c>
      <c r="N140" s="215">
        <f>'Transmission Line Construct SC'!N97+'Transmission Line Construct SC'!N108</f>
        <v>5.482757544869413E-3</v>
      </c>
      <c r="O140" s="215">
        <f>'Transmission Line Construct SC'!O97+'Transmission Line Construct SC'!O108</f>
        <v>9.1718982765490745E-2</v>
      </c>
      <c r="P140" s="215">
        <f>'Transmission Line Construct SC'!P97+'Transmission Line Construct SC'!P108</f>
        <v>8.162989466128677E-2</v>
      </c>
      <c r="Q140" s="215">
        <f>'Transmission Line Construct SC'!Q97+'Transmission Line Construct SC'!Q108</f>
        <v>507.16291396529653</v>
      </c>
      <c r="R140" s="215">
        <f>'Transmission Line Construct SC'!R97+'Transmission Line Construct SC'!R108</f>
        <v>3.4143454938702064E-2</v>
      </c>
      <c r="S140" s="215">
        <f>'Transmission Line Construct SC'!S97+'Transmission Line Construct SC'!S108</f>
        <v>0.19946975201908329</v>
      </c>
    </row>
    <row r="141" spans="1:19" s="580" customFormat="1" x14ac:dyDescent="0.25">
      <c r="A141" s="27" t="s">
        <v>120</v>
      </c>
      <c r="B141" s="215">
        <f>'Transmission Line Construct SC'!B98+'Transmission Line Construct SC'!B109</f>
        <v>1.3636753665796779</v>
      </c>
      <c r="C141" s="215">
        <f>'Transmission Line Construct SC'!C98+'Transmission Line Construct SC'!C109</f>
        <v>12.31347922446942</v>
      </c>
      <c r="D141" s="215">
        <f>'Transmission Line Construct SC'!D98+'Transmission Line Construct SC'!D109</f>
        <v>1.1070283445479314</v>
      </c>
      <c r="E141" s="215">
        <f>'Transmission Line Construct SC'!E98+'Transmission Line Construct SC'!E109</f>
        <v>1.7939110798098214E-2</v>
      </c>
      <c r="F141" s="215">
        <f>'Transmission Line Construct SC'!F98+'Transmission Line Construct SC'!F109</f>
        <v>0.40866868176166704</v>
      </c>
      <c r="G141" s="215">
        <f>'Transmission Line Construct SC'!G98+'Transmission Line Construct SC'!G109</f>
        <v>0.17361068797364249</v>
      </c>
      <c r="H141" s="215">
        <f>'Transmission Line Construct SC'!H98+'Transmission Line Construct SC'!H109</f>
        <v>1309.2617417263411</v>
      </c>
      <c r="I141" s="215">
        <f>'Transmission Line Construct SC'!I98+'Transmission Line Construct SC'!I109</f>
        <v>7.604679043953326E-2</v>
      </c>
      <c r="J141" s="215">
        <f>'Transmission Line Construct SC'!J98+'Transmission Line Construct SC'!J109</f>
        <v>0.13848724547255342</v>
      </c>
      <c r="K141" s="215">
        <f>'Transmission Line Construct SC'!K98+'Transmission Line Construct SC'!K109</f>
        <v>4.5001287097129368E-2</v>
      </c>
      <c r="L141" s="215">
        <f>'Transmission Line Construct SC'!L98+'Transmission Line Construct SC'!L109</f>
        <v>0.40634481440749082</v>
      </c>
      <c r="M141" s="215">
        <f>'Transmission Line Construct SC'!M98+'Transmission Line Construct SC'!M109</f>
        <v>3.6531935370081738E-2</v>
      </c>
      <c r="N141" s="215">
        <f>'Transmission Line Construct SC'!N98+'Transmission Line Construct SC'!N109</f>
        <v>5.9199065633724099E-4</v>
      </c>
      <c r="O141" s="215">
        <f>'Transmission Line Construct SC'!O98+'Transmission Line Construct SC'!O109</f>
        <v>1.348606649813501E-2</v>
      </c>
      <c r="P141" s="215">
        <f>'Transmission Line Construct SC'!P98+'Transmission Line Construct SC'!P109</f>
        <v>5.7291527031302011E-3</v>
      </c>
      <c r="Q141" s="215">
        <f>'Transmission Line Construct SC'!Q98+'Transmission Line Construct SC'!Q109</f>
        <v>43.205637476969258</v>
      </c>
      <c r="R141" s="215">
        <f>'Transmission Line Construct SC'!R98+'Transmission Line Construct SC'!R109</f>
        <v>2.5095440845045976E-3</v>
      </c>
      <c r="S141" s="215">
        <f>'Transmission Line Construct SC'!S98+'Transmission Line Construct SC'!S109</f>
        <v>4.5700791005942633E-3</v>
      </c>
    </row>
    <row r="142" spans="1:19" s="580" customFormat="1" x14ac:dyDescent="0.25">
      <c r="A142" s="27" t="s">
        <v>121</v>
      </c>
      <c r="B142" s="215">
        <f>'Transmission Line Construct SC'!B99+'Transmission Line Construct SC'!B110</f>
        <v>0.6735775618522053</v>
      </c>
      <c r="C142" s="215">
        <f>'Transmission Line Construct SC'!C99+'Transmission Line Construct SC'!C110</f>
        <v>2.8308013887504151</v>
      </c>
      <c r="D142" s="215">
        <f>'Transmission Line Construct SC'!D99+'Transmission Line Construct SC'!D110</f>
        <v>10.409740909062535</v>
      </c>
      <c r="E142" s="215">
        <f>'Transmission Line Construct SC'!E99+'Transmission Line Construct SC'!E110</f>
        <v>2.8135340311175844E-2</v>
      </c>
      <c r="F142" s="215">
        <f>'Transmission Line Construct SC'!F99+'Transmission Line Construct SC'!F110</f>
        <v>0.61090918617302492</v>
      </c>
      <c r="G142" s="215">
        <f>'Transmission Line Construct SC'!G99+'Transmission Line Construct SC'!G110</f>
        <v>0.32042371845772755</v>
      </c>
      <c r="H142" s="215">
        <f>'Transmission Line Construct SC'!H99+'Transmission Line Construct SC'!H110</f>
        <v>4300.9786388676657</v>
      </c>
      <c r="I142" s="215">
        <f>'Transmission Line Construct SC'!I99+'Transmission Line Construct SC'!I110</f>
        <v>0.24577082236081499</v>
      </c>
      <c r="J142" s="215">
        <f>'Transmission Line Construct SC'!J99+'Transmission Line Construct SC'!J110</f>
        <v>0.11017386881323411</v>
      </c>
      <c r="K142" s="215">
        <f>'Transmission Line Construct SC'!K99+'Transmission Line Construct SC'!K110</f>
        <v>1.077180087677437E-2</v>
      </c>
      <c r="L142" s="215">
        <f>'Transmission Line Construct SC'!L99+'Transmission Line Construct SC'!L110</f>
        <v>4.6420578337421886E-2</v>
      </c>
      <c r="M142" s="215">
        <f>'Transmission Line Construct SC'!M99+'Transmission Line Construct SC'!M110</f>
        <v>0.15372708780985539</v>
      </c>
      <c r="N142" s="215">
        <f>'Transmission Line Construct SC'!N99+'Transmission Line Construct SC'!N110</f>
        <v>4.297039203413354E-4</v>
      </c>
      <c r="O142" s="215">
        <f>'Transmission Line Construct SC'!O99+'Transmission Line Construct SC'!O110</f>
        <v>1.0557405078417945E-2</v>
      </c>
      <c r="P142" s="215">
        <f>'Transmission Line Construct SC'!P99+'Transmission Line Construct SC'!P110</f>
        <v>5.7467508787472478E-3</v>
      </c>
      <c r="Q142" s="215">
        <f>'Transmission Line Construct SC'!Q99+'Transmission Line Construct SC'!Q110</f>
        <v>63.770512600665811</v>
      </c>
      <c r="R142" s="215">
        <f>'Transmission Line Construct SC'!R99+'Transmission Line Construct SC'!R110</f>
        <v>3.6440384015398466E-3</v>
      </c>
      <c r="S142" s="215">
        <f>'Transmission Line Construct SC'!S99+'Transmission Line Construct SC'!S110</f>
        <v>1.6335454507786554E-3</v>
      </c>
    </row>
    <row r="143" spans="1:19" s="580" customFormat="1" x14ac:dyDescent="0.25">
      <c r="A143" s="27" t="s">
        <v>122</v>
      </c>
      <c r="B143" s="215">
        <f>'Transmission Line Construct SC'!B100+'Transmission Line Construct SC'!B111</f>
        <v>0</v>
      </c>
      <c r="C143" s="215">
        <f>'Transmission Line Construct SC'!C100+'Transmission Line Construct SC'!C111</f>
        <v>0</v>
      </c>
      <c r="D143" s="215">
        <f>'Transmission Line Construct SC'!D100+'Transmission Line Construct SC'!D111</f>
        <v>0</v>
      </c>
      <c r="E143" s="215">
        <f>'Transmission Line Construct SC'!E100+'Transmission Line Construct SC'!E111</f>
        <v>0</v>
      </c>
      <c r="F143" s="215">
        <f>'Transmission Line Construct SC'!F100+'Transmission Line Construct SC'!F111</f>
        <v>179.54240420926766</v>
      </c>
      <c r="G143" s="215">
        <f>'Transmission Line Construct SC'!G100+'Transmission Line Construct SC'!G111</f>
        <v>53.577111827825057</v>
      </c>
      <c r="H143" s="215">
        <f>'Transmission Line Construct SC'!H100+'Transmission Line Construct SC'!H111</f>
        <v>0</v>
      </c>
      <c r="I143" s="215">
        <f>'Transmission Line Construct SC'!I100+'Transmission Line Construct SC'!I111</f>
        <v>0</v>
      </c>
      <c r="J143" s="215">
        <f>'Transmission Line Construct SC'!J100+'Transmission Line Construct SC'!J111</f>
        <v>0</v>
      </c>
      <c r="K143" s="215">
        <f>'Transmission Line Construct SC'!K100+'Transmission Line Construct SC'!K111</f>
        <v>0</v>
      </c>
      <c r="L143" s="215">
        <f>'Transmission Line Construct SC'!L100+'Transmission Line Construct SC'!L111</f>
        <v>0</v>
      </c>
      <c r="M143" s="215">
        <f>'Transmission Line Construct SC'!M100+'Transmission Line Construct SC'!M111</f>
        <v>0</v>
      </c>
      <c r="N143" s="215">
        <f>'Transmission Line Construct SC'!N100+'Transmission Line Construct SC'!N111</f>
        <v>0</v>
      </c>
      <c r="O143" s="215">
        <f>'Transmission Line Construct SC'!O100+'Transmission Line Construct SC'!O111</f>
        <v>7.8998657852077772</v>
      </c>
      <c r="P143" s="215">
        <f>'Transmission Line Construct SC'!P100+'Transmission Line Construct SC'!P111</f>
        <v>2.3573929204243025</v>
      </c>
      <c r="Q143" s="215">
        <f>'Transmission Line Construct SC'!Q100+'Transmission Line Construct SC'!Q111</f>
        <v>0</v>
      </c>
      <c r="R143" s="215">
        <f>'Transmission Line Construct SC'!R100+'Transmission Line Construct SC'!R111</f>
        <v>0</v>
      </c>
      <c r="S143" s="215">
        <f>'Transmission Line Construct SC'!S100+'Transmission Line Construct SC'!S111</f>
        <v>0</v>
      </c>
    </row>
    <row r="144" spans="1:19" s="580" customFormat="1" x14ac:dyDescent="0.25">
      <c r="A144" s="19" t="s">
        <v>123</v>
      </c>
      <c r="B144" s="22">
        <f>SUM(B140:B143)</f>
        <v>21.804324869691882</v>
      </c>
      <c r="C144" s="22">
        <f t="shared" ref="C144:S144" si="20">SUM(C140:C143)</f>
        <v>107.80136665587617</v>
      </c>
      <c r="D144" s="22">
        <f t="shared" si="20"/>
        <v>142.33980774690195</v>
      </c>
      <c r="E144" s="22">
        <f t="shared" si="20"/>
        <v>0.36841369327535856</v>
      </c>
      <c r="F144" s="22">
        <f t="shared" si="20"/>
        <v>186.18770682685926</v>
      </c>
      <c r="G144" s="22">
        <f t="shared" si="20"/>
        <v>59.078041261451084</v>
      </c>
      <c r="H144" s="22">
        <f t="shared" si="20"/>
        <v>35302.531242909361</v>
      </c>
      <c r="I144" s="22">
        <f t="shared" si="20"/>
        <v>2.4449731452599814</v>
      </c>
      <c r="J144" s="22">
        <f t="shared" si="20"/>
        <v>12.676849771148483</v>
      </c>
      <c r="K144" s="22">
        <f t="shared" si="20"/>
        <v>0.37469153452365234</v>
      </c>
      <c r="L144" s="22">
        <f t="shared" si="20"/>
        <v>1.9499596674771282</v>
      </c>
      <c r="M144" s="22">
        <f t="shared" si="20"/>
        <v>2.2899406233808137</v>
      </c>
      <c r="N144" s="22">
        <f t="shared" si="20"/>
        <v>6.5044521215479895E-3</v>
      </c>
      <c r="O144" s="22">
        <f t="shared" si="20"/>
        <v>8.0156282395498213</v>
      </c>
      <c r="P144" s="22">
        <f t="shared" si="20"/>
        <v>2.4504987186674665</v>
      </c>
      <c r="Q144" s="22">
        <f t="shared" si="20"/>
        <v>614.13906404293164</v>
      </c>
      <c r="R144" s="22">
        <f t="shared" si="20"/>
        <v>4.029703742474651E-2</v>
      </c>
      <c r="S144" s="22">
        <f t="shared" si="20"/>
        <v>0.2056733765704562</v>
      </c>
    </row>
    <row r="145" spans="1:19" s="580" customFormat="1" x14ac:dyDescent="0.25">
      <c r="A145" s="19" t="s">
        <v>646</v>
      </c>
      <c r="B145" s="22">
        <f>B137+B144</f>
        <v>54.158369733046527</v>
      </c>
      <c r="C145" s="22">
        <f t="shared" ref="C145:S145" si="21">C137+C144</f>
        <v>262.71726139269202</v>
      </c>
      <c r="D145" s="22">
        <f t="shared" si="21"/>
        <v>358.84419149596732</v>
      </c>
      <c r="E145" s="22">
        <f t="shared" si="21"/>
        <v>0.90241206900748527</v>
      </c>
      <c r="F145" s="22">
        <f t="shared" si="21"/>
        <v>257.8738197890296</v>
      </c>
      <c r="G145" s="22">
        <f t="shared" si="21"/>
        <v>85.08546493789612</v>
      </c>
      <c r="H145" s="22">
        <f t="shared" si="21"/>
        <v>85638.169732952098</v>
      </c>
      <c r="I145" s="22">
        <f t="shared" si="21"/>
        <v>5.7541691410446649</v>
      </c>
      <c r="J145" s="22">
        <f t="shared" si="21"/>
        <v>32.574982127362567</v>
      </c>
      <c r="K145" s="22">
        <f t="shared" si="21"/>
        <v>2.5926917412653134</v>
      </c>
      <c r="L145" s="22">
        <f t="shared" si="21"/>
        <v>6.3427855561747588</v>
      </c>
      <c r="M145" s="22">
        <f t="shared" si="21"/>
        <v>10.14456033454042</v>
      </c>
      <c r="N145" s="22">
        <f t="shared" si="21"/>
        <v>2.5302361171416161E-2</v>
      </c>
      <c r="O145" s="22">
        <f t="shared" si="21"/>
        <v>15.20150076942298</v>
      </c>
      <c r="P145" s="22">
        <f t="shared" si="21"/>
        <v>4.7533800703658651</v>
      </c>
      <c r="Q145" s="22">
        <f t="shared" si="21"/>
        <v>2374.4941220677174</v>
      </c>
      <c r="R145" s="22">
        <f t="shared" si="21"/>
        <v>0.15642775361370148</v>
      </c>
      <c r="S145" s="22">
        <f t="shared" si="21"/>
        <v>0.92373898702601265</v>
      </c>
    </row>
    <row r="146" spans="1:19" s="580" customFormat="1" x14ac:dyDescent="0.25">
      <c r="A146" s="27" t="s">
        <v>344</v>
      </c>
      <c r="B146" s="213">
        <v>75</v>
      </c>
      <c r="C146" s="213">
        <v>550</v>
      </c>
      <c r="D146" s="213">
        <v>100</v>
      </c>
      <c r="E146" s="213">
        <v>150</v>
      </c>
      <c r="F146" s="213">
        <v>150</v>
      </c>
      <c r="G146" s="213">
        <v>55</v>
      </c>
      <c r="H146" s="27" t="s">
        <v>345</v>
      </c>
      <c r="I146" s="27" t="s">
        <v>345</v>
      </c>
      <c r="J146" s="27" t="s">
        <v>345</v>
      </c>
      <c r="K146" s="27" t="s">
        <v>345</v>
      </c>
      <c r="L146" s="27" t="s">
        <v>345</v>
      </c>
      <c r="M146" s="27" t="s">
        <v>345</v>
      </c>
      <c r="N146" s="27" t="s">
        <v>345</v>
      </c>
      <c r="O146" s="27" t="s">
        <v>345</v>
      </c>
      <c r="P146" s="27" t="s">
        <v>345</v>
      </c>
      <c r="Q146" s="27" t="s">
        <v>345</v>
      </c>
      <c r="R146" s="27" t="s">
        <v>345</v>
      </c>
      <c r="S146" s="27" t="s">
        <v>345</v>
      </c>
    </row>
    <row r="147" spans="1:19" s="580" customFormat="1" x14ac:dyDescent="0.25"/>
    <row r="148" spans="1:19" s="580" customFormat="1" x14ac:dyDescent="0.25"/>
    <row r="149" spans="1:19" s="580" customFormat="1" x14ac:dyDescent="0.25">
      <c r="A149" s="585">
        <v>2018</v>
      </c>
    </row>
    <row r="150" spans="1:19" s="580" customFormat="1" ht="39.6" x14ac:dyDescent="0.25">
      <c r="A150" s="19" t="s">
        <v>132</v>
      </c>
      <c r="B150" s="16" t="s">
        <v>18</v>
      </c>
      <c r="C150" s="16" t="s">
        <v>19</v>
      </c>
      <c r="D150" s="16" t="s">
        <v>20</v>
      </c>
      <c r="E150" s="16" t="s">
        <v>21</v>
      </c>
      <c r="F150" s="16" t="s">
        <v>22</v>
      </c>
      <c r="G150" s="16" t="s">
        <v>23</v>
      </c>
      <c r="H150" s="17" t="s">
        <v>24</v>
      </c>
      <c r="I150" s="16" t="s">
        <v>25</v>
      </c>
      <c r="J150" s="16" t="s">
        <v>26</v>
      </c>
      <c r="K150" s="18" t="s">
        <v>27</v>
      </c>
      <c r="L150" s="18" t="s">
        <v>28</v>
      </c>
      <c r="M150" s="18" t="s">
        <v>29</v>
      </c>
      <c r="N150" s="18" t="s">
        <v>30</v>
      </c>
      <c r="O150" s="18" t="s">
        <v>31</v>
      </c>
      <c r="P150" s="18" t="s">
        <v>32</v>
      </c>
      <c r="Q150" s="17" t="s">
        <v>33</v>
      </c>
      <c r="R150" s="18" t="s">
        <v>34</v>
      </c>
      <c r="S150" s="18" t="s">
        <v>35</v>
      </c>
    </row>
    <row r="151" spans="1:19" s="580" customFormat="1" x14ac:dyDescent="0.25">
      <c r="A151" s="19" t="s">
        <v>640</v>
      </c>
      <c r="B151" s="16"/>
      <c r="C151" s="16"/>
      <c r="D151" s="16"/>
      <c r="E151" s="16"/>
      <c r="F151" s="16"/>
      <c r="G151" s="16"/>
      <c r="H151" s="17"/>
      <c r="I151" s="16"/>
      <c r="J151" s="16"/>
      <c r="K151" s="18"/>
      <c r="L151" s="18"/>
      <c r="M151" s="18"/>
      <c r="N151" s="18"/>
      <c r="O151" s="18"/>
      <c r="P151" s="18"/>
      <c r="Q151" s="17"/>
      <c r="R151" s="18"/>
      <c r="S151" s="18"/>
    </row>
    <row r="152" spans="1:19" s="580" customFormat="1" x14ac:dyDescent="0.25">
      <c r="A152" s="27" t="s">
        <v>75</v>
      </c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</row>
    <row r="153" spans="1:19" s="580" customFormat="1" x14ac:dyDescent="0.25">
      <c r="A153" s="27" t="s">
        <v>119</v>
      </c>
      <c r="B153" s="215">
        <f>'Substation Construction SC'!B135+'Substation Construction SC'!B146+'Substation Construction SC'!B157+'Substation Construction SC'!B167</f>
        <v>30.325564151411271</v>
      </c>
      <c r="C153" s="215">
        <f>'Substation Construction SC'!C135+'Substation Construction SC'!C146+'Substation Construction SC'!C157+'Substation Construction SC'!C167</f>
        <v>147.91046149760237</v>
      </c>
      <c r="D153" s="215">
        <f>'Substation Construction SC'!D135+'Substation Construction SC'!D146+'Substation Construction SC'!D157+'Substation Construction SC'!D167</f>
        <v>201.46018728627249</v>
      </c>
      <c r="E153" s="215">
        <f>'Substation Construction SC'!E135+'Substation Construction SC'!E146+'Substation Construction SC'!E157+'Substation Construction SC'!E167</f>
        <v>0.59230457308815576</v>
      </c>
      <c r="F153" s="215">
        <f>'Substation Construction SC'!F135+'Substation Construction SC'!F146+'Substation Construction SC'!F157+'Substation Construction SC'!F167</f>
        <v>7.6074198554930534</v>
      </c>
      <c r="G153" s="215">
        <f>'Substation Construction SC'!G135+'Substation Construction SC'!G146+'Substation Construction SC'!G157+'Substation Construction SC'!G167</f>
        <v>6.7706036713888169</v>
      </c>
      <c r="H153" s="215">
        <f>'Substation Construction SC'!H135+'Substation Construction SC'!H146+'Substation Construction SC'!H157+'Substation Construction SC'!H167</f>
        <v>54768.230872623135</v>
      </c>
      <c r="I153" s="215">
        <f>'Substation Construction SC'!I135+'Substation Construction SC'!I146+'Substation Construction SC'!I157+'Substation Construction SC'!I167</f>
        <v>3.3926369040843505</v>
      </c>
      <c r="J153" s="215">
        <f>'Substation Construction SC'!J135+'Substation Construction SC'!J146+'Substation Construction SC'!J157+'Substation Construction SC'!J167</f>
        <v>19.138717792195891</v>
      </c>
      <c r="K153" s="215">
        <f>'Substation Construction SC'!K135+'Substation Construction SC'!K146+'Substation Construction SC'!K157+'Substation Construction SC'!K167</f>
        <v>1.1706534747585446</v>
      </c>
      <c r="L153" s="215">
        <f>'Substation Construction SC'!L135+'Substation Construction SC'!L146+'Substation Construction SC'!L157+'Substation Construction SC'!L167</f>
        <v>5.9172188572884501</v>
      </c>
      <c r="M153" s="215">
        <f>'Substation Construction SC'!M135+'Substation Construction SC'!M146+'Substation Construction SC'!M157+'Substation Construction SC'!M167</f>
        <v>7.7111767543592258</v>
      </c>
      <c r="N153" s="215">
        <f>'Substation Construction SC'!N135+'Substation Construction SC'!N146+'Substation Construction SC'!N157+'Substation Construction SC'!N167</f>
        <v>2.2598955479248669E-2</v>
      </c>
      <c r="O153" s="215">
        <f>'Substation Construction SC'!O135+'Substation Construction SC'!O146+'Substation Construction SC'!O157+'Substation Construction SC'!O167</f>
        <v>0.29980642126328128</v>
      </c>
      <c r="P153" s="215">
        <f>'Substation Construction SC'!P135+'Substation Construction SC'!P146+'Substation Construction SC'!P157+'Substation Construction SC'!P167</f>
        <v>0.26682771492432034</v>
      </c>
      <c r="Q153" s="215">
        <f>'Substation Construction SC'!Q135+'Substation Construction SC'!Q146+'Substation Construction SC'!Q157+'Substation Construction SC'!Q167</f>
        <v>2068.0877070845263</v>
      </c>
      <c r="R153" s="215">
        <f>'Substation Construction SC'!R135+'Substation Construction SC'!R146+'Substation Construction SC'!R157+'Substation Construction SC'!R167</f>
        <v>0.13111651848370109</v>
      </c>
      <c r="S153" s="215">
        <f>'Substation Construction SC'!S135+'Substation Construction SC'!S146+'Substation Construction SC'!S157+'Substation Construction SC'!S167</f>
        <v>0.73256179166412638</v>
      </c>
    </row>
    <row r="154" spans="1:19" s="580" customFormat="1" x14ac:dyDescent="0.25">
      <c r="A154" s="27" t="s">
        <v>120</v>
      </c>
      <c r="B154" s="215">
        <f>'Substation Construction SC'!B136+'Substation Construction SC'!B147+'Substation Construction SC'!B158+'Substation Construction SC'!B168</f>
        <v>2.3174307728703485</v>
      </c>
      <c r="C154" s="215">
        <f>'Substation Construction SC'!C136+'Substation Construction SC'!C147+'Substation Construction SC'!C158+'Substation Construction SC'!C168</f>
        <v>20.955413153658355</v>
      </c>
      <c r="D154" s="215">
        <f>'Substation Construction SC'!D136+'Substation Construction SC'!D147+'Substation Construction SC'!D158+'Substation Construction SC'!D168</f>
        <v>1.8952329995476158</v>
      </c>
      <c r="E154" s="215">
        <f>'Substation Construction SC'!E136+'Substation Construction SC'!E147+'Substation Construction SC'!E158+'Substation Construction SC'!E168</f>
        <v>3.0374685777863623E-2</v>
      </c>
      <c r="F154" s="215">
        <f>'Substation Construction SC'!F136+'Substation Construction SC'!F147+'Substation Construction SC'!F158+'Substation Construction SC'!F168</f>
        <v>0.69604074269279437</v>
      </c>
      <c r="G154" s="215">
        <f>'Substation Construction SC'!G136+'Substation Construction SC'!G147+'Substation Construction SC'!G158+'Substation Construction SC'!G168</f>
        <v>0.22683502566764635</v>
      </c>
      <c r="H154" s="215">
        <f>'Substation Construction SC'!H136+'Substation Construction SC'!H147+'Substation Construction SC'!H158+'Substation Construction SC'!H168</f>
        <v>2290.4622383983206</v>
      </c>
      <c r="I154" s="215">
        <f>'Substation Construction SC'!I136+'Substation Construction SC'!I147+'Substation Construction SC'!I158+'Substation Construction SC'!I168</f>
        <v>0.12949760351865094</v>
      </c>
      <c r="J154" s="215">
        <f>'Substation Construction SC'!J136+'Substation Construction SC'!J147+'Substation Construction SC'!J158+'Substation Construction SC'!J168</f>
        <v>0.23579558253862251</v>
      </c>
      <c r="K154" s="215">
        <f>'Substation Construction SC'!K136+'Substation Construction SC'!K147+'Substation Construction SC'!K158+'Substation Construction SC'!K168</f>
        <v>0.69152863407072585</v>
      </c>
      <c r="L154" s="215">
        <f>'Substation Construction SC'!L136+'Substation Construction SC'!L147+'Substation Construction SC'!L158+'Substation Construction SC'!L168</f>
        <v>6.2542688985071315E-2</v>
      </c>
      <c r="M154" s="215">
        <f>'Substation Construction SC'!M136+'Substation Construction SC'!M147+'Substation Construction SC'!M158+'Substation Construction SC'!M168</f>
        <v>7.64752155047215E-2</v>
      </c>
      <c r="N154" s="215">
        <f>'Substation Construction SC'!N136+'Substation Construction SC'!N147+'Substation Construction SC'!N158+'Substation Construction SC'!N168</f>
        <v>1.0023646306694994E-3</v>
      </c>
      <c r="O154" s="215">
        <f>'Substation Construction SC'!O136+'Substation Construction SC'!O147+'Substation Construction SC'!O158+'Substation Construction SC'!O168</f>
        <v>2.2969344508862212E-2</v>
      </c>
      <c r="P154" s="215">
        <f>'Substation Construction SC'!P136+'Substation Construction SC'!P147+'Substation Construction SC'!P158+'Substation Construction SC'!P168</f>
        <v>7.4855558470323293E-3</v>
      </c>
      <c r="Q154" s="215">
        <f>'Substation Construction SC'!Q136+'Substation Construction SC'!Q147+'Substation Construction SC'!Q158+'Substation Construction SC'!Q168</f>
        <v>75.585253867144573</v>
      </c>
      <c r="R154" s="215">
        <f>'Substation Construction SC'!R136+'Substation Construction SC'!R147+'Substation Construction SC'!R158+'Substation Construction SC'!R168</f>
        <v>4.2734209161154821E-3</v>
      </c>
      <c r="S154" s="215">
        <f>'Substation Construction SC'!S136+'Substation Construction SC'!S147+'Substation Construction SC'!S158+'Substation Construction SC'!S168</f>
        <v>7.7812542237745428E-3</v>
      </c>
    </row>
    <row r="155" spans="1:19" s="580" customFormat="1" x14ac:dyDescent="0.25">
      <c r="A155" s="27" t="s">
        <v>121</v>
      </c>
      <c r="B155" s="215">
        <f>'Substation Construction SC'!B137+'Substation Construction SC'!B148+'Substation Construction SC'!B159+'Substation Construction SC'!B169</f>
        <v>1.4723372606642307</v>
      </c>
      <c r="C155" s="215">
        <f>'Substation Construction SC'!C137+'Substation Construction SC'!C148+'Substation Construction SC'!C159+'Substation Construction SC'!C169</f>
        <v>6.2292096266284975</v>
      </c>
      <c r="D155" s="215">
        <f>'Substation Construction SC'!D137+'Substation Construction SC'!D148+'Substation Construction SC'!D159+'Substation Construction SC'!D169</f>
        <v>24.706680515002642</v>
      </c>
      <c r="E155" s="215">
        <f>'Substation Construction SC'!E137+'Substation Construction SC'!E148+'Substation Construction SC'!E159+'Substation Construction SC'!E169</f>
        <v>5.9387949125722379E-2</v>
      </c>
      <c r="F155" s="215">
        <f>'Substation Construction SC'!F137+'Substation Construction SC'!F148+'Substation Construction SC'!F159+'Substation Construction SC'!F169</f>
        <v>1.3407001424189087</v>
      </c>
      <c r="G155" s="215">
        <f>'Substation Construction SC'!G137+'Substation Construction SC'!G148+'Substation Construction SC'!G159+'Substation Construction SC'!G169</f>
        <v>0.71383382020221053</v>
      </c>
      <c r="H155" s="215">
        <f>'Substation Construction SC'!H137+'Substation Construction SC'!H148+'Substation Construction SC'!H159+'Substation Construction SC'!H169</f>
        <v>9104.0776638047391</v>
      </c>
      <c r="I155" s="215">
        <f>'Substation Construction SC'!I137+'Substation Construction SC'!I148+'Substation Construction SC'!I159+'Substation Construction SC'!I169</f>
        <v>0.52023430994279429</v>
      </c>
      <c r="J155" s="215">
        <f>'Substation Construction SC'!J137+'Substation Construction SC'!J148+'Substation Construction SC'!J159+'Substation Construction SC'!J169</f>
        <v>0.23321005343602222</v>
      </c>
      <c r="K155" s="215">
        <f>'Substation Construction SC'!K137+'Substation Construction SC'!K148+'Substation Construction SC'!K159+'Substation Construction SC'!K169</f>
        <v>5.3736681418009261E-2</v>
      </c>
      <c r="L155" s="215">
        <f>'Substation Construction SC'!L137+'Substation Construction SC'!L148+'Substation Construction SC'!L159+'Substation Construction SC'!L169</f>
        <v>0.23218919410634192</v>
      </c>
      <c r="M155" s="215">
        <f>'Substation Construction SC'!M137+'Substation Construction SC'!M148+'Substation Construction SC'!M159+'Substation Construction SC'!M169</f>
        <v>0.84369543248341328</v>
      </c>
      <c r="N155" s="215">
        <f>'Substation Construction SC'!N137+'Substation Construction SC'!N148+'Substation Construction SC'!N159+'Substation Construction SC'!N169</f>
        <v>2.108954534905132E-3</v>
      </c>
      <c r="O155" s="215">
        <f>'Substation Construction SC'!O137+'Substation Construction SC'!O148+'Substation Construction SC'!O159+'Substation Construction SC'!O169</f>
        <v>5.2676866414236037E-2</v>
      </c>
      <c r="P155" s="215">
        <f>'Substation Construction SC'!P137+'Substation Construction SC'!P148+'Substation Construction SC'!P159+'Substation Construction SC'!P169</f>
        <v>2.8739918599771239E-2</v>
      </c>
      <c r="Q155" s="215">
        <f>'Substation Construction SC'!Q137+'Substation Construction SC'!Q148+'Substation Construction SC'!Q159+'Substation Construction SC'!Q169</f>
        <v>313.75177407167729</v>
      </c>
      <c r="R155" s="215">
        <f>'Substation Construction SC'!R137+'Substation Construction SC'!R148+'Substation Construction SC'!R159+'Substation Construction SC'!R169</f>
        <v>1.7928717625777853E-2</v>
      </c>
      <c r="S155" s="215">
        <f>'Substation Construction SC'!S137+'Substation Construction SC'!S148+'Substation Construction SC'!S159+'Substation Construction SC'!S169</f>
        <v>8.0370654446200868E-3</v>
      </c>
    </row>
    <row r="156" spans="1:19" s="580" customFormat="1" x14ac:dyDescent="0.25">
      <c r="A156" s="27" t="s">
        <v>122</v>
      </c>
      <c r="B156" s="215">
        <f>'Substation Construction SC'!B138+'Substation Construction SC'!B149</f>
        <v>0</v>
      </c>
      <c r="C156" s="215">
        <f>'Substation Construction SC'!C138+'Substation Construction SC'!C149</f>
        <v>0</v>
      </c>
      <c r="D156" s="215">
        <f>'Substation Construction SC'!D138+'Substation Construction SC'!D149</f>
        <v>0</v>
      </c>
      <c r="E156" s="215">
        <f>'Substation Construction SC'!E138+'Substation Construction SC'!E149</f>
        <v>0</v>
      </c>
      <c r="F156" s="215">
        <f>'Substation Construction SC'!F138+'Substation Construction SC'!F149</f>
        <v>94.609349467469656</v>
      </c>
      <c r="G156" s="215">
        <f>'Substation Construction SC'!G138+'Substation Construction SC'!G149</f>
        <v>28.487770903562186</v>
      </c>
      <c r="H156" s="215">
        <f>'Substation Construction SC'!H138+'Substation Construction SC'!H149</f>
        <v>0</v>
      </c>
      <c r="I156" s="215">
        <f>'Substation Construction SC'!I138+'Substation Construction SC'!I149</f>
        <v>0</v>
      </c>
      <c r="J156" s="215">
        <f>'Substation Construction SC'!J138+'Substation Construction SC'!J149</f>
        <v>0</v>
      </c>
      <c r="K156" s="215">
        <f>'Substation Construction SC'!K138+'Substation Construction SC'!K149</f>
        <v>0</v>
      </c>
      <c r="L156" s="215">
        <f>'Substation Construction SC'!L138+'Substation Construction SC'!L149</f>
        <v>0</v>
      </c>
      <c r="M156" s="215">
        <f>'Substation Construction SC'!M138+'Substation Construction SC'!M149</f>
        <v>0</v>
      </c>
      <c r="N156" s="215">
        <f>'Substation Construction SC'!N138+'Substation Construction SC'!N149</f>
        <v>0</v>
      </c>
      <c r="O156" s="215">
        <f>'Substation Construction SC'!O138+'Substation Construction SC'!O149</f>
        <v>6.8309806054058066</v>
      </c>
      <c r="P156" s="215">
        <f>'Substation Construction SC'!P138+'Substation Construction SC'!P149</f>
        <v>2.0097540509297143</v>
      </c>
      <c r="Q156" s="215">
        <f>'Substation Construction SC'!Q138+'Substation Construction SC'!Q149</f>
        <v>0</v>
      </c>
      <c r="R156" s="215">
        <f>'Substation Construction SC'!R138+'Substation Construction SC'!R149</f>
        <v>0</v>
      </c>
      <c r="S156" s="215">
        <f>'Substation Construction SC'!S138+'Substation Construction SC'!S149</f>
        <v>0</v>
      </c>
    </row>
    <row r="157" spans="1:19" s="580" customFormat="1" x14ac:dyDescent="0.25">
      <c r="A157" s="19" t="s">
        <v>123</v>
      </c>
      <c r="B157" s="22">
        <f>SUM(B153:B156)</f>
        <v>34.115332184945849</v>
      </c>
      <c r="C157" s="22">
        <f t="shared" ref="C157:S157" si="22">SUM(C153:C156)</f>
        <v>175.09508427788921</v>
      </c>
      <c r="D157" s="22">
        <f t="shared" si="22"/>
        <v>228.06210080082272</v>
      </c>
      <c r="E157" s="22">
        <f t="shared" si="22"/>
        <v>0.68206720799174181</v>
      </c>
      <c r="F157" s="22">
        <f t="shared" si="22"/>
        <v>104.25351020807442</v>
      </c>
      <c r="G157" s="22">
        <f t="shared" si="22"/>
        <v>36.199043420820857</v>
      </c>
      <c r="H157" s="22">
        <f t="shared" si="22"/>
        <v>66162.770774826204</v>
      </c>
      <c r="I157" s="22">
        <f t="shared" si="22"/>
        <v>4.0423688175457952</v>
      </c>
      <c r="J157" s="22">
        <f t="shared" si="22"/>
        <v>19.607723428170534</v>
      </c>
      <c r="K157" s="22">
        <f t="shared" si="22"/>
        <v>1.9159187902472798</v>
      </c>
      <c r="L157" s="22">
        <f t="shared" si="22"/>
        <v>6.2119507403798631</v>
      </c>
      <c r="M157" s="22">
        <f t="shared" si="22"/>
        <v>8.6313474023473606</v>
      </c>
      <c r="N157" s="22">
        <f t="shared" si="22"/>
        <v>2.5710274644823297E-2</v>
      </c>
      <c r="O157" s="22">
        <f t="shared" si="22"/>
        <v>7.2064332375921865</v>
      </c>
      <c r="P157" s="22">
        <f t="shared" si="22"/>
        <v>2.3128072403008382</v>
      </c>
      <c r="Q157" s="22">
        <f t="shared" si="22"/>
        <v>2457.4247350233481</v>
      </c>
      <c r="R157" s="22">
        <f t="shared" si="22"/>
        <v>0.15331865702559444</v>
      </c>
      <c r="S157" s="22">
        <f t="shared" si="22"/>
        <v>0.74838011133252103</v>
      </c>
    </row>
    <row r="158" spans="1:19" s="580" customFormat="1" x14ac:dyDescent="0.25">
      <c r="A158" s="19" t="s">
        <v>641</v>
      </c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</row>
    <row r="159" spans="1:19" s="580" customFormat="1" x14ac:dyDescent="0.25">
      <c r="A159" s="27" t="s">
        <v>75</v>
      </c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</row>
    <row r="160" spans="1:19" s="580" customFormat="1" x14ac:dyDescent="0.25">
      <c r="A160" s="27" t="s">
        <v>119</v>
      </c>
      <c r="B160" s="215">
        <f>'Transmission Line Construct SC'!B120+'Transmission Line Construct SC'!B131+'Transmission Line Construct SC'!B142+'Transmission Line Construct SC'!B154+'Transmission Line Construct SC'!B165</f>
        <v>18.590864381591491</v>
      </c>
      <c r="C160" s="215">
        <f>'Transmission Line Construct SC'!C120+'Transmission Line Construct SC'!C131+'Transmission Line Construct SC'!C142+'Transmission Line Construct SC'!C154+'Transmission Line Construct SC'!C165</f>
        <v>113.61740019816146</v>
      </c>
      <c r="D160" s="215">
        <f>'Transmission Line Construct SC'!D120+'Transmission Line Construct SC'!D131+'Transmission Line Construct SC'!D142+'Transmission Line Construct SC'!D154+'Transmission Line Construct SC'!D165</f>
        <v>123.27914299065236</v>
      </c>
      <c r="E160" s="215">
        <f>'Transmission Line Construct SC'!E120+'Transmission Line Construct SC'!E131+'Transmission Line Construct SC'!E142+'Transmission Line Construct SC'!E154+'Transmission Line Construct SC'!E165</f>
        <v>0.4434484295102572</v>
      </c>
      <c r="F160" s="215">
        <f>'Transmission Line Construct SC'!F120+'Transmission Line Construct SC'!F131+'Transmission Line Construct SC'!F142+'Transmission Line Construct SC'!F154+'Transmission Line Construct SC'!F165</f>
        <v>5.1472409281253784</v>
      </c>
      <c r="G160" s="215">
        <f>'Transmission Line Construct SC'!G120+'Transmission Line Construct SC'!G131+'Transmission Line Construct SC'!G142+'Transmission Line Construct SC'!G154+'Transmission Line Construct SC'!G165</f>
        <v>4.5810444260315863</v>
      </c>
      <c r="H160" s="215">
        <f>'Transmission Line Construct SC'!H120+'Transmission Line Construct SC'!H131+'Transmission Line Construct SC'!H142+'Transmission Line Construct SC'!H154+'Transmission Line Construct SC'!H165</f>
        <v>43144.9424010312</v>
      </c>
      <c r="I160" s="215">
        <f>'Transmission Line Construct SC'!I120+'Transmission Line Construct SC'!I131+'Transmission Line Construct SC'!I142+'Transmission Line Construct SC'!I154+'Transmission Line Construct SC'!I165</f>
        <v>2.1126244953349933</v>
      </c>
      <c r="J160" s="215">
        <f>'Transmission Line Construct SC'!J120+'Transmission Line Construct SC'!J131+'Transmission Line Construct SC'!J142+'Transmission Line Construct SC'!J154+'Transmission Line Construct SC'!J165</f>
        <v>11.711518584111975</v>
      </c>
      <c r="K160" s="215">
        <f>'Transmission Line Construct SC'!K120+'Transmission Line Construct SC'!K131+'Transmission Line Construct SC'!K142+'Transmission Line Construct SC'!K154+'Transmission Line Construct SC'!K165</f>
        <v>0.61089570990455999</v>
      </c>
      <c r="L160" s="215">
        <f>'Transmission Line Construct SC'!L120+'Transmission Line Construct SC'!L131+'Transmission Line Construct SC'!L142+'Transmission Line Construct SC'!L154+'Transmission Line Construct SC'!L165</f>
        <v>3.721831954618505</v>
      </c>
      <c r="M160" s="215">
        <f>'Transmission Line Construct SC'!M120+'Transmission Line Construct SC'!M131+'Transmission Line Construct SC'!M142+'Transmission Line Construct SC'!M154+'Transmission Line Construct SC'!M165</f>
        <v>4.0710526692802205</v>
      </c>
      <c r="N160" s="215">
        <f>'Transmission Line Construct SC'!N120+'Transmission Line Construct SC'!N131+'Transmission Line Construct SC'!N142+'Transmission Line Construct SC'!N154+'Transmission Line Construct SC'!N165</f>
        <v>1.464278355030295E-2</v>
      </c>
      <c r="O160" s="215">
        <f>'Transmission Line Construct SC'!O120+'Transmission Line Construct SC'!O131+'Transmission Line Construct SC'!O142+'Transmission Line Construct SC'!O154+'Transmission Line Construct SC'!O165</f>
        <v>0.17129566735989213</v>
      </c>
      <c r="P160" s="215">
        <f>'Transmission Line Construct SC'!P120+'Transmission Line Construct SC'!P131+'Transmission Line Construct SC'!P142+'Transmission Line Construct SC'!P154+'Transmission Line Construct SC'!P165</f>
        <v>0.15245314395030399</v>
      </c>
      <c r="Q160" s="215">
        <f>'Transmission Line Construct SC'!Q120+'Transmission Line Construct SC'!Q131+'Transmission Line Construct SC'!Q142+'Transmission Line Construct SC'!Q154+'Transmission Line Construct SC'!Q165</f>
        <v>1418.7012497277997</v>
      </c>
      <c r="R160" s="215">
        <f>'Transmission Line Construct SC'!R120+'Transmission Line Construct SC'!R131+'Transmission Line Construct SC'!R142+'Transmission Line Construct SC'!R154+'Transmission Line Construct SC'!R165</f>
        <v>6.9658614055961049E-2</v>
      </c>
      <c r="S160" s="215">
        <f>'Transmission Line Construct SC'!S120+'Transmission Line Construct SC'!S131+'Transmission Line Construct SC'!S142+'Transmission Line Construct SC'!S154+'Transmission Line Construct SC'!S165</f>
        <v>0.38675000358162082</v>
      </c>
    </row>
    <row r="161" spans="1:19" s="580" customFormat="1" x14ac:dyDescent="0.25">
      <c r="A161" s="27" t="s">
        <v>120</v>
      </c>
      <c r="B161" s="215">
        <f>'Transmission Line Construct SC'!B121+'Transmission Line Construct SC'!B132+'Transmission Line Construct SC'!B143+'Transmission Line Construct SC'!B155+'Transmission Line Construct SC'!B166</f>
        <v>4.1065451979651124</v>
      </c>
      <c r="C161" s="215">
        <f>'Transmission Line Construct SC'!C121+'Transmission Line Construct SC'!C132+'Transmission Line Construct SC'!C143+'Transmission Line Construct SC'!C155+'Transmission Line Construct SC'!C166</f>
        <v>36.488379336145933</v>
      </c>
      <c r="D161" s="215">
        <f>'Transmission Line Construct SC'!D121+'Transmission Line Construct SC'!D132+'Transmission Line Construct SC'!D143+'Transmission Line Construct SC'!D155+'Transmission Line Construct SC'!D166</f>
        <v>3.2810283716190201</v>
      </c>
      <c r="E161" s="215">
        <f>'Transmission Line Construct SC'!E121+'Transmission Line Construct SC'!E132+'Transmission Line Construct SC'!E143+'Transmission Line Construct SC'!E155+'Transmission Line Construct SC'!E166</f>
        <v>5.8039026411411898E-2</v>
      </c>
      <c r="F161" s="215">
        <f>'Transmission Line Construct SC'!F121+'Transmission Line Construct SC'!F132+'Transmission Line Construct SC'!F143+'Transmission Line Construct SC'!F155+'Transmission Line Construct SC'!F166</f>
        <v>1.3199902520168578</v>
      </c>
      <c r="G161" s="215">
        <f>'Transmission Line Construct SC'!G121+'Transmission Line Construct SC'!G132+'Transmission Line Construct SC'!G143+'Transmission Line Construct SC'!G155+'Transmission Line Construct SC'!G166</f>
        <v>0.55945270403166703</v>
      </c>
      <c r="H161" s="215">
        <f>'Transmission Line Construct SC'!H121+'Transmission Line Construct SC'!H132+'Transmission Line Construct SC'!H143+'Transmission Line Construct SC'!H155+'Transmission Line Construct SC'!H166</f>
        <v>4090.9167788102905</v>
      </c>
      <c r="I161" s="215">
        <f>'Transmission Line Construct SC'!I121+'Transmission Line Construct SC'!I132+'Transmission Line Construct SC'!I143+'Transmission Line Construct SC'!I155+'Transmission Line Construct SC'!I166</f>
        <v>0.24604107394988739</v>
      </c>
      <c r="J161" s="215">
        <f>'Transmission Line Construct SC'!J121+'Transmission Line Construct SC'!J132+'Transmission Line Construct SC'!J143+'Transmission Line Construct SC'!J155+'Transmission Line Construct SC'!J166</f>
        <v>0.44823592719854222</v>
      </c>
      <c r="K161" s="215">
        <f>'Transmission Line Construct SC'!K121+'Transmission Line Construct SC'!K132+'Transmission Line Construct SC'!K143+'Transmission Line Construct SC'!K155+'Transmission Line Construct SC'!K166</f>
        <v>0.13551599153284871</v>
      </c>
      <c r="L161" s="215">
        <f>'Transmission Line Construct SC'!L121+'Transmission Line Construct SC'!L132+'Transmission Line Construct SC'!L143+'Transmission Line Construct SC'!L155+'Transmission Line Construct SC'!L166</f>
        <v>1.2041165180928159</v>
      </c>
      <c r="M161" s="215">
        <f>'Transmission Line Construct SC'!M121+'Transmission Line Construct SC'!M132+'Transmission Line Construct SC'!M143+'Transmission Line Construct SC'!M155+'Transmission Line Construct SC'!M166</f>
        <v>0.10827393626342766</v>
      </c>
      <c r="N161" s="215">
        <f>'Transmission Line Construct SC'!N121+'Transmission Line Construct SC'!N132+'Transmission Line Construct SC'!N143+'Transmission Line Construct SC'!N155+'Transmission Line Construct SC'!N166</f>
        <v>1.915287871576592E-3</v>
      </c>
      <c r="O161" s="215">
        <f>'Transmission Line Construct SC'!O121+'Transmission Line Construct SC'!O132+'Transmission Line Construct SC'!O143+'Transmission Line Construct SC'!O155+'Transmission Line Construct SC'!O166</f>
        <v>4.3559678316556306E-2</v>
      </c>
      <c r="P161" s="215">
        <f>'Transmission Line Construct SC'!P121+'Transmission Line Construct SC'!P132+'Transmission Line Construct SC'!P143+'Transmission Line Construct SC'!P155+'Transmission Line Construct SC'!P166</f>
        <v>1.846193923304501E-2</v>
      </c>
      <c r="Q161" s="215">
        <f>'Transmission Line Construct SC'!Q121+'Transmission Line Construct SC'!Q132+'Transmission Line Construct SC'!Q143+'Transmission Line Construct SC'!Q155+'Transmission Line Construct SC'!Q166</f>
        <v>135.00025370073956</v>
      </c>
      <c r="R161" s="215">
        <f>'Transmission Line Construct SC'!R121+'Transmission Line Construct SC'!R132+'Transmission Line Construct SC'!R143+'Transmission Line Construct SC'!R155+'Transmission Line Construct SC'!R166</f>
        <v>8.1193554403462837E-3</v>
      </c>
      <c r="S161" s="215">
        <f>'Transmission Line Construct SC'!S121+'Transmission Line Construct SC'!S132+'Transmission Line Construct SC'!S143+'Transmission Line Construct SC'!S155+'Transmission Line Construct SC'!S166</f>
        <v>1.4791785597551893E-2</v>
      </c>
    </row>
    <row r="162" spans="1:19" s="580" customFormat="1" x14ac:dyDescent="0.25">
      <c r="A162" s="27" t="s">
        <v>121</v>
      </c>
      <c r="B162" s="215">
        <f>'Transmission Line Construct SC'!B122+'Transmission Line Construct SC'!B133+'Transmission Line Construct SC'!B144+'Transmission Line Construct SC'!B156+'Transmission Line Construct SC'!B167</f>
        <v>1.982644420246797</v>
      </c>
      <c r="C162" s="215">
        <f>'Transmission Line Construct SC'!C122+'Transmission Line Construct SC'!C133+'Transmission Line Construct SC'!C144+'Transmission Line Construct SC'!C156+'Transmission Line Construct SC'!C167</f>
        <v>8.3691210769398001</v>
      </c>
      <c r="D162" s="215">
        <f>'Transmission Line Construct SC'!D122+'Transmission Line Construct SC'!D133+'Transmission Line Construct SC'!D144+'Transmission Line Construct SC'!D156+'Transmission Line Construct SC'!D167</f>
        <v>29.276312106118354</v>
      </c>
      <c r="E162" s="215">
        <f>'Transmission Line Construct SC'!E122+'Transmission Line Construct SC'!E133+'Transmission Line Construct SC'!E144+'Transmission Line Construct SC'!E156+'Transmission Line Construct SC'!E167</f>
        <v>8.3359681697374025E-2</v>
      </c>
      <c r="F162" s="215">
        <f>'Transmission Line Construct SC'!F122+'Transmission Line Construct SC'!F133+'Transmission Line Construct SC'!F144+'Transmission Line Construct SC'!F156+'Transmission Line Construct SC'!F167</f>
        <v>1.8406165054427346</v>
      </c>
      <c r="G162" s="215">
        <f>'Transmission Line Construct SC'!G122+'Transmission Line Construct SC'!G133+'Transmission Line Construct SC'!G144+'Transmission Line Construct SC'!G156+'Transmission Line Construct SC'!G167</f>
        <v>0.96915165382900592</v>
      </c>
      <c r="H162" s="215">
        <f>'Transmission Line Construct SC'!H122+'Transmission Line Construct SC'!H133+'Transmission Line Construct SC'!H144+'Transmission Line Construct SC'!H156+'Transmission Line Construct SC'!H167</f>
        <v>12585.144923045467</v>
      </c>
      <c r="I162" s="215">
        <f>'Transmission Line Construct SC'!I122+'Transmission Line Construct SC'!I133+'Transmission Line Construct SC'!I144+'Transmission Line Construct SC'!I156+'Transmission Line Construct SC'!I167</f>
        <v>0.71915293633758692</v>
      </c>
      <c r="J162" s="215">
        <f>'Transmission Line Construct SC'!J122+'Transmission Line Construct SC'!J133+'Transmission Line Construct SC'!J144+'Transmission Line Construct SC'!J156+'Transmission Line Construct SC'!J167</f>
        <v>0.32238107234873264</v>
      </c>
      <c r="K162" s="215">
        <f>'Transmission Line Construct SC'!K122+'Transmission Line Construct SC'!K133+'Transmission Line Construct SC'!K144+'Transmission Line Construct SC'!K156+'Transmission Line Construct SC'!K167</f>
        <v>4.9451864569060588E-2</v>
      </c>
      <c r="L162" s="215">
        <f>'Transmission Line Construct SC'!L122+'Transmission Line Construct SC'!L133+'Transmission Line Construct SC'!L144+'Transmission Line Construct SC'!L156+'Transmission Line Construct SC'!L167</f>
        <v>0.21567399455509167</v>
      </c>
      <c r="M162" s="215">
        <f>'Transmission Line Construct SC'!M122+'Transmission Line Construct SC'!M133+'Transmission Line Construct SC'!M144+'Transmission Line Construct SC'!M156+'Transmission Line Construct SC'!M167</f>
        <v>0.66268470199757268</v>
      </c>
      <c r="N162" s="215">
        <f>'Transmission Line Construct SC'!N122+'Transmission Line Construct SC'!N133+'Transmission Line Construct SC'!N144+'Transmission Line Construct SC'!N156+'Transmission Line Construct SC'!N167</f>
        <v>1.9662803662363667E-3</v>
      </c>
      <c r="O162" s="215">
        <f>'Transmission Line Construct SC'!O122+'Transmission Line Construct SC'!O133+'Transmission Line Construct SC'!O144+'Transmission Line Construct SC'!O156+'Transmission Line Construct SC'!O167</f>
        <v>5.0740378248870795E-2</v>
      </c>
      <c r="P162" s="215">
        <f>'Transmission Line Construct SC'!P122+'Transmission Line Construct SC'!P133+'Transmission Line Construct SC'!P144+'Transmission Line Construct SC'!P156+'Transmission Line Construct SC'!P167</f>
        <v>2.7886875349101281E-2</v>
      </c>
      <c r="Q162" s="215">
        <f>'Transmission Line Construct SC'!Q122+'Transmission Line Construct SC'!Q133+'Transmission Line Construct SC'!Q144+'Transmission Line Construct SC'!Q156+'Transmission Line Construct SC'!Q167</f>
        <v>285.03522932304367</v>
      </c>
      <c r="R162" s="215">
        <f>'Transmission Line Construct SC'!R122+'Transmission Line Construct SC'!R133+'Transmission Line Construct SC'!R144+'Transmission Line Construct SC'!R156+'Transmission Line Construct SC'!R167</f>
        <v>1.6287768109206683E-2</v>
      </c>
      <c r="S162" s="215">
        <f>'Transmission Line Construct SC'!S122+'Transmission Line Construct SC'!S133+'Transmission Line Construct SC'!S144+'Transmission Line Construct SC'!S156+'Transmission Line Construct SC'!S167</f>
        <v>7.301462434339088E-3</v>
      </c>
    </row>
    <row r="163" spans="1:19" s="612" customFormat="1" x14ac:dyDescent="0.25">
      <c r="A163" s="27" t="s">
        <v>656</v>
      </c>
      <c r="B163" s="215">
        <f>'Transmission Line Construct SC'!B145</f>
        <v>12.830799050242181</v>
      </c>
      <c r="C163" s="215">
        <f>'Transmission Line Construct SC'!C145</f>
        <v>66.887438003316817</v>
      </c>
      <c r="D163" s="215">
        <f>'Transmission Line Construct SC'!D145</f>
        <v>66.887438003316817</v>
      </c>
      <c r="E163" s="215">
        <f>'Transmission Line Construct SC'!E145</f>
        <v>12.314722567340549</v>
      </c>
      <c r="F163" s="215">
        <f>'Transmission Line Construct SC'!F145</f>
        <v>22.109244879957675</v>
      </c>
      <c r="G163" s="215">
        <f>'Transmission Line Construct SC'!G145</f>
        <v>22.109244879957675</v>
      </c>
      <c r="H163" s="215">
        <f>'Transmission Line Construct SC'!H145</f>
        <v>30084.642801206399</v>
      </c>
      <c r="I163" s="215">
        <f>'Transmission Line Construct SC'!I145</f>
        <v>0</v>
      </c>
      <c r="J163" s="215">
        <f>'Transmission Line Construct SC'!J145</f>
        <v>0</v>
      </c>
      <c r="K163" s="215">
        <f>'Transmission Line Construct SC'!K145</f>
        <v>0.12830799050242181</v>
      </c>
      <c r="L163" s="215">
        <f>'Transmission Line Construct SC'!L145</f>
        <v>0.66887438003316801</v>
      </c>
      <c r="M163" s="215">
        <f>'Transmission Line Construct SC'!M145</f>
        <v>0.66887438003316801</v>
      </c>
      <c r="N163" s="215">
        <f>'Transmission Line Construct SC'!N145</f>
        <v>0.1231472256734055</v>
      </c>
      <c r="O163" s="215">
        <f>'Transmission Line Construct SC'!O145</f>
        <v>0.22109244879957674</v>
      </c>
      <c r="P163" s="215">
        <f>'Transmission Line Construct SC'!P145</f>
        <v>0.22109244879957674</v>
      </c>
      <c r="Q163" s="215">
        <f>'Transmission Line Construct SC'!Q145</f>
        <v>300.846428012064</v>
      </c>
      <c r="R163" s="215">
        <f>'Transmission Line Construct SC'!R145</f>
        <v>0</v>
      </c>
      <c r="S163" s="215">
        <f>'Transmission Line Construct SC'!S145</f>
        <v>0</v>
      </c>
    </row>
    <row r="164" spans="1:19" s="580" customFormat="1" x14ac:dyDescent="0.25">
      <c r="A164" s="27" t="s">
        <v>122</v>
      </c>
      <c r="B164" s="215">
        <f>'Transmission Line Construct SC'!B123+'Transmission Line Construct SC'!B134+'Transmission Line Construct SC'!B146+'Transmission Line Construct SC'!B157+'Transmission Line Construct SC'!B168</f>
        <v>0</v>
      </c>
      <c r="C164" s="215">
        <f>'Transmission Line Construct SC'!C123+'Transmission Line Construct SC'!C134+'Transmission Line Construct SC'!C146+'Transmission Line Construct SC'!C157+'Transmission Line Construct SC'!C168</f>
        <v>0</v>
      </c>
      <c r="D164" s="215">
        <f>'Transmission Line Construct SC'!D123+'Transmission Line Construct SC'!D134+'Transmission Line Construct SC'!D146+'Transmission Line Construct SC'!D157+'Transmission Line Construct SC'!D168</f>
        <v>0</v>
      </c>
      <c r="E164" s="215">
        <f>'Transmission Line Construct SC'!E123+'Transmission Line Construct SC'!E134+'Transmission Line Construct SC'!E146+'Transmission Line Construct SC'!E157+'Transmission Line Construct SC'!E168</f>
        <v>0</v>
      </c>
      <c r="F164" s="215">
        <f>'Transmission Line Construct SC'!F123+'Transmission Line Construct SC'!F134+'Transmission Line Construct SC'!F146+'Transmission Line Construct SC'!F157+'Transmission Line Construct SC'!F168</f>
        <v>415.19180973393145</v>
      </c>
      <c r="G164" s="215">
        <f>'Transmission Line Construct SC'!G123+'Transmission Line Construct SC'!G134+'Transmission Line Construct SC'!G146+'Transmission Line Construct SC'!G157+'Transmission Line Construct SC'!G168</f>
        <v>123.89707110184544</v>
      </c>
      <c r="H164" s="215">
        <f>'Transmission Line Construct SC'!H123+'Transmission Line Construct SC'!H134+'Transmission Line Construct SC'!H146+'Transmission Line Construct SC'!H157+'Transmission Line Construct SC'!H168</f>
        <v>0</v>
      </c>
      <c r="I164" s="215">
        <f>'Transmission Line Construct SC'!I123+'Transmission Line Construct SC'!I134+'Transmission Line Construct SC'!I146+'Transmission Line Construct SC'!I157+'Transmission Line Construct SC'!I168</f>
        <v>0</v>
      </c>
      <c r="J164" s="215">
        <f>'Transmission Line Construct SC'!J123+'Transmission Line Construct SC'!J134+'Transmission Line Construct SC'!J146+'Transmission Line Construct SC'!J157+'Transmission Line Construct SC'!J168</f>
        <v>0</v>
      </c>
      <c r="K164" s="215">
        <f>'Transmission Line Construct SC'!K123+'Transmission Line Construct SC'!K134+'Transmission Line Construct SC'!K146+'Transmission Line Construct SC'!K157+'Transmission Line Construct SC'!K168</f>
        <v>0</v>
      </c>
      <c r="L164" s="215">
        <f>'Transmission Line Construct SC'!L123+'Transmission Line Construct SC'!L134+'Transmission Line Construct SC'!L146+'Transmission Line Construct SC'!L157+'Transmission Line Construct SC'!L168</f>
        <v>0</v>
      </c>
      <c r="M164" s="215">
        <f>'Transmission Line Construct SC'!M123+'Transmission Line Construct SC'!M134+'Transmission Line Construct SC'!M146+'Transmission Line Construct SC'!M157+'Transmission Line Construct SC'!M168</f>
        <v>0</v>
      </c>
      <c r="N164" s="215">
        <f>'Transmission Line Construct SC'!N123+'Transmission Line Construct SC'!N134+'Transmission Line Construct SC'!N146+'Transmission Line Construct SC'!N157+'Transmission Line Construct SC'!N168</f>
        <v>0</v>
      </c>
      <c r="O164" s="215">
        <f>'Transmission Line Construct SC'!O123+'Transmission Line Construct SC'!O134+'Transmission Line Construct SC'!O146+'Transmission Line Construct SC'!O157+'Transmission Line Construct SC'!O168</f>
        <v>15.305989958840067</v>
      </c>
      <c r="P164" s="215">
        <f>'Transmission Line Construct SC'!P123+'Transmission Line Construct SC'!P134+'Transmission Line Construct SC'!P146+'Transmission Line Construct SC'!P157+'Transmission Line Construct SC'!P168</f>
        <v>4.567448783322086</v>
      </c>
      <c r="Q164" s="215">
        <f>'Transmission Line Construct SC'!Q123+'Transmission Line Construct SC'!Q134+'Transmission Line Construct SC'!Q146+'Transmission Line Construct SC'!Q157+'Transmission Line Construct SC'!Q168</f>
        <v>0</v>
      </c>
      <c r="R164" s="215">
        <f>'Transmission Line Construct SC'!R123+'Transmission Line Construct SC'!R134+'Transmission Line Construct SC'!R146+'Transmission Line Construct SC'!R157+'Transmission Line Construct SC'!R168</f>
        <v>0</v>
      </c>
      <c r="S164" s="215">
        <f>'Transmission Line Construct SC'!S123+'Transmission Line Construct SC'!S134+'Transmission Line Construct SC'!S146+'Transmission Line Construct SC'!S157+'Transmission Line Construct SC'!S168</f>
        <v>0</v>
      </c>
    </row>
    <row r="165" spans="1:19" s="580" customFormat="1" x14ac:dyDescent="0.25">
      <c r="A165" s="19" t="s">
        <v>123</v>
      </c>
      <c r="B165" s="22">
        <f>SUM(B160:B164)</f>
        <v>37.510853050045583</v>
      </c>
      <c r="C165" s="22">
        <f t="shared" ref="C165:S165" si="23">SUM(C160:C164)</f>
        <v>225.36233861456401</v>
      </c>
      <c r="D165" s="22">
        <f t="shared" si="23"/>
        <v>222.72392147170655</v>
      </c>
      <c r="E165" s="22">
        <f t="shared" si="23"/>
        <v>12.899569704959593</v>
      </c>
      <c r="F165" s="22">
        <f t="shared" si="23"/>
        <v>445.6089022994741</v>
      </c>
      <c r="G165" s="22">
        <f t="shared" si="23"/>
        <v>152.11596476569537</v>
      </c>
      <c r="H165" s="22">
        <f t="shared" si="23"/>
        <v>89905.646904093359</v>
      </c>
      <c r="I165" s="22">
        <f t="shared" si="23"/>
        <v>3.0778185056224676</v>
      </c>
      <c r="J165" s="22">
        <f t="shared" si="23"/>
        <v>12.48213558365925</v>
      </c>
      <c r="K165" s="22">
        <f t="shared" si="23"/>
        <v>0.92417155650889116</v>
      </c>
      <c r="L165" s="22">
        <f t="shared" si="23"/>
        <v>5.8104968472995804</v>
      </c>
      <c r="M165" s="22">
        <f t="shared" si="23"/>
        <v>5.5108856875743886</v>
      </c>
      <c r="N165" s="22">
        <f t="shared" si="23"/>
        <v>0.1416715774615214</v>
      </c>
      <c r="O165" s="22">
        <f t="shared" si="23"/>
        <v>15.792678131564964</v>
      </c>
      <c r="P165" s="22">
        <f t="shared" si="23"/>
        <v>4.987343190654113</v>
      </c>
      <c r="Q165" s="22">
        <f t="shared" si="23"/>
        <v>2139.5831607636469</v>
      </c>
      <c r="R165" s="22">
        <f t="shared" si="23"/>
        <v>9.406573760551401E-2</v>
      </c>
      <c r="S165" s="22">
        <f t="shared" si="23"/>
        <v>0.40884325161351182</v>
      </c>
    </row>
    <row r="166" spans="1:19" s="580" customFormat="1" x14ac:dyDescent="0.25">
      <c r="A166" s="19" t="s">
        <v>651</v>
      </c>
      <c r="B166" s="22">
        <f>B157+B165</f>
        <v>71.626185234991425</v>
      </c>
      <c r="C166" s="22">
        <f t="shared" ref="C166:S166" si="24">C157+C165</f>
        <v>400.45742289245322</v>
      </c>
      <c r="D166" s="22">
        <f t="shared" si="24"/>
        <v>450.78602227252929</v>
      </c>
      <c r="E166" s="22">
        <f t="shared" si="24"/>
        <v>13.581636912951334</v>
      </c>
      <c r="F166" s="22">
        <f t="shared" si="24"/>
        <v>549.86241250754847</v>
      </c>
      <c r="G166" s="22">
        <f t="shared" si="24"/>
        <v>188.31500818651622</v>
      </c>
      <c r="H166" s="22">
        <f t="shared" si="24"/>
        <v>156068.41767891956</v>
      </c>
      <c r="I166" s="22">
        <f t="shared" si="24"/>
        <v>7.1201873231682633</v>
      </c>
      <c r="J166" s="22">
        <f t="shared" si="24"/>
        <v>32.089859011829788</v>
      </c>
      <c r="K166" s="22">
        <f t="shared" si="24"/>
        <v>2.8400903467561709</v>
      </c>
      <c r="L166" s="22">
        <f t="shared" si="24"/>
        <v>12.022447587679444</v>
      </c>
      <c r="M166" s="22">
        <f t="shared" si="24"/>
        <v>14.142233089921749</v>
      </c>
      <c r="N166" s="22">
        <f t="shared" si="24"/>
        <v>0.16738185210634471</v>
      </c>
      <c r="O166" s="22">
        <f t="shared" si="24"/>
        <v>22.999111369157148</v>
      </c>
      <c r="P166" s="22">
        <f t="shared" si="24"/>
        <v>7.3001504309549512</v>
      </c>
      <c r="Q166" s="22">
        <f t="shared" si="24"/>
        <v>4597.0078957869955</v>
      </c>
      <c r="R166" s="22">
        <f t="shared" si="24"/>
        <v>0.24738439463110845</v>
      </c>
      <c r="S166" s="22">
        <f t="shared" si="24"/>
        <v>1.1572233629460329</v>
      </c>
    </row>
    <row r="167" spans="1:19" s="580" customFormat="1" x14ac:dyDescent="0.25">
      <c r="A167" s="27" t="s">
        <v>344</v>
      </c>
      <c r="B167" s="213">
        <v>75</v>
      </c>
      <c r="C167" s="213">
        <v>550</v>
      </c>
      <c r="D167" s="213">
        <v>100</v>
      </c>
      <c r="E167" s="213">
        <v>150</v>
      </c>
      <c r="F167" s="213">
        <v>150</v>
      </c>
      <c r="G167" s="213">
        <v>55</v>
      </c>
      <c r="H167" s="27" t="s">
        <v>345</v>
      </c>
      <c r="I167" s="27" t="s">
        <v>345</v>
      </c>
      <c r="J167" s="27" t="s">
        <v>345</v>
      </c>
      <c r="K167" s="27" t="s">
        <v>345</v>
      </c>
      <c r="L167" s="27" t="s">
        <v>345</v>
      </c>
      <c r="M167" s="27" t="s">
        <v>345</v>
      </c>
      <c r="N167" s="27" t="s">
        <v>345</v>
      </c>
      <c r="O167" s="27" t="s">
        <v>345</v>
      </c>
      <c r="P167" s="27" t="s">
        <v>345</v>
      </c>
      <c r="Q167" s="27" t="s">
        <v>345</v>
      </c>
      <c r="R167" s="27" t="s">
        <v>345</v>
      </c>
      <c r="S167" s="27" t="s">
        <v>345</v>
      </c>
    </row>
    <row r="168" spans="1:19" s="580" customFormat="1" x14ac:dyDescent="0.25"/>
    <row r="169" spans="1:19" s="580" customFormat="1" x14ac:dyDescent="0.25"/>
    <row r="170" spans="1:19" s="580" customFormat="1" x14ac:dyDescent="0.25">
      <c r="A170" s="585">
        <v>2019</v>
      </c>
    </row>
    <row r="171" spans="1:19" s="580" customFormat="1" ht="39.6" x14ac:dyDescent="0.25">
      <c r="A171" s="19" t="s">
        <v>132</v>
      </c>
      <c r="B171" s="16" t="s">
        <v>18</v>
      </c>
      <c r="C171" s="16" t="s">
        <v>19</v>
      </c>
      <c r="D171" s="16" t="s">
        <v>20</v>
      </c>
      <c r="E171" s="16" t="s">
        <v>21</v>
      </c>
      <c r="F171" s="16" t="s">
        <v>22</v>
      </c>
      <c r="G171" s="16" t="s">
        <v>23</v>
      </c>
      <c r="H171" s="17" t="s">
        <v>24</v>
      </c>
      <c r="I171" s="16" t="s">
        <v>25</v>
      </c>
      <c r="J171" s="16" t="s">
        <v>26</v>
      </c>
      <c r="K171" s="18" t="s">
        <v>27</v>
      </c>
      <c r="L171" s="18" t="s">
        <v>28</v>
      </c>
      <c r="M171" s="18" t="s">
        <v>29</v>
      </c>
      <c r="N171" s="18" t="s">
        <v>30</v>
      </c>
      <c r="O171" s="18" t="s">
        <v>31</v>
      </c>
      <c r="P171" s="18" t="s">
        <v>32</v>
      </c>
      <c r="Q171" s="17" t="s">
        <v>33</v>
      </c>
      <c r="R171" s="18" t="s">
        <v>34</v>
      </c>
      <c r="S171" s="18" t="s">
        <v>35</v>
      </c>
    </row>
    <row r="172" spans="1:19" s="580" customFormat="1" x14ac:dyDescent="0.25">
      <c r="A172" s="19" t="s">
        <v>640</v>
      </c>
      <c r="B172" s="16"/>
      <c r="C172" s="16"/>
      <c r="D172" s="16"/>
      <c r="E172" s="16"/>
      <c r="F172" s="16"/>
      <c r="G172" s="16"/>
      <c r="H172" s="17"/>
      <c r="I172" s="16"/>
      <c r="J172" s="16"/>
      <c r="K172" s="18"/>
      <c r="L172" s="18"/>
      <c r="M172" s="18"/>
      <c r="N172" s="18"/>
      <c r="O172" s="18"/>
      <c r="P172" s="18"/>
      <c r="Q172" s="17"/>
      <c r="R172" s="18"/>
      <c r="S172" s="18"/>
    </row>
    <row r="173" spans="1:19" s="580" customFormat="1" x14ac:dyDescent="0.25">
      <c r="A173" s="27" t="s">
        <v>75</v>
      </c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</row>
    <row r="174" spans="1:19" s="580" customFormat="1" x14ac:dyDescent="0.25">
      <c r="A174" s="27" t="s">
        <v>119</v>
      </c>
      <c r="B174" s="215">
        <f>'Substation Construction SC'!B178+'Substation Construction SC'!B188</f>
        <v>1.8338345152092785</v>
      </c>
      <c r="C174" s="215">
        <f>'Substation Construction SC'!C178+'Substation Construction SC'!C188</f>
        <v>9.5728035385153856</v>
      </c>
      <c r="D174" s="215">
        <f>'Substation Construction SC'!D178+'Substation Construction SC'!D188</f>
        <v>9.9148111278885445</v>
      </c>
      <c r="E174" s="215">
        <f>'Substation Construction SC'!E178+'Substation Construction SC'!E188</f>
        <v>5.0595893961848493E-2</v>
      </c>
      <c r="F174" s="215">
        <f>'Substation Construction SC'!F178+'Substation Construction SC'!F188</f>
        <v>0.34637045045694836</v>
      </c>
      <c r="G174" s="215">
        <f>'Substation Construction SC'!G178+'Substation Construction SC'!G188</f>
        <v>0.3082697009066841</v>
      </c>
      <c r="H174" s="215">
        <f>'Substation Construction SC'!H178+'Substation Construction SC'!H188</f>
        <v>4496.7261057650603</v>
      </c>
      <c r="I174" s="215">
        <f>'Substation Construction SC'!I178+'Substation Construction SC'!I188</f>
        <v>0.23905251919392617</v>
      </c>
      <c r="J174" s="215">
        <f>'Substation Construction SC'!J178+'Substation Construction SC'!J188</f>
        <v>0.94190705714941181</v>
      </c>
      <c r="K174" s="215">
        <f>'Substation Construction SC'!K178+'Substation Construction SC'!K188</f>
        <v>1.6157352711447838E-2</v>
      </c>
      <c r="L174" s="215">
        <f>'Substation Construction SC'!L178+'Substation Construction SC'!L188</f>
        <v>8.355094427557877E-2</v>
      </c>
      <c r="M174" s="215">
        <f>'Substation Construction SC'!M178+'Substation Construction SC'!M188</f>
        <v>8.7602699090310293E-2</v>
      </c>
      <c r="N174" s="215">
        <f>'Substation Construction SC'!N178+'Substation Construction SC'!N188</f>
        <v>4.4786735766228858E-4</v>
      </c>
      <c r="O174" s="215">
        <f>'Substation Construction SC'!O178+'Substation Construction SC'!O188</f>
        <v>3.0579329056615355E-3</v>
      </c>
      <c r="P174" s="215">
        <f>'Substation Construction SC'!P178+'Substation Construction SC'!P188</f>
        <v>2.7215602860387669E-3</v>
      </c>
      <c r="Q174" s="215">
        <f>'Substation Construction SC'!Q178+'Substation Construction SC'!Q188</f>
        <v>39.804353306587018</v>
      </c>
      <c r="R174" s="215">
        <f>'Substation Construction SC'!R178+'Substation Construction SC'!R188</f>
        <v>2.116057484716606E-3</v>
      </c>
      <c r="S174" s="215">
        <f>'Substation Construction SC'!S178+'Substation Construction SC'!S188</f>
        <v>8.3222564135794781E-3</v>
      </c>
    </row>
    <row r="175" spans="1:19" s="580" customFormat="1" x14ac:dyDescent="0.25">
      <c r="A175" s="27" t="s">
        <v>120</v>
      </c>
      <c r="B175" s="215">
        <f>'Substation Construction SC'!B179+'Substation Construction SC'!B189</f>
        <v>1.1628855167716678</v>
      </c>
      <c r="C175" s="215">
        <f>'Substation Construction SC'!C179+'Substation Construction SC'!C189</f>
        <v>10.332726370940867</v>
      </c>
      <c r="D175" s="215">
        <f>'Substation Construction SC'!D179+'Substation Construction SC'!D189</f>
        <v>0.92911685846373626</v>
      </c>
      <c r="E175" s="215">
        <f>'Substation Construction SC'!E179+'Substation Construction SC'!E189</f>
        <v>1.6435407372309793E-2</v>
      </c>
      <c r="F175" s="215">
        <f>'Substation Construction SC'!F179+'Substation Construction SC'!F189</f>
        <v>0.37379292625606902</v>
      </c>
      <c r="G175" s="215">
        <f>'Substation Construction SC'!G179+'Substation Construction SC'!G189</f>
        <v>0.12129524242897546</v>
      </c>
      <c r="H175" s="215">
        <f>'Substation Construction SC'!H179+'Substation Construction SC'!H189</f>
        <v>1158.4598836886114</v>
      </c>
      <c r="I175" s="215">
        <f>'Substation Construction SC'!I179+'Substation Construction SC'!I189</f>
        <v>6.9673554687538511E-2</v>
      </c>
      <c r="J175" s="215">
        <f>'Substation Construction SC'!J179+'Substation Construction SC'!J189</f>
        <v>0.12693080015147387</v>
      </c>
      <c r="K175" s="215">
        <f>'Substation Construction SC'!K179+'Substation Construction SC'!K189</f>
        <v>0.34097997024104859</v>
      </c>
      <c r="L175" s="215">
        <f>'Substation Construction SC'!L179+'Substation Construction SC'!L189</f>
        <v>3.0660856329303297E-2</v>
      </c>
      <c r="M175" s="215">
        <f>'Substation Construction SC'!M179+'Substation Construction SC'!M189</f>
        <v>3.8375222053465038E-2</v>
      </c>
      <c r="N175" s="215">
        <f>'Substation Construction SC'!N179+'Substation Construction SC'!N189</f>
        <v>5.4236844328622315E-4</v>
      </c>
      <c r="O175" s="215">
        <f>'Substation Construction SC'!O179+'Substation Construction SC'!O189</f>
        <v>1.2335166566450277E-2</v>
      </c>
      <c r="P175" s="215">
        <f>'Substation Construction SC'!P179+'Substation Construction SC'!P189</f>
        <v>4.0027430001561906E-3</v>
      </c>
      <c r="Q175" s="215">
        <f>'Substation Construction SC'!Q179+'Substation Construction SC'!Q189</f>
        <v>38.229176161724176</v>
      </c>
      <c r="R175" s="215">
        <f>'Substation Construction SC'!R179+'Substation Construction SC'!R189</f>
        <v>2.2992273046887708E-3</v>
      </c>
      <c r="S175" s="215">
        <f>'Substation Construction SC'!S179+'Substation Construction SC'!S189</f>
        <v>4.1887164049986374E-3</v>
      </c>
    </row>
    <row r="176" spans="1:19" s="580" customFormat="1" x14ac:dyDescent="0.25">
      <c r="A176" s="27" t="s">
        <v>121</v>
      </c>
      <c r="B176" s="215">
        <f>'Substation Construction SC'!B180+'Substation Construction SC'!B190</f>
        <v>9.9488789106113321E-2</v>
      </c>
      <c r="C176" s="215">
        <f>'Substation Construction SC'!C180+'Substation Construction SC'!C190</f>
        <v>0.52394497770366966</v>
      </c>
      <c r="D176" s="215">
        <f>'Substation Construction SC'!D180+'Substation Construction SC'!D190</f>
        <v>0.58451249101894909</v>
      </c>
      <c r="E176" s="215">
        <f>'Substation Construction SC'!E180+'Substation Construction SC'!E190</f>
        <v>3.3716477512566504E-3</v>
      </c>
      <c r="F176" s="215">
        <f>'Substation Construction SC'!F180+'Substation Construction SC'!F190</f>
        <v>0.17614612073331026</v>
      </c>
      <c r="G176" s="215">
        <f>'Substation Construction SC'!G180+'Substation Construction SC'!G190</f>
        <v>0.10383060820896126</v>
      </c>
      <c r="H176" s="215">
        <f>'Substation Construction SC'!H180+'Substation Construction SC'!H190</f>
        <v>289.46768757040996</v>
      </c>
      <c r="I176" s="215">
        <f>'Substation Construction SC'!I180+'Substation Construction SC'!I190</f>
        <v>1.6541052070835935E-2</v>
      </c>
      <c r="J176" s="215">
        <f>'Substation Construction SC'!J180+'Substation Construction SC'!J190</f>
        <v>7.415004284803621E-3</v>
      </c>
      <c r="K176" s="215">
        <f>'Substation Construction SC'!K180+'Substation Construction SC'!K190</f>
        <v>2.9846636731833995E-3</v>
      </c>
      <c r="L176" s="215">
        <f>'Substation Construction SC'!L180+'Substation Construction SC'!L190</f>
        <v>1.571834933111009E-2</v>
      </c>
      <c r="M176" s="215">
        <f>'Substation Construction SC'!M180+'Substation Construction SC'!M190</f>
        <v>1.7535374730568473E-2</v>
      </c>
      <c r="N176" s="215">
        <f>'Substation Construction SC'!N180+'Substation Construction SC'!N190</f>
        <v>1.0114943253769951E-4</v>
      </c>
      <c r="O176" s="215">
        <f>'Substation Construction SC'!O180+'Substation Construction SC'!O190</f>
        <v>5.2843836219993081E-3</v>
      </c>
      <c r="P176" s="215">
        <f>'Substation Construction SC'!P180+'Substation Construction SC'!P190</f>
        <v>3.1149182462688373E-3</v>
      </c>
      <c r="Q176" s="215">
        <f>'Substation Construction SC'!Q180+'Substation Construction SC'!Q190</f>
        <v>8.684030627112298</v>
      </c>
      <c r="R176" s="215">
        <f>'Substation Construction SC'!R180+'Substation Construction SC'!R190</f>
        <v>4.9623156212507801E-4</v>
      </c>
      <c r="S176" s="215">
        <f>'Substation Construction SC'!S180+'Substation Construction SC'!S190</f>
        <v>2.2245012854410864E-4</v>
      </c>
    </row>
    <row r="177" spans="1:19" s="580" customFormat="1" x14ac:dyDescent="0.25">
      <c r="A177" s="19" t="s">
        <v>123</v>
      </c>
      <c r="B177" s="22">
        <f t="shared" ref="B177:S177" si="25">SUM(B174:B176)</f>
        <v>3.09620882108706</v>
      </c>
      <c r="C177" s="22">
        <f t="shared" si="25"/>
        <v>20.429474887159923</v>
      </c>
      <c r="D177" s="22">
        <f t="shared" si="25"/>
        <v>11.428440477371229</v>
      </c>
      <c r="E177" s="22">
        <f t="shared" si="25"/>
        <v>7.0402949085414931E-2</v>
      </c>
      <c r="F177" s="22">
        <f t="shared" si="25"/>
        <v>0.8963094974463276</v>
      </c>
      <c r="G177" s="22">
        <f t="shared" si="25"/>
        <v>0.53339555154462082</v>
      </c>
      <c r="H177" s="22">
        <f t="shared" si="25"/>
        <v>5944.6536770240818</v>
      </c>
      <c r="I177" s="22">
        <f t="shared" si="25"/>
        <v>0.32526712595230062</v>
      </c>
      <c r="J177" s="22">
        <f t="shared" si="25"/>
        <v>1.0762528615856892</v>
      </c>
      <c r="K177" s="22">
        <f t="shared" si="25"/>
        <v>0.36012198662567985</v>
      </c>
      <c r="L177" s="22">
        <f t="shared" si="25"/>
        <v>0.12993014993599217</v>
      </c>
      <c r="M177" s="22">
        <f t="shared" si="25"/>
        <v>0.1435132958743438</v>
      </c>
      <c r="N177" s="22">
        <f t="shared" si="25"/>
        <v>1.0913852334862113E-3</v>
      </c>
      <c r="O177" s="22">
        <f t="shared" si="25"/>
        <v>2.0677483094111118E-2</v>
      </c>
      <c r="P177" s="22">
        <f t="shared" si="25"/>
        <v>9.839221532463794E-3</v>
      </c>
      <c r="Q177" s="22">
        <f t="shared" si="25"/>
        <v>86.717560095423494</v>
      </c>
      <c r="R177" s="22">
        <f t="shared" si="25"/>
        <v>4.9115163515304544E-3</v>
      </c>
      <c r="S177" s="22">
        <f t="shared" si="25"/>
        <v>1.2733422947122224E-2</v>
      </c>
    </row>
    <row r="178" spans="1:19" s="580" customFormat="1" x14ac:dyDescent="0.25">
      <c r="A178" s="19" t="s">
        <v>641</v>
      </c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</row>
    <row r="179" spans="1:19" s="580" customFormat="1" x14ac:dyDescent="0.25">
      <c r="A179" s="27" t="s">
        <v>75</v>
      </c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</row>
    <row r="180" spans="1:19" s="580" customFormat="1" x14ac:dyDescent="0.25">
      <c r="A180" s="27" t="s">
        <v>119</v>
      </c>
      <c r="B180" s="215">
        <f>'Transmission Line Construct SC'!B177</f>
        <v>5.9315854345293486</v>
      </c>
      <c r="C180" s="215">
        <f>'Transmission Line Construct SC'!C177</f>
        <v>35.99652672082199</v>
      </c>
      <c r="D180" s="215">
        <f>'Transmission Line Construct SC'!D177</f>
        <v>35.201237478052015</v>
      </c>
      <c r="E180" s="215">
        <f>'Transmission Line Construct SC'!E177</f>
        <v>0.14005977752500484</v>
      </c>
      <c r="F180" s="215">
        <f>'Transmission Line Construct SC'!F177</f>
        <v>1.3680330533866902</v>
      </c>
      <c r="G180" s="215">
        <f>'Transmission Line Construct SC'!G177</f>
        <v>1.2175494175141541</v>
      </c>
      <c r="H180" s="215">
        <f>'Transmission Line Construct SC'!H177</f>
        <v>13094.507677236697</v>
      </c>
      <c r="I180" s="215">
        <f>'Transmission Line Construct SC'!I177</f>
        <v>0.76555293851896178</v>
      </c>
      <c r="J180" s="215">
        <f>'Transmission Line Construct SC'!J177</f>
        <v>3.3441175604149418</v>
      </c>
      <c r="K180" s="215">
        <f>'Transmission Line Construct SC'!K177</f>
        <v>0.11042855393579198</v>
      </c>
      <c r="L180" s="215">
        <f>'Transmission Line Construct SC'!L177</f>
        <v>0.63978996682580347</v>
      </c>
      <c r="M180" s="215">
        <f>'Transmission Line Construct SC'!M177</f>
        <v>0.65155467645623699</v>
      </c>
      <c r="N180" s="215">
        <f>'Transmission Line Construct SC'!N177</f>
        <v>2.6560342755560322E-3</v>
      </c>
      <c r="O180" s="215">
        <f>'Transmission Line Construct SC'!O177</f>
        <v>2.4690045661307225E-2</v>
      </c>
      <c r="P180" s="215">
        <f>'Transmission Line Construct SC'!P177</f>
        <v>2.1974140638563427E-2</v>
      </c>
      <c r="Q180" s="215">
        <f>'Transmission Line Construct SC'!Q177</f>
        <v>247.87185038478947</v>
      </c>
      <c r="R180" s="215">
        <f>'Transmission Line Construct SC'!R177</f>
        <v>1.4255457568135472E-2</v>
      </c>
      <c r="S180" s="215">
        <f>'Transmission Line Construct SC'!S177</f>
        <v>6.1897694263342511E-2</v>
      </c>
    </row>
    <row r="181" spans="1:19" s="580" customFormat="1" x14ac:dyDescent="0.25">
      <c r="A181" s="27" t="s">
        <v>120</v>
      </c>
      <c r="B181" s="215">
        <f>'Transmission Line Construct SC'!B178</f>
        <v>0.83950060628465339</v>
      </c>
      <c r="C181" s="215">
        <f>'Transmission Line Construct SC'!C178</f>
        <v>7.1639307662860201</v>
      </c>
      <c r="D181" s="215">
        <f>'Transmission Line Construct SC'!D178</f>
        <v>0.64113071740246597</v>
      </c>
      <c r="E181" s="215">
        <f>'Transmission Line Construct SC'!E178</f>
        <v>1.318628153042517E-2</v>
      </c>
      <c r="F181" s="215">
        <f>'Transmission Line Construct SC'!F178</f>
        <v>0.29962583650721236</v>
      </c>
      <c r="G181" s="215">
        <f>'Transmission Line Construct SC'!G178</f>
        <v>0.12653685258380493</v>
      </c>
      <c r="H181" s="215">
        <f>'Transmission Line Construct SC'!H178</f>
        <v>865.48591283297822</v>
      </c>
      <c r="I181" s="215">
        <f>'Transmission Line Construct SC'!I178</f>
        <v>5.5965235560304562E-2</v>
      </c>
      <c r="J181" s="215">
        <f>'Transmission Line Construct SC'!J178</f>
        <v>0.10203591424284426</v>
      </c>
      <c r="K181" s="215">
        <f>'Transmission Line Construct SC'!K178</f>
        <v>2.7703520007393564E-2</v>
      </c>
      <c r="L181" s="215">
        <f>'Transmission Line Construct SC'!L178</f>
        <v>0.23640971528743868</v>
      </c>
      <c r="M181" s="215">
        <f>'Transmission Line Construct SC'!M178</f>
        <v>2.1157313674281381E-2</v>
      </c>
      <c r="N181" s="215">
        <f>'Transmission Line Construct SC'!N178</f>
        <v>4.3514729050403065E-4</v>
      </c>
      <c r="O181" s="215">
        <f>'Transmission Line Construct SC'!O178</f>
        <v>9.8876526047380099E-3</v>
      </c>
      <c r="P181" s="215">
        <f>'Transmission Line Construct SC'!P178</f>
        <v>4.1757161352655621E-3</v>
      </c>
      <c r="Q181" s="215">
        <f>'Transmission Line Construct SC'!Q178</f>
        <v>28.561035123488281</v>
      </c>
      <c r="R181" s="215">
        <f>'Transmission Line Construct SC'!R178</f>
        <v>1.8468527734900504E-3</v>
      </c>
      <c r="S181" s="215">
        <f>'Transmission Line Construct SC'!S178</f>
        <v>3.3671851700138606E-3</v>
      </c>
    </row>
    <row r="182" spans="1:19" s="580" customFormat="1" x14ac:dyDescent="0.25">
      <c r="A182" s="27" t="s">
        <v>121</v>
      </c>
      <c r="B182" s="215">
        <f>'Transmission Line Construct SC'!B179</f>
        <v>0.6175666897241926</v>
      </c>
      <c r="C182" s="215">
        <f>'Transmission Line Construct SC'!C179</f>
        <v>2.6014657250523947</v>
      </c>
      <c r="D182" s="215">
        <f>'Transmission Line Construct SC'!D179</f>
        <v>7.669580114722133</v>
      </c>
      <c r="E182" s="215">
        <f>'Transmission Line Construct SC'!E179</f>
        <v>2.8064191544251493E-2</v>
      </c>
      <c r="F182" s="215">
        <f>'Transmission Line Construct SC'!F179</f>
        <v>0.59976944683715216</v>
      </c>
      <c r="G182" s="215">
        <f>'Transmission Line Construct SC'!G179</f>
        <v>0.30719054290138437</v>
      </c>
      <c r="H182" s="215">
        <f>'Transmission Line Construct SC'!H179</f>
        <v>4106.0381802507727</v>
      </c>
      <c r="I182" s="215">
        <f>'Transmission Line Construct SC'!I179</f>
        <v>0.23463133973406985</v>
      </c>
      <c r="J182" s="215">
        <f>'Transmission Line Construct SC'!J179</f>
        <v>0.10518027402530378</v>
      </c>
      <c r="K182" s="215">
        <f>'Transmission Line Construct SC'!K179</f>
        <v>1.2105286111814013E-2</v>
      </c>
      <c r="L182" s="215">
        <f>'Transmission Line Construct SC'!L179</f>
        <v>5.3522979686584718E-2</v>
      </c>
      <c r="M182" s="215">
        <f>'Transmission Line Construct SC'!M179</f>
        <v>0.13462627268678887</v>
      </c>
      <c r="N182" s="215">
        <f>'Transmission Line Construct SC'!N179</f>
        <v>5.2236665976462674E-4</v>
      </c>
      <c r="O182" s="215">
        <f>'Transmission Line Construct SC'!O179</f>
        <v>1.3675358275425934E-2</v>
      </c>
      <c r="P182" s="215">
        <f>'Transmission Line Construct SC'!P179</f>
        <v>7.3327148536086375E-3</v>
      </c>
      <c r="Q182" s="215">
        <f>'Transmission Line Construct SC'!Q179</f>
        <v>71.508318880632714</v>
      </c>
      <c r="R182" s="215">
        <f>'Transmission Line Construct SC'!R179</f>
        <v>4.0861998657959952E-3</v>
      </c>
      <c r="S182" s="215">
        <f>'Transmission Line Construct SC'!S179</f>
        <v>1.8317570964462879E-3</v>
      </c>
    </row>
    <row r="183" spans="1:19" s="580" customFormat="1" x14ac:dyDescent="0.25">
      <c r="A183" s="27" t="s">
        <v>122</v>
      </c>
      <c r="B183" s="215">
        <f>'Transmission Line Construct SC'!B180</f>
        <v>0</v>
      </c>
      <c r="C183" s="215">
        <f>'Transmission Line Construct SC'!C180</f>
        <v>0</v>
      </c>
      <c r="D183" s="215">
        <f>'Transmission Line Construct SC'!D180</f>
        <v>0</v>
      </c>
      <c r="E183" s="215">
        <f>'Transmission Line Construct SC'!E180</f>
        <v>0</v>
      </c>
      <c r="F183" s="215">
        <f>'Transmission Line Construct SC'!F180</f>
        <v>56.107001315396147</v>
      </c>
      <c r="G183" s="215">
        <f>'Transmission Line Construct SC'!G180</f>
        <v>16.742847446195331</v>
      </c>
      <c r="H183" s="215">
        <f>'Transmission Line Construct SC'!H180</f>
        <v>0</v>
      </c>
      <c r="I183" s="215">
        <f>'Transmission Line Construct SC'!I180</f>
        <v>0</v>
      </c>
      <c r="J183" s="215">
        <f>'Transmission Line Construct SC'!J180</f>
        <v>0</v>
      </c>
      <c r="K183" s="215">
        <f>'Transmission Line Construct SC'!K180</f>
        <v>0</v>
      </c>
      <c r="L183" s="215">
        <f>'Transmission Line Construct SC'!L180</f>
        <v>0</v>
      </c>
      <c r="M183" s="215">
        <f>'Transmission Line Construct SC'!M180</f>
        <v>0</v>
      </c>
      <c r="N183" s="215">
        <f>'Transmission Line Construct SC'!N180</f>
        <v>0</v>
      </c>
      <c r="O183" s="215">
        <f>'Transmission Line Construct SC'!O180</f>
        <v>4.3202391012855026</v>
      </c>
      <c r="P183" s="215">
        <f>'Transmission Line Construct SC'!P180</f>
        <v>1.2891992533570404</v>
      </c>
      <c r="Q183" s="215">
        <f>'Transmission Line Construct SC'!Q180</f>
        <v>0</v>
      </c>
      <c r="R183" s="215">
        <f>'Transmission Line Construct SC'!R180</f>
        <v>0</v>
      </c>
      <c r="S183" s="215">
        <f>'Transmission Line Construct SC'!S180</f>
        <v>0</v>
      </c>
    </row>
    <row r="184" spans="1:19" s="580" customFormat="1" x14ac:dyDescent="0.25">
      <c r="A184" s="19" t="s">
        <v>123</v>
      </c>
      <c r="B184" s="22">
        <f t="shared" ref="B184:S184" si="26">SUM(B180:B183)</f>
        <v>7.3886527305381948</v>
      </c>
      <c r="C184" s="22">
        <f t="shared" si="26"/>
        <v>45.761923212160404</v>
      </c>
      <c r="D184" s="22">
        <f t="shared" si="26"/>
        <v>43.511948310176614</v>
      </c>
      <c r="E184" s="22">
        <f t="shared" si="26"/>
        <v>0.18131025059968151</v>
      </c>
      <c r="F184" s="22">
        <f t="shared" si="26"/>
        <v>58.374429652127205</v>
      </c>
      <c r="G184" s="22">
        <f t="shared" si="26"/>
        <v>18.394124259194673</v>
      </c>
      <c r="H184" s="22">
        <f t="shared" si="26"/>
        <v>18066.031770320449</v>
      </c>
      <c r="I184" s="22">
        <f t="shared" si="26"/>
        <v>1.0561495138133361</v>
      </c>
      <c r="J184" s="22">
        <f t="shared" si="26"/>
        <v>3.5513337486830898</v>
      </c>
      <c r="K184" s="22">
        <f t="shared" si="26"/>
        <v>0.15023736005499957</v>
      </c>
      <c r="L184" s="22">
        <f t="shared" si="26"/>
        <v>0.92972266179982688</v>
      </c>
      <c r="M184" s="22">
        <f t="shared" si="26"/>
        <v>0.80733826281730725</v>
      </c>
      <c r="N184" s="22">
        <f t="shared" si="26"/>
        <v>3.6135482258246895E-3</v>
      </c>
      <c r="O184" s="22">
        <f t="shared" si="26"/>
        <v>4.3684921578269735</v>
      </c>
      <c r="P184" s="22">
        <f t="shared" si="26"/>
        <v>1.3226818249844781</v>
      </c>
      <c r="Q184" s="22">
        <f t="shared" si="26"/>
        <v>347.94120438891048</v>
      </c>
      <c r="R184" s="22">
        <f t="shared" si="26"/>
        <v>2.0188510207421517E-2</v>
      </c>
      <c r="S184" s="22">
        <f t="shared" si="26"/>
        <v>6.7096636529802661E-2</v>
      </c>
    </row>
    <row r="185" spans="1:19" s="580" customFormat="1" x14ac:dyDescent="0.25">
      <c r="A185" s="19" t="s">
        <v>652</v>
      </c>
      <c r="B185" s="22">
        <f t="shared" ref="B185:S185" si="27">B177+B184</f>
        <v>10.484861551625254</v>
      </c>
      <c r="C185" s="22">
        <f t="shared" si="27"/>
        <v>66.191398099320324</v>
      </c>
      <c r="D185" s="22">
        <f t="shared" si="27"/>
        <v>54.940388787547846</v>
      </c>
      <c r="E185" s="22">
        <f t="shared" si="27"/>
        <v>0.25171319968509642</v>
      </c>
      <c r="F185" s="22">
        <f t="shared" si="27"/>
        <v>59.270739149573529</v>
      </c>
      <c r="G185" s="22">
        <f t="shared" si="27"/>
        <v>18.927519810739295</v>
      </c>
      <c r="H185" s="22">
        <f t="shared" si="27"/>
        <v>24010.685447344531</v>
      </c>
      <c r="I185" s="22">
        <f t="shared" si="27"/>
        <v>1.3814166397656367</v>
      </c>
      <c r="J185" s="22">
        <f t="shared" si="27"/>
        <v>4.6275866102687786</v>
      </c>
      <c r="K185" s="22">
        <f t="shared" si="27"/>
        <v>0.51035934668067939</v>
      </c>
      <c r="L185" s="22">
        <f t="shared" si="27"/>
        <v>1.059652811735819</v>
      </c>
      <c r="M185" s="22">
        <f t="shared" si="27"/>
        <v>0.95085155869165106</v>
      </c>
      <c r="N185" s="22">
        <f t="shared" si="27"/>
        <v>4.7049334593109006E-3</v>
      </c>
      <c r="O185" s="22">
        <f t="shared" si="27"/>
        <v>4.389169640921085</v>
      </c>
      <c r="P185" s="22">
        <f t="shared" si="27"/>
        <v>1.3325210465169419</v>
      </c>
      <c r="Q185" s="22">
        <f t="shared" si="27"/>
        <v>434.65876448433397</v>
      </c>
      <c r="R185" s="22">
        <f t="shared" si="27"/>
        <v>2.5100026558951972E-2</v>
      </c>
      <c r="S185" s="22">
        <f t="shared" si="27"/>
        <v>7.9830059476924883E-2</v>
      </c>
    </row>
    <row r="186" spans="1:19" s="580" customFormat="1" x14ac:dyDescent="0.25">
      <c r="A186" s="27" t="s">
        <v>344</v>
      </c>
      <c r="B186" s="213">
        <v>75</v>
      </c>
      <c r="C186" s="213">
        <v>550</v>
      </c>
      <c r="D186" s="213">
        <v>100</v>
      </c>
      <c r="E186" s="213">
        <v>150</v>
      </c>
      <c r="F186" s="213">
        <v>150</v>
      </c>
      <c r="G186" s="213">
        <v>55</v>
      </c>
      <c r="H186" s="27" t="s">
        <v>345</v>
      </c>
      <c r="I186" s="27" t="s">
        <v>345</v>
      </c>
      <c r="J186" s="27" t="s">
        <v>345</v>
      </c>
      <c r="K186" s="27" t="s">
        <v>345</v>
      </c>
      <c r="L186" s="27" t="s">
        <v>345</v>
      </c>
      <c r="M186" s="27" t="s">
        <v>345</v>
      </c>
      <c r="N186" s="27" t="s">
        <v>345</v>
      </c>
      <c r="O186" s="27" t="s">
        <v>345</v>
      </c>
      <c r="P186" s="27" t="s">
        <v>345</v>
      </c>
      <c r="Q186" s="27" t="s">
        <v>345</v>
      </c>
      <c r="R186" s="27" t="s">
        <v>345</v>
      </c>
      <c r="S186" s="27" t="s">
        <v>345</v>
      </c>
    </row>
    <row r="187" spans="1:19" s="580" customFormat="1" x14ac:dyDescent="0.25"/>
    <row r="188" spans="1:19" s="580" customFormat="1" x14ac:dyDescent="0.25"/>
    <row r="189" spans="1:19" s="580" customFormat="1" x14ac:dyDescent="0.25">
      <c r="A189" s="585">
        <v>2020</v>
      </c>
    </row>
    <row r="190" spans="1:19" s="580" customFormat="1" ht="39.6" x14ac:dyDescent="0.25">
      <c r="A190" s="19" t="s">
        <v>132</v>
      </c>
      <c r="B190" s="16" t="s">
        <v>18</v>
      </c>
      <c r="C190" s="16" t="s">
        <v>19</v>
      </c>
      <c r="D190" s="16" t="s">
        <v>20</v>
      </c>
      <c r="E190" s="16" t="s">
        <v>21</v>
      </c>
      <c r="F190" s="16" t="s">
        <v>22</v>
      </c>
      <c r="G190" s="16" t="s">
        <v>23</v>
      </c>
      <c r="H190" s="17" t="s">
        <v>24</v>
      </c>
      <c r="I190" s="16" t="s">
        <v>25</v>
      </c>
      <c r="J190" s="16" t="s">
        <v>26</v>
      </c>
      <c r="K190" s="18" t="s">
        <v>27</v>
      </c>
      <c r="L190" s="18" t="s">
        <v>28</v>
      </c>
      <c r="M190" s="18" t="s">
        <v>29</v>
      </c>
      <c r="N190" s="18" t="s">
        <v>30</v>
      </c>
      <c r="O190" s="18" t="s">
        <v>31</v>
      </c>
      <c r="P190" s="18" t="s">
        <v>32</v>
      </c>
      <c r="Q190" s="17" t="s">
        <v>33</v>
      </c>
      <c r="R190" s="18" t="s">
        <v>34</v>
      </c>
      <c r="S190" s="18" t="s">
        <v>35</v>
      </c>
    </row>
    <row r="191" spans="1:19" s="580" customFormat="1" x14ac:dyDescent="0.25">
      <c r="A191" s="19" t="s">
        <v>640</v>
      </c>
      <c r="B191" s="16"/>
      <c r="C191" s="16"/>
      <c r="D191" s="16"/>
      <c r="E191" s="16"/>
      <c r="F191" s="16"/>
      <c r="G191" s="16"/>
      <c r="H191" s="17"/>
      <c r="I191" s="16"/>
      <c r="J191" s="16"/>
      <c r="K191" s="18"/>
      <c r="L191" s="18"/>
      <c r="M191" s="18"/>
      <c r="N191" s="18"/>
      <c r="O191" s="18"/>
      <c r="P191" s="18"/>
      <c r="Q191" s="17"/>
      <c r="R191" s="18"/>
      <c r="S191" s="18"/>
    </row>
    <row r="192" spans="1:19" s="580" customFormat="1" x14ac:dyDescent="0.25">
      <c r="A192" s="27" t="s">
        <v>75</v>
      </c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</row>
    <row r="193" spans="1:19" s="580" customFormat="1" x14ac:dyDescent="0.25">
      <c r="A193" s="27" t="s">
        <v>119</v>
      </c>
      <c r="B193" s="215">
        <f>'Substation Construction SC'!B199</f>
        <v>0.22649987494060561</v>
      </c>
      <c r="C193" s="215">
        <f>'Substation Construction SC'!C199</f>
        <v>1.3479301666254559</v>
      </c>
      <c r="D193" s="215">
        <f>'Substation Construction SC'!D199</f>
        <v>1.0964447707546205</v>
      </c>
      <c r="E193" s="215">
        <f>'Substation Construction SC'!E199</f>
        <v>7.4956851479941293E-3</v>
      </c>
      <c r="F193" s="215">
        <f>'Substation Construction SC'!F199</f>
        <v>3.9012895705384104E-2</v>
      </c>
      <c r="G193" s="215">
        <f>'Substation Construction SC'!G199</f>
        <v>3.4721477177791851E-2</v>
      </c>
      <c r="H193" s="215">
        <f>'Substation Construction SC'!H199</f>
        <v>666.18162982668218</v>
      </c>
      <c r="I193" s="215">
        <f>'Substation Construction SC'!I199</f>
        <v>3.34657987200205E-2</v>
      </c>
      <c r="J193" s="215">
        <f>'Substation Construction SC'!J199</f>
        <v>0.10416225322168896</v>
      </c>
      <c r="K193" s="215">
        <f>'Substation Construction SC'!K199</f>
        <v>2.491498624346662E-3</v>
      </c>
      <c r="L193" s="215">
        <f>'Substation Construction SC'!L199</f>
        <v>1.4827231832880015E-2</v>
      </c>
      <c r="M193" s="215">
        <f>'Substation Construction SC'!M199</f>
        <v>1.2060892478300826E-2</v>
      </c>
      <c r="N193" s="215">
        <f>'Substation Construction SC'!N199</f>
        <v>8.2452536627935423E-5</v>
      </c>
      <c r="O193" s="215">
        <f>'Substation Construction SC'!O199</f>
        <v>4.2914185275922512E-4</v>
      </c>
      <c r="P193" s="215">
        <f>'Substation Construction SC'!P199</f>
        <v>3.8193624895571036E-4</v>
      </c>
      <c r="Q193" s="215">
        <f>'Substation Construction SC'!Q199</f>
        <v>7.3279979280935041</v>
      </c>
      <c r="R193" s="215">
        <f>'Substation Construction SC'!R199</f>
        <v>3.6812378592022548E-4</v>
      </c>
      <c r="S193" s="215">
        <f>'Substation Construction SC'!S199</f>
        <v>1.1457847854385785E-3</v>
      </c>
    </row>
    <row r="194" spans="1:19" s="580" customFormat="1" x14ac:dyDescent="0.25">
      <c r="A194" s="27" t="s">
        <v>120</v>
      </c>
      <c r="B194" s="215">
        <f>'Substation Construction SC'!B200</f>
        <v>0.58144275838583392</v>
      </c>
      <c r="C194" s="215">
        <f>'Substation Construction SC'!C200</f>
        <v>5.1663631854704333</v>
      </c>
      <c r="D194" s="215">
        <f>'Substation Construction SC'!D200</f>
        <v>0.46455842923186813</v>
      </c>
      <c r="E194" s="215">
        <f>'Substation Construction SC'!E200</f>
        <v>8.2177036861548966E-3</v>
      </c>
      <c r="F194" s="215">
        <f>'Substation Construction SC'!F200</f>
        <v>0.18689646312803451</v>
      </c>
      <c r="G194" s="215">
        <f>'Substation Construction SC'!G200</f>
        <v>6.0647621214487732E-2</v>
      </c>
      <c r="H194" s="215">
        <f>'Substation Construction SC'!H200</f>
        <v>579.2299418443057</v>
      </c>
      <c r="I194" s="215">
        <f>'Substation Construction SC'!I200</f>
        <v>3.4836777343769255E-2</v>
      </c>
      <c r="J194" s="215">
        <f>'Substation Construction SC'!J200</f>
        <v>6.3465400075736936E-2</v>
      </c>
      <c r="K194" s="215">
        <f>'Substation Construction SC'!K200</f>
        <v>0.1704899851205243</v>
      </c>
      <c r="L194" s="215">
        <f>'Substation Construction SC'!L200</f>
        <v>1.5330428164651648E-2</v>
      </c>
      <c r="M194" s="215">
        <f>'Substation Construction SC'!M200</f>
        <v>1.9187611026732519E-2</v>
      </c>
      <c r="N194" s="215">
        <f>'Substation Construction SC'!N200</f>
        <v>2.7118422164311158E-4</v>
      </c>
      <c r="O194" s="215">
        <f>'Substation Construction SC'!O200</f>
        <v>6.1675832832251386E-3</v>
      </c>
      <c r="P194" s="215">
        <f>'Substation Construction SC'!P200</f>
        <v>2.0013715000780953E-3</v>
      </c>
      <c r="Q194" s="215">
        <f>'Substation Construction SC'!Q200</f>
        <v>19.114588080862088</v>
      </c>
      <c r="R194" s="215">
        <f>'Substation Construction SC'!R200</f>
        <v>1.1496136523443854E-3</v>
      </c>
      <c r="S194" s="215">
        <f>'Substation Construction SC'!S200</f>
        <v>2.0943582024993187E-3</v>
      </c>
    </row>
    <row r="195" spans="1:19" s="580" customFormat="1" x14ac:dyDescent="0.25">
      <c r="A195" s="27" t="s">
        <v>121</v>
      </c>
      <c r="B195" s="215">
        <f>'Substation Construction SC'!B201</f>
        <v>4.4379586567412921E-2</v>
      </c>
      <c r="C195" s="215">
        <f>'Substation Construction SC'!C201</f>
        <v>0.23609914226645456</v>
      </c>
      <c r="D195" s="215">
        <f>'Substation Construction SC'!D201</f>
        <v>0.27443099614017152</v>
      </c>
      <c r="E195" s="215">
        <f>'Substation Construction SC'!E201</f>
        <v>1.6858238756283252E-3</v>
      </c>
      <c r="F195" s="215">
        <f>'Substation Construction SC'!F201</f>
        <v>8.3170060114131764E-2</v>
      </c>
      <c r="G195" s="215">
        <f>'Substation Construction SC'!G201</f>
        <v>4.7404544506392969E-2</v>
      </c>
      <c r="H195" s="215">
        <f>'Substation Construction SC'!H201</f>
        <v>139.21035048229845</v>
      </c>
      <c r="I195" s="215">
        <f>'Substation Construction SC'!I201</f>
        <v>7.9548970576099817E-3</v>
      </c>
      <c r="J195" s="215">
        <f>'Substation Construction SC'!J201</f>
        <v>3.566012337954557E-3</v>
      </c>
      <c r="K195" s="215">
        <f>'Substation Construction SC'!K201</f>
        <v>4.8817545224154216E-4</v>
      </c>
      <c r="L195" s="215">
        <f>'Substation Construction SC'!L201</f>
        <v>2.5970905649310002E-3</v>
      </c>
      <c r="M195" s="215">
        <f>'Substation Construction SC'!M201</f>
        <v>3.0187409575418867E-3</v>
      </c>
      <c r="N195" s="215">
        <f>'Substation Construction SC'!N201</f>
        <v>1.854406263191158E-5</v>
      </c>
      <c r="O195" s="215">
        <f>'Substation Construction SC'!O201</f>
        <v>9.1487066125544951E-4</v>
      </c>
      <c r="P195" s="215">
        <f>'Substation Construction SC'!P201</f>
        <v>5.214499895703226E-4</v>
      </c>
      <c r="Q195" s="215">
        <f>'Substation Construction SC'!Q201</f>
        <v>1.531313855305283</v>
      </c>
      <c r="R195" s="215">
        <f>'Substation Construction SC'!R201</f>
        <v>8.7503867633709797E-5</v>
      </c>
      <c r="S195" s="215">
        <f>'Substation Construction SC'!S201</f>
        <v>3.9226135717500125E-5</v>
      </c>
    </row>
    <row r="196" spans="1:19" s="580" customFormat="1" x14ac:dyDescent="0.25">
      <c r="A196" s="19" t="s">
        <v>123</v>
      </c>
      <c r="B196" s="22">
        <f t="shared" ref="B196:S196" si="28">SUM(B193:B195)</f>
        <v>0.85232221989385248</v>
      </c>
      <c r="C196" s="22">
        <f t="shared" si="28"/>
        <v>6.7503924943623437</v>
      </c>
      <c r="D196" s="22">
        <f t="shared" si="28"/>
        <v>1.83543419612666</v>
      </c>
      <c r="E196" s="22">
        <f t="shared" si="28"/>
        <v>1.7399212709777352E-2</v>
      </c>
      <c r="F196" s="22">
        <f t="shared" si="28"/>
        <v>0.30907941894755037</v>
      </c>
      <c r="G196" s="22">
        <f t="shared" si="28"/>
        <v>0.14277364289867256</v>
      </c>
      <c r="H196" s="22">
        <f t="shared" si="28"/>
        <v>1384.6219221532865</v>
      </c>
      <c r="I196" s="22">
        <f t="shared" si="28"/>
        <v>7.6257473121399744E-2</v>
      </c>
      <c r="J196" s="22">
        <f t="shared" si="28"/>
        <v>0.17119366563538047</v>
      </c>
      <c r="K196" s="22">
        <f t="shared" si="28"/>
        <v>0.17346965919711249</v>
      </c>
      <c r="L196" s="22">
        <f t="shared" si="28"/>
        <v>3.2754750562462666E-2</v>
      </c>
      <c r="M196" s="22">
        <f t="shared" si="28"/>
        <v>3.426724446257523E-2</v>
      </c>
      <c r="N196" s="22">
        <f t="shared" si="28"/>
        <v>3.7218082090295862E-4</v>
      </c>
      <c r="O196" s="22">
        <f t="shared" si="28"/>
        <v>7.5115957972398135E-3</v>
      </c>
      <c r="P196" s="22">
        <f t="shared" si="28"/>
        <v>2.9047577386041284E-3</v>
      </c>
      <c r="Q196" s="22">
        <f t="shared" si="28"/>
        <v>27.973899864260876</v>
      </c>
      <c r="R196" s="22">
        <f t="shared" si="28"/>
        <v>1.6052413058983207E-3</v>
      </c>
      <c r="S196" s="22">
        <f t="shared" si="28"/>
        <v>3.279369123655397E-3</v>
      </c>
    </row>
    <row r="197" spans="1:19" s="580" customFormat="1" x14ac:dyDescent="0.25">
      <c r="A197" s="19" t="s">
        <v>641</v>
      </c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215"/>
      <c r="Q197" s="215"/>
      <c r="R197" s="215"/>
      <c r="S197" s="215"/>
    </row>
    <row r="198" spans="1:19" s="580" customFormat="1" x14ac:dyDescent="0.25">
      <c r="A198" s="27" t="s">
        <v>75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</row>
    <row r="199" spans="1:19" s="580" customFormat="1" x14ac:dyDescent="0.25">
      <c r="A199" s="27" t="s">
        <v>119</v>
      </c>
      <c r="B199" s="215">
        <f>'Transmission Line Construct SC'!B189</f>
        <v>3.3214148452018319</v>
      </c>
      <c r="C199" s="215">
        <f>'Transmission Line Construct SC'!C189</f>
        <v>31.041363756464463</v>
      </c>
      <c r="D199" s="215">
        <f>'Transmission Line Construct SC'!D189</f>
        <v>20.205235126264846</v>
      </c>
      <c r="E199" s="215">
        <f>'Transmission Line Construct SC'!E189</f>
        <v>0.10012944926863133</v>
      </c>
      <c r="F199" s="215">
        <f>'Transmission Line Construct SC'!F189</f>
        <v>0.76186400390422049</v>
      </c>
      <c r="G199" s="215">
        <f>'Transmission Line Construct SC'!G189</f>
        <v>0.67805896347475625</v>
      </c>
      <c r="H199" s="215">
        <f>'Transmission Line Construct SC'!H189</f>
        <v>9488.1656187084682</v>
      </c>
      <c r="I199" s="215">
        <f>'Transmission Line Construct SC'!I189</f>
        <v>0.46224515386149384</v>
      </c>
      <c r="J199" s="215">
        <f>'Transmission Line Construct SC'!J189</f>
        <v>1.9194973369951605</v>
      </c>
      <c r="K199" s="215">
        <f>'Transmission Line Construct SC'!K189</f>
        <v>0.13259902842651797</v>
      </c>
      <c r="L199" s="215">
        <f>'Transmission Line Construct SC'!L189</f>
        <v>1.2697138876220362</v>
      </c>
      <c r="M199" s="215">
        <f>'Transmission Line Construct SC'!M189</f>
        <v>0.85015771890880432</v>
      </c>
      <c r="N199" s="215">
        <f>'Transmission Line Construct SC'!N189</f>
        <v>3.8353221016049007E-3</v>
      </c>
      <c r="O199" s="215">
        <f>'Transmission Line Construct SC'!O189</f>
        <v>3.1605342023002865E-2</v>
      </c>
      <c r="P199" s="215">
        <f>'Transmission Line Construct SC'!P189</f>
        <v>2.8128754400472557E-2</v>
      </c>
      <c r="Q199" s="215">
        <f>'Transmission Line Construct SC'!Q189</f>
        <v>360.79804361967496</v>
      </c>
      <c r="R199" s="215">
        <f>'Transmission Line Construct SC'!R189</f>
        <v>1.8706118915629764E-2</v>
      </c>
      <c r="S199" s="215">
        <f>'Transmission Line Construct SC'!S189</f>
        <v>8.0764983296336426E-2</v>
      </c>
    </row>
    <row r="200" spans="1:19" s="580" customFormat="1" x14ac:dyDescent="0.25">
      <c r="A200" s="27" t="s">
        <v>120</v>
      </c>
      <c r="B200" s="215">
        <f>'Transmission Line Construct SC'!B190</f>
        <v>0.83950060628465339</v>
      </c>
      <c r="C200" s="215">
        <f>'Transmission Line Construct SC'!C190</f>
        <v>7.1639307662860201</v>
      </c>
      <c r="D200" s="215">
        <f>'Transmission Line Construct SC'!D190</f>
        <v>0.64113071740246597</v>
      </c>
      <c r="E200" s="215">
        <f>'Transmission Line Construct SC'!E190</f>
        <v>1.318628153042517E-2</v>
      </c>
      <c r="F200" s="215">
        <f>'Transmission Line Construct SC'!F190</f>
        <v>0.29962583650721236</v>
      </c>
      <c r="G200" s="215">
        <f>'Transmission Line Construct SC'!G190</f>
        <v>0.12653685258380493</v>
      </c>
      <c r="H200" s="215">
        <f>'Transmission Line Construct SC'!H190</f>
        <v>865.48591283297822</v>
      </c>
      <c r="I200" s="215">
        <f>'Transmission Line Construct SC'!I190</f>
        <v>5.5965235560304562E-2</v>
      </c>
      <c r="J200" s="215">
        <f>'Transmission Line Construct SC'!J190</f>
        <v>0.10203591424284426</v>
      </c>
      <c r="K200" s="215">
        <f>'Transmission Line Construct SC'!K190</f>
        <v>2.7703520007393564E-2</v>
      </c>
      <c r="L200" s="215">
        <f>'Transmission Line Construct SC'!L190</f>
        <v>0.23640971528743868</v>
      </c>
      <c r="M200" s="215">
        <f>'Transmission Line Construct SC'!M190</f>
        <v>2.1157313674281381E-2</v>
      </c>
      <c r="N200" s="215">
        <f>'Transmission Line Construct SC'!N190</f>
        <v>4.3514729050403065E-4</v>
      </c>
      <c r="O200" s="215">
        <f>'Transmission Line Construct SC'!O190</f>
        <v>9.8876526047380099E-3</v>
      </c>
      <c r="P200" s="215">
        <f>'Transmission Line Construct SC'!P190</f>
        <v>4.1757161352655621E-3</v>
      </c>
      <c r="Q200" s="215">
        <f>'Transmission Line Construct SC'!Q190</f>
        <v>28.561035123488281</v>
      </c>
      <c r="R200" s="215">
        <f>'Transmission Line Construct SC'!R190</f>
        <v>1.8468527734900504E-3</v>
      </c>
      <c r="S200" s="215">
        <f>'Transmission Line Construct SC'!S190</f>
        <v>3.3671851700138606E-3</v>
      </c>
    </row>
    <row r="201" spans="1:19" s="580" customFormat="1" x14ac:dyDescent="0.25">
      <c r="A201" s="27" t="s">
        <v>121</v>
      </c>
      <c r="B201" s="215">
        <f>'Transmission Line Construct SC'!B191</f>
        <v>0.59926184667931082</v>
      </c>
      <c r="C201" s="215">
        <f>'Transmission Line Construct SC'!C191</f>
        <v>2.5188268315082194</v>
      </c>
      <c r="D201" s="215">
        <f>'Transmission Line Construct SC'!D191</f>
        <v>6.8276943206763132</v>
      </c>
      <c r="E201" s="215">
        <f>'Transmission Line Construct SC'!E191</f>
        <v>2.8064191544251493E-2</v>
      </c>
      <c r="F201" s="215">
        <f>'Transmission Line Construct SC'!F191</f>
        <v>0.59093978032933292</v>
      </c>
      <c r="G201" s="215">
        <f>'Transmission Line Construct SC'!G191</f>
        <v>0.29906725049330762</v>
      </c>
      <c r="H201" s="215">
        <f>'Transmission Line Construct SC'!H191</f>
        <v>4009.2360270183858</v>
      </c>
      <c r="I201" s="215">
        <f>'Transmission Line Construct SC'!I191</f>
        <v>0.22909977429191164</v>
      </c>
      <c r="J201" s="215">
        <f>'Transmission Line Construct SC'!J191</f>
        <v>0.10270059006810298</v>
      </c>
      <c r="K201" s="215">
        <f>'Transmission Line Construct SC'!K191</f>
        <v>1.1558732705364061E-2</v>
      </c>
      <c r="L201" s="215">
        <f>'Transmission Line Construct SC'!L191</f>
        <v>5.0975719641048543E-2</v>
      </c>
      <c r="M201" s="215">
        <f>'Transmission Line Construct SC'!M191</f>
        <v>0.12053639145002192</v>
      </c>
      <c r="N201" s="215">
        <f>'Transmission Line Construct SC'!N191</f>
        <v>5.2236665976462674E-4</v>
      </c>
      <c r="O201" s="215">
        <f>'Transmission Line Construct SC'!O191</f>
        <v>1.3299987362089484E-2</v>
      </c>
      <c r="P201" s="215">
        <f>'Transmission Line Construct SC'!P191</f>
        <v>6.9873736561905254E-3</v>
      </c>
      <c r="Q201" s="215">
        <f>'Transmission Line Construct SC'!Q191</f>
        <v>69.720578153598154</v>
      </c>
      <c r="R201" s="215">
        <f>'Transmission Line Construct SC'!R191</f>
        <v>3.9840429974310598E-3</v>
      </c>
      <c r="S201" s="215">
        <f>'Transmission Line Construct SC'!S191</f>
        <v>1.78596232998257E-3</v>
      </c>
    </row>
    <row r="202" spans="1:19" s="612" customFormat="1" x14ac:dyDescent="0.25">
      <c r="A202" s="27" t="s">
        <v>656</v>
      </c>
      <c r="B202" s="215">
        <f>'Transmission Line Construct SC'!B192</f>
        <v>12.830799050242181</v>
      </c>
      <c r="C202" s="215">
        <f>'Transmission Line Construct SC'!C192</f>
        <v>66.887438003316817</v>
      </c>
      <c r="D202" s="215">
        <f>'Transmission Line Construct SC'!D192</f>
        <v>66.887438003316817</v>
      </c>
      <c r="E202" s="215">
        <f>'Transmission Line Construct SC'!E192</f>
        <v>12.314722567340549</v>
      </c>
      <c r="F202" s="215">
        <f>'Transmission Line Construct SC'!F192</f>
        <v>22.109244879957675</v>
      </c>
      <c r="G202" s="215">
        <f>'Transmission Line Construct SC'!G192</f>
        <v>22.109244879957675</v>
      </c>
      <c r="H202" s="215">
        <f>'Transmission Line Construct SC'!H192</f>
        <v>30084.642801206399</v>
      </c>
      <c r="I202" s="215">
        <f>'Transmission Line Construct SC'!I192</f>
        <v>0</v>
      </c>
      <c r="J202" s="215">
        <f>'Transmission Line Construct SC'!J192</f>
        <v>0</v>
      </c>
      <c r="K202" s="215">
        <f>'Transmission Line Construct SC'!K192</f>
        <v>0.12830799050242181</v>
      </c>
      <c r="L202" s="215">
        <f>'Transmission Line Construct SC'!L192</f>
        <v>0.66887438003316801</v>
      </c>
      <c r="M202" s="215">
        <f>'Transmission Line Construct SC'!M192</f>
        <v>0.66887438003316801</v>
      </c>
      <c r="N202" s="215">
        <f>'Transmission Line Construct SC'!N192</f>
        <v>0.1231472256734055</v>
      </c>
      <c r="O202" s="215">
        <f>'Transmission Line Construct SC'!O192</f>
        <v>0.22109244879957674</v>
      </c>
      <c r="P202" s="215">
        <f>'Transmission Line Construct SC'!P192</f>
        <v>0.22109244879957674</v>
      </c>
      <c r="Q202" s="215">
        <f>'Transmission Line Construct SC'!Q192</f>
        <v>300.846428012064</v>
      </c>
      <c r="R202" s="215">
        <f>'Transmission Line Construct SC'!R192</f>
        <v>0</v>
      </c>
      <c r="S202" s="215">
        <f>'Transmission Line Construct SC'!S192</f>
        <v>0</v>
      </c>
    </row>
    <row r="203" spans="1:19" s="580" customFormat="1" x14ac:dyDescent="0.25">
      <c r="A203" s="27" t="s">
        <v>122</v>
      </c>
      <c r="B203" s="215">
        <f>'Transmission Line Construct SC'!B193</f>
        <v>0</v>
      </c>
      <c r="C203" s="215">
        <f>'Transmission Line Construct SC'!C193</f>
        <v>0</v>
      </c>
      <c r="D203" s="215">
        <f>'Transmission Line Construct SC'!D193</f>
        <v>0</v>
      </c>
      <c r="E203" s="215">
        <f>'Transmission Line Construct SC'!E193</f>
        <v>0</v>
      </c>
      <c r="F203" s="215">
        <f>'Transmission Line Construct SC'!F193</f>
        <v>55.837687709082239</v>
      </c>
      <c r="G203" s="215">
        <f>'Transmission Line Construct SC'!G193</f>
        <v>16.662481778453593</v>
      </c>
      <c r="H203" s="215">
        <f>'Transmission Line Construct SC'!H193</f>
        <v>0</v>
      </c>
      <c r="I203" s="215">
        <f>'Transmission Line Construct SC'!I193</f>
        <v>0</v>
      </c>
      <c r="J203" s="215">
        <f>'Transmission Line Construct SC'!J193</f>
        <v>0</v>
      </c>
      <c r="K203" s="215">
        <f>'Transmission Line Construct SC'!K193</f>
        <v>0</v>
      </c>
      <c r="L203" s="215">
        <f>'Transmission Line Construct SC'!L193</f>
        <v>0</v>
      </c>
      <c r="M203" s="215">
        <f>'Transmission Line Construct SC'!M193</f>
        <v>0</v>
      </c>
      <c r="N203" s="215">
        <f>'Transmission Line Construct SC'!N193</f>
        <v>0</v>
      </c>
      <c r="O203" s="215">
        <f>'Transmission Line Construct SC'!O193</f>
        <v>4.2995019535993322</v>
      </c>
      <c r="P203" s="215">
        <f>'Transmission Line Construct SC'!P193</f>
        <v>1.2830110969409265</v>
      </c>
      <c r="Q203" s="215">
        <f>'Transmission Line Construct SC'!Q193</f>
        <v>0</v>
      </c>
      <c r="R203" s="215">
        <f>'Transmission Line Construct SC'!R193</f>
        <v>0</v>
      </c>
      <c r="S203" s="215">
        <f>'Transmission Line Construct SC'!S193</f>
        <v>0</v>
      </c>
    </row>
    <row r="204" spans="1:19" s="580" customFormat="1" x14ac:dyDescent="0.25">
      <c r="A204" s="19" t="s">
        <v>123</v>
      </c>
      <c r="B204" s="22">
        <f>SUM(B199:B203)</f>
        <v>17.590976348407978</v>
      </c>
      <c r="C204" s="22">
        <f t="shared" ref="C204:S204" si="29">SUM(C199:C203)</f>
        <v>107.61155935757552</v>
      </c>
      <c r="D204" s="22">
        <f t="shared" si="29"/>
        <v>94.561498167660432</v>
      </c>
      <c r="E204" s="22">
        <f t="shared" si="29"/>
        <v>12.456102489683857</v>
      </c>
      <c r="F204" s="22">
        <f t="shared" si="29"/>
        <v>79.599362209780679</v>
      </c>
      <c r="G204" s="22">
        <f t="shared" si="29"/>
        <v>39.875389724963135</v>
      </c>
      <c r="H204" s="22">
        <f t="shared" si="29"/>
        <v>44447.530359766228</v>
      </c>
      <c r="I204" s="22">
        <f t="shared" si="29"/>
        <v>0.74731016371371006</v>
      </c>
      <c r="J204" s="22">
        <f t="shared" si="29"/>
        <v>2.1242338413061077</v>
      </c>
      <c r="K204" s="22">
        <f t="shared" si="29"/>
        <v>0.30016927164169738</v>
      </c>
      <c r="L204" s="22">
        <f t="shared" si="29"/>
        <v>2.2259737025836914</v>
      </c>
      <c r="M204" s="22">
        <f t="shared" si="29"/>
        <v>1.6607258040662756</v>
      </c>
      <c r="N204" s="22">
        <f t="shared" si="29"/>
        <v>0.12794006172527905</v>
      </c>
      <c r="O204" s="22">
        <f t="shared" si="29"/>
        <v>4.5753873843887396</v>
      </c>
      <c r="P204" s="22">
        <f t="shared" si="29"/>
        <v>1.543395389932432</v>
      </c>
      <c r="Q204" s="22">
        <f t="shared" si="29"/>
        <v>759.92608490882549</v>
      </c>
      <c r="R204" s="22">
        <f t="shared" si="29"/>
        <v>2.4537014686550875E-2</v>
      </c>
      <c r="S204" s="22">
        <f t="shared" si="29"/>
        <v>8.5918130796332856E-2</v>
      </c>
    </row>
    <row r="205" spans="1:19" s="580" customFormat="1" x14ac:dyDescent="0.25">
      <c r="A205" s="19" t="s">
        <v>653</v>
      </c>
      <c r="B205" s="22">
        <f>B196+B204</f>
        <v>18.443298568301831</v>
      </c>
      <c r="C205" s="22">
        <f t="shared" ref="C205:S205" si="30">C196+C204</f>
        <v>114.36195185193786</v>
      </c>
      <c r="D205" s="22">
        <f t="shared" si="30"/>
        <v>96.396932363787087</v>
      </c>
      <c r="E205" s="22">
        <f t="shared" si="30"/>
        <v>12.473501702393635</v>
      </c>
      <c r="F205" s="22">
        <f t="shared" si="30"/>
        <v>79.908441628728227</v>
      </c>
      <c r="G205" s="22">
        <f t="shared" si="30"/>
        <v>40.01816336786181</v>
      </c>
      <c r="H205" s="22">
        <f t="shared" si="30"/>
        <v>45832.152281919516</v>
      </c>
      <c r="I205" s="22">
        <f t="shared" si="30"/>
        <v>0.82356763683510981</v>
      </c>
      <c r="J205" s="22">
        <f t="shared" si="30"/>
        <v>2.295427506941488</v>
      </c>
      <c r="K205" s="22">
        <f t="shared" si="30"/>
        <v>0.47363893083880987</v>
      </c>
      <c r="L205" s="22">
        <f t="shared" si="30"/>
        <v>2.258728453146154</v>
      </c>
      <c r="M205" s="22">
        <f t="shared" si="30"/>
        <v>1.6949930485288509</v>
      </c>
      <c r="N205" s="22">
        <f t="shared" si="30"/>
        <v>0.12831224254618201</v>
      </c>
      <c r="O205" s="22">
        <f t="shared" si="30"/>
        <v>4.5828989801859796</v>
      </c>
      <c r="P205" s="22">
        <f t="shared" si="30"/>
        <v>1.5463001476710361</v>
      </c>
      <c r="Q205" s="22">
        <f t="shared" si="30"/>
        <v>787.89998477308632</v>
      </c>
      <c r="R205" s="22">
        <f t="shared" si="30"/>
        <v>2.6142255992449195E-2</v>
      </c>
      <c r="S205" s="22">
        <f t="shared" si="30"/>
        <v>8.9197499919988252E-2</v>
      </c>
    </row>
    <row r="206" spans="1:19" s="580" customFormat="1" x14ac:dyDescent="0.25">
      <c r="A206" s="27" t="s">
        <v>344</v>
      </c>
      <c r="B206" s="213">
        <v>75</v>
      </c>
      <c r="C206" s="213">
        <v>550</v>
      </c>
      <c r="D206" s="213">
        <v>100</v>
      </c>
      <c r="E206" s="213">
        <v>150</v>
      </c>
      <c r="F206" s="213">
        <v>150</v>
      </c>
      <c r="G206" s="213">
        <v>55</v>
      </c>
      <c r="H206" s="27" t="s">
        <v>345</v>
      </c>
      <c r="I206" s="27" t="s">
        <v>345</v>
      </c>
      <c r="J206" s="27" t="s">
        <v>345</v>
      </c>
      <c r="K206" s="27" t="s">
        <v>345</v>
      </c>
      <c r="L206" s="27" t="s">
        <v>345</v>
      </c>
      <c r="M206" s="27" t="s">
        <v>345</v>
      </c>
      <c r="N206" s="27" t="s">
        <v>345</v>
      </c>
      <c r="O206" s="27" t="s">
        <v>345</v>
      </c>
      <c r="P206" s="27" t="s">
        <v>345</v>
      </c>
      <c r="Q206" s="27" t="s">
        <v>345</v>
      </c>
      <c r="R206" s="27" t="s">
        <v>345</v>
      </c>
      <c r="S206" s="27" t="s">
        <v>345</v>
      </c>
    </row>
    <row r="208" spans="1:19" x14ac:dyDescent="0.25">
      <c r="M208" s="612" t="s">
        <v>347</v>
      </c>
      <c r="N208" s="612"/>
      <c r="O208" s="612"/>
      <c r="P208" s="612"/>
      <c r="Q208" s="98">
        <f>(Q105+Q125+Q145+Q166+Q185+Q205)/1.1023</f>
        <v>15332.527513972567</v>
      </c>
      <c r="R208" s="98">
        <f>(R105+R125+R145+R166+R185+R205)/1.1023</f>
        <v>0.92908961994011163</v>
      </c>
      <c r="S208" s="98">
        <f>(S105+S125+S145+S166+S185+S205)/1.1023</f>
        <v>5.344559130181354</v>
      </c>
    </row>
    <row r="209" spans="13:19" x14ac:dyDescent="0.25">
      <c r="M209" s="612" t="s">
        <v>657</v>
      </c>
      <c r="N209" s="612"/>
      <c r="O209" s="612"/>
      <c r="P209" s="612"/>
      <c r="Q209" s="98">
        <f>Q208</f>
        <v>15332.527513972567</v>
      </c>
      <c r="R209" s="612">
        <f>21*R208</f>
        <v>19.510882018742343</v>
      </c>
      <c r="S209" s="612">
        <f>310*S208</f>
        <v>1656.8133303562197</v>
      </c>
    </row>
    <row r="210" spans="13:19" x14ac:dyDescent="0.25">
      <c r="M210" s="616" t="s">
        <v>657</v>
      </c>
      <c r="N210" s="612"/>
      <c r="O210" s="612"/>
      <c r="P210" s="612"/>
      <c r="Q210" s="98">
        <f>SUM(Q209:S209)</f>
        <v>17008.85172634753</v>
      </c>
      <c r="R210" s="612"/>
      <c r="S210" s="612"/>
    </row>
  </sheetData>
  <pageMargins left="0.7" right="0.7" top="0.75" bottom="0.75" header="0.3" footer="0.3"/>
  <pageSetup scale="60" orientation="landscape" r:id="rId1"/>
  <headerFooter>
    <oddHeader>&amp;CTable A-19
Maximum Simultaneous Construction Emissions
South Orange County Reliability Project</oddHeader>
    <oddFooter>&amp;CA-19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topLeftCell="E142" workbookViewId="0">
      <selection activeCell="A80" sqref="A80:S161"/>
    </sheetView>
  </sheetViews>
  <sheetFormatPr defaultColWidth="9.109375" defaultRowHeight="13.2" x14ac:dyDescent="0.25"/>
  <cols>
    <col min="1" max="1" width="42.44140625" style="611" customWidth="1"/>
    <col min="2" max="7" width="9.33203125" style="611" bestFit="1" customWidth="1"/>
    <col min="8" max="8" width="9.5546875" style="611" bestFit="1" customWidth="1"/>
    <col min="9" max="19" width="9.33203125" style="611" bestFit="1" customWidth="1"/>
    <col min="20" max="16384" width="9.109375" style="611"/>
  </cols>
  <sheetData>
    <row r="1" spans="1:19" hidden="1" x14ac:dyDescent="0.25">
      <c r="A1" s="97" t="s">
        <v>338</v>
      </c>
    </row>
    <row r="2" spans="1:19" hidden="1" x14ac:dyDescent="0.25">
      <c r="A2" s="208">
        <v>41730</v>
      </c>
    </row>
    <row r="3" spans="1:19" hidden="1" x14ac:dyDescent="0.25">
      <c r="A3" s="97" t="s">
        <v>333</v>
      </c>
    </row>
    <row r="4" spans="1:19" ht="39.6" hidden="1" x14ac:dyDescent="0.25">
      <c r="A4" s="19" t="str">
        <f>'Equipment Talega Substation'!A31</f>
        <v>Talega Substation Construction</v>
      </c>
      <c r="B4" s="16" t="s">
        <v>18</v>
      </c>
      <c r="C4" s="16" t="s">
        <v>19</v>
      </c>
      <c r="D4" s="16" t="s">
        <v>20</v>
      </c>
      <c r="E4" s="16" t="s">
        <v>21</v>
      </c>
      <c r="F4" s="16" t="s">
        <v>22</v>
      </c>
      <c r="G4" s="16" t="s">
        <v>23</v>
      </c>
      <c r="H4" s="17" t="s">
        <v>24</v>
      </c>
      <c r="I4" s="16" t="s">
        <v>25</v>
      </c>
      <c r="J4" s="16" t="s">
        <v>26</v>
      </c>
      <c r="K4" s="104" t="s">
        <v>27</v>
      </c>
      <c r="L4" s="18" t="s">
        <v>28</v>
      </c>
      <c r="M4" s="18" t="s">
        <v>29</v>
      </c>
      <c r="N4" s="18" t="s">
        <v>30</v>
      </c>
      <c r="O4" s="18" t="s">
        <v>31</v>
      </c>
      <c r="P4" s="18" t="s">
        <v>32</v>
      </c>
      <c r="Q4" s="17" t="s">
        <v>33</v>
      </c>
      <c r="R4" s="18" t="s">
        <v>34</v>
      </c>
      <c r="S4" s="18" t="s">
        <v>35</v>
      </c>
    </row>
    <row r="5" spans="1:19" s="98" customFormat="1" hidden="1" x14ac:dyDescent="0.25">
      <c r="A5" s="97" t="s">
        <v>75</v>
      </c>
      <c r="J5" s="106"/>
    </row>
    <row r="6" spans="1:19" s="98" customFormat="1" hidden="1" x14ac:dyDescent="0.25">
      <c r="A6" s="97" t="s">
        <v>119</v>
      </c>
      <c r="B6" s="98">
        <f>'Equipment Talega Substation'!Q40</f>
        <v>1.4169045475359159</v>
      </c>
      <c r="C6" s="98">
        <f>'Equipment Talega Substation'!R40</f>
        <v>8.2298199450441381</v>
      </c>
      <c r="D6" s="98">
        <f>'Equipment Talega Substation'!S40</f>
        <v>9.0028885914569603</v>
      </c>
      <c r="E6" s="98">
        <f>'Equipment Talega Substation'!T40</f>
        <v>2.6665019521538304E-2</v>
      </c>
      <c r="F6" s="98">
        <f>'Equipment Talega Substation'!U40</f>
        <v>0.35991813124207245</v>
      </c>
      <c r="G6" s="98">
        <f>'Equipment Talega Substation'!V40</f>
        <v>0.32032713680544445</v>
      </c>
      <c r="H6" s="98">
        <f>'Equipment Talega Substation'!W40</f>
        <v>2404.4438604930874</v>
      </c>
      <c r="I6" s="98">
        <f>'Equipment Talega Substation'!X40</f>
        <v>0.16683047197792966</v>
      </c>
      <c r="J6" s="98">
        <f>'Equipment Talega Substation'!Y40</f>
        <v>0.85527441618841127</v>
      </c>
      <c r="K6" s="98">
        <f>'Equipment Talega Substation'!E76</f>
        <v>5.8798942837466686E-2</v>
      </c>
      <c r="L6" s="98">
        <f>'Equipment Talega Substation'!F76</f>
        <v>0.37226675769199413</v>
      </c>
      <c r="M6" s="98">
        <f>'Equipment Talega Substation'!G76</f>
        <v>0.38336818088018204</v>
      </c>
      <c r="N6" s="98">
        <f>'Equipment Talega Substation'!H76</f>
        <v>9.6287884927388464E-4</v>
      </c>
      <c r="O6" s="98">
        <f>'Equipment Talega Substation'!I76</f>
        <v>1.656889869343289E-2</v>
      </c>
      <c r="P6" s="98">
        <f>'Equipment Talega Substation'!J76</f>
        <v>1.4746319837155273E-2</v>
      </c>
      <c r="Q6" s="98">
        <f>'Equipment Talega Substation'!K76</f>
        <v>86.550082506003648</v>
      </c>
      <c r="R6" s="98">
        <f>'Equipment Talega Substation'!L76</f>
        <v>7.0541603711563022E-3</v>
      </c>
      <c r="S6" s="98">
        <f>'Equipment Talega Substation'!M76</f>
        <v>3.6419977183617294E-2</v>
      </c>
    </row>
    <row r="7" spans="1:19" s="98" customFormat="1" hidden="1" x14ac:dyDescent="0.25">
      <c r="A7" s="97" t="s">
        <v>120</v>
      </c>
      <c r="B7" s="98">
        <f>WorkerTrips!I132</f>
        <v>0.49448207762551699</v>
      </c>
      <c r="C7" s="98">
        <f>WorkerTrips!G132</f>
        <v>4.5807112820394709</v>
      </c>
      <c r="D7" s="98">
        <f>WorkerTrips!H132</f>
        <v>0.42319876653622734</v>
      </c>
      <c r="E7" s="98">
        <f>WorkerTrips!J132</f>
        <v>5.8130726974836219E-3</v>
      </c>
      <c r="F7" s="98">
        <f>WorkerTrips!K132+WorkerTrips!M132</f>
        <v>0.1368927207155754</v>
      </c>
      <c r="G7" s="98">
        <f>WorkerTrips!L132+WorkerTrips!N132</f>
        <v>4.4949414591065232E-2</v>
      </c>
      <c r="H7" s="98">
        <f>WorkerTrips!O132</f>
        <v>520.04650213333559</v>
      </c>
      <c r="I7" s="98">
        <f>WorkerTrips!P132</f>
        <v>2.5389232533173437E-2</v>
      </c>
      <c r="J7" s="106">
        <f>WorkerTrips!Q132</f>
        <v>4.6180148338551615E-2</v>
      </c>
      <c r="K7" s="98">
        <f>WorkerTrips!S132</f>
        <v>0.15116347230730254</v>
      </c>
      <c r="L7" s="98">
        <f>WorkerTrips!T132</f>
        <v>1.3965559295695502E-2</v>
      </c>
      <c r="M7" s="98">
        <f>WorkerTrips!U132</f>
        <v>1.6317908561642062E-2</v>
      </c>
      <c r="N7" s="98">
        <f>WorkerTrips!V132</f>
        <v>1.9183139901695953E-4</v>
      </c>
      <c r="O7" s="98">
        <f>WorkerTrips!W132+WorkerTrips!Y132</f>
        <v>4.5174597836139876E-3</v>
      </c>
      <c r="P7" s="98">
        <f>WorkerTrips!X132+WorkerTrips!Z132</f>
        <v>1.4833306815051528E-3</v>
      </c>
      <c r="Q7" s="98">
        <f>WorkerTrips!AA132</f>
        <v>17.161534570400075</v>
      </c>
      <c r="R7" s="98">
        <f>WorkerTrips!AB132</f>
        <v>8.3784467359472343E-4</v>
      </c>
      <c r="S7" s="98">
        <f>WorkerTrips!AC132</f>
        <v>1.5239448951722032E-3</v>
      </c>
    </row>
    <row r="8" spans="1:19" s="98" customFormat="1" hidden="1" x14ac:dyDescent="0.25">
      <c r="A8" s="97" t="s">
        <v>121</v>
      </c>
      <c r="B8" s="98">
        <f>'Construction Trucks'!V131</f>
        <v>7.275484873571661E-2</v>
      </c>
      <c r="C8" s="98">
        <f>'Construction Trucks'!T131</f>
        <v>0.37617214627966444</v>
      </c>
      <c r="D8" s="98">
        <f>'Construction Trucks'!U131</f>
        <v>0.40089256759833181</v>
      </c>
      <c r="E8" s="98">
        <f>'Construction Trucks'!W131</f>
        <v>2.1072798445354065E-3</v>
      </c>
      <c r="F8" s="98">
        <f>'Construction Trucks'!X131+'Construction Trucks'!Z131</f>
        <v>0.11915542938862314</v>
      </c>
      <c r="G8" s="98">
        <f>'Construction Trucks'!Y131+'Construction Trucks'!AA131</f>
        <v>7.3233104685654554E-2</v>
      </c>
      <c r="H8" s="98">
        <f>'Construction Trucks'!AB131</f>
        <v>188.15068156911087</v>
      </c>
      <c r="I8" s="98">
        <f>'Construction Trucks'!AC131</f>
        <v>1.0751494396903703E-2</v>
      </c>
      <c r="J8" s="98">
        <f>'Construction Trucks'!AD131</f>
        <v>4.8196678590743443E-3</v>
      </c>
      <c r="K8" s="98">
        <f>'Construction Trucks'!AH131</f>
        <v>8.0030333609288273E-4</v>
      </c>
      <c r="L8" s="98">
        <f>'Construction Trucks'!AF131</f>
        <v>4.1378936090763086E-3</v>
      </c>
      <c r="M8" s="98">
        <f>'Construction Trucks'!AG131</f>
        <v>4.4098182435816499E-3</v>
      </c>
      <c r="N8" s="98">
        <f>'Construction Trucks'!AI131</f>
        <v>2.3180078289889472E-5</v>
      </c>
      <c r="O8" s="98">
        <f>'Construction Trucks'!AJ131+'Construction Trucks'!AL131</f>
        <v>1.3107097232748547E-3</v>
      </c>
      <c r="P8" s="98">
        <f>'Construction Trucks'!AK131+'Construction Trucks'!AM131</f>
        <v>8.0556415154220016E-4</v>
      </c>
      <c r="Q8" s="98">
        <f>'Construction Trucks'!AN131</f>
        <v>2.06965749726022</v>
      </c>
      <c r="R8" s="98">
        <f>'Construction Trucks'!AO131</f>
        <v>1.1826643836594074E-4</v>
      </c>
      <c r="S8" s="98">
        <f>'Construction Trucks'!AP131</f>
        <v>5.3016346449817784E-5</v>
      </c>
    </row>
    <row r="9" spans="1:19" s="98" customFormat="1" hidden="1" x14ac:dyDescent="0.25">
      <c r="A9" s="3" t="s">
        <v>123</v>
      </c>
      <c r="B9" s="103">
        <f t="shared" ref="B9:S9" si="0">SUM(B6:B8)</f>
        <v>1.9841414738971495</v>
      </c>
      <c r="C9" s="103">
        <f t="shared" si="0"/>
        <v>13.186703373363272</v>
      </c>
      <c r="D9" s="103">
        <f t="shared" si="0"/>
        <v>9.8269799255915196</v>
      </c>
      <c r="E9" s="103">
        <f t="shared" si="0"/>
        <v>3.4585372063557329E-2</v>
      </c>
      <c r="F9" s="103">
        <f t="shared" si="0"/>
        <v>0.61596628134627096</v>
      </c>
      <c r="G9" s="103">
        <f t="shared" si="0"/>
        <v>0.43850965608216419</v>
      </c>
      <c r="H9" s="103">
        <f t="shared" si="0"/>
        <v>3112.6410441955341</v>
      </c>
      <c r="I9" s="103">
        <f t="shared" si="0"/>
        <v>0.2029711989080068</v>
      </c>
      <c r="J9" s="103">
        <f t="shared" si="0"/>
        <v>0.90627423238603733</v>
      </c>
      <c r="K9" s="103">
        <f t="shared" si="0"/>
        <v>0.21076271848086209</v>
      </c>
      <c r="L9" s="103">
        <f t="shared" si="0"/>
        <v>0.39037021059676591</v>
      </c>
      <c r="M9" s="103">
        <f t="shared" si="0"/>
        <v>0.40409590768540576</v>
      </c>
      <c r="N9" s="103">
        <f t="shared" si="0"/>
        <v>1.1778903265807338E-3</v>
      </c>
      <c r="O9" s="103">
        <f t="shared" si="0"/>
        <v>2.2397068200321731E-2</v>
      </c>
      <c r="P9" s="103">
        <f t="shared" si="0"/>
        <v>1.7035214670202626E-2</v>
      </c>
      <c r="Q9" s="103">
        <f t="shared" si="0"/>
        <v>105.78127457366395</v>
      </c>
      <c r="R9" s="103">
        <f t="shared" si="0"/>
        <v>8.0102714831169677E-3</v>
      </c>
      <c r="S9" s="103">
        <f t="shared" si="0"/>
        <v>3.7996938425239317E-2</v>
      </c>
    </row>
    <row r="10" spans="1:19" s="98" customFormat="1" hidden="1" x14ac:dyDescent="0.25">
      <c r="A10" s="3" t="s">
        <v>339</v>
      </c>
      <c r="B10" s="209"/>
      <c r="C10" s="209"/>
      <c r="D10" s="209"/>
      <c r="E10" s="209"/>
      <c r="F10" s="209"/>
      <c r="G10" s="209"/>
      <c r="H10" s="209"/>
      <c r="I10" s="209"/>
      <c r="J10" s="210"/>
    </row>
    <row r="11" spans="1:19" s="98" customFormat="1" hidden="1" x14ac:dyDescent="0.25">
      <c r="A11" s="97" t="e">
        <f>'Transmission Line Construct SC'!#REF!</f>
        <v>#REF!</v>
      </c>
      <c r="B11" s="4"/>
      <c r="C11" s="4"/>
      <c r="D11" s="4"/>
      <c r="E11" s="4"/>
      <c r="F11" s="4"/>
      <c r="G11" s="4"/>
      <c r="H11" s="4"/>
      <c r="I11" s="4"/>
      <c r="J11" s="211"/>
    </row>
    <row r="12" spans="1:19" s="98" customFormat="1" hidden="1" x14ac:dyDescent="0.25">
      <c r="A12" s="97" t="e">
        <f>'Transmission Line Construct SC'!#REF!</f>
        <v>#REF!</v>
      </c>
      <c r="B12" s="4" t="e">
        <f>'Equipment Trans Talega Seg 4'!#REF!+'Equipment Trans Talega Seg 4'!Q34+'Equipment Trans Talega Seg 4'!Q41+'Equipment Trans Talega Seg 4'!Q49</f>
        <v>#REF!</v>
      </c>
      <c r="C12" s="4" t="e">
        <f>'Equipment Trans Talega Seg 4'!#REF!+'Equipment Trans Talega Seg 4'!R34+'Equipment Trans Talega Seg 4'!R41+'Equipment Trans Talega Seg 4'!R49</f>
        <v>#REF!</v>
      </c>
      <c r="D12" s="4" t="e">
        <f>'Equipment Trans Talega Seg 4'!#REF!+'Equipment Trans Talega Seg 4'!S34+'Equipment Trans Talega Seg 4'!S41+'Equipment Trans Talega Seg 4'!S49</f>
        <v>#REF!</v>
      </c>
      <c r="E12" s="4" t="e">
        <f>'Equipment Trans Talega Seg 4'!#REF!+'Equipment Trans Talega Seg 4'!T34+'Equipment Trans Talega Seg 4'!T41+'Equipment Trans Talega Seg 4'!T49</f>
        <v>#REF!</v>
      </c>
      <c r="F12" s="4" t="e">
        <f>'Equipment Trans Talega Seg 4'!#REF!+'Equipment Trans Talega Seg 4'!U34+'Equipment Trans Talega Seg 4'!U41+'Equipment Trans Talega Seg 4'!U49</f>
        <v>#REF!</v>
      </c>
      <c r="G12" s="4" t="e">
        <f>'Equipment Trans Talega Seg 4'!#REF!+'Equipment Trans Talega Seg 4'!V34+'Equipment Trans Talega Seg 4'!V41+'Equipment Trans Talega Seg 4'!V49</f>
        <v>#REF!</v>
      </c>
      <c r="H12" s="4" t="e">
        <f>'Equipment Trans Talega Seg 4'!#REF!+'Equipment Trans Talega Seg 4'!W34+'Equipment Trans Talega Seg 4'!W41+'Equipment Trans Talega Seg 4'!W49</f>
        <v>#REF!</v>
      </c>
      <c r="I12" s="4" t="e">
        <f>'Equipment Trans Talega Seg 4'!#REF!+'Equipment Trans Talega Seg 4'!X34+'Equipment Trans Talega Seg 4'!X41+'Equipment Trans Talega Seg 4'!X49</f>
        <v>#REF!</v>
      </c>
      <c r="J12" s="4" t="e">
        <f>'Equipment Trans Talega Seg 4'!#REF!+'Equipment Trans Talega Seg 4'!Y34+'Equipment Trans Talega Seg 4'!Y41+'Equipment Trans Talega Seg 4'!Y49</f>
        <v>#REF!</v>
      </c>
      <c r="K12" s="4" t="e">
        <f>'Equipment Trans Talega Seg 4'!#REF!+'Equipment Trans Talega Seg 4'!E80+'Equipment Trans Talega Seg 4'!E87+'Equipment Trans Talega Seg 4'!E95</f>
        <v>#REF!</v>
      </c>
      <c r="L12" s="4" t="e">
        <f>'Equipment Trans Talega Seg 4'!#REF!+'Equipment Trans Talega Seg 4'!F80+'Equipment Trans Talega Seg 4'!F87+'Equipment Trans Talega Seg 4'!F95</f>
        <v>#REF!</v>
      </c>
      <c r="M12" s="4" t="e">
        <f>'Equipment Trans Talega Seg 4'!#REF!+'Equipment Trans Talega Seg 4'!G80+'Equipment Trans Talega Seg 4'!G87+'Equipment Trans Talega Seg 4'!G95</f>
        <v>#REF!</v>
      </c>
      <c r="N12" s="4" t="e">
        <f>'Equipment Trans Talega Seg 4'!#REF!+'Equipment Trans Talega Seg 4'!H80+'Equipment Trans Talega Seg 4'!H87+'Equipment Trans Talega Seg 4'!H95</f>
        <v>#REF!</v>
      </c>
      <c r="O12" s="4" t="e">
        <f>'Equipment Trans Talega Seg 4'!#REF!+'Equipment Trans Talega Seg 4'!I80+'Equipment Trans Talega Seg 4'!I87+'Equipment Trans Talega Seg 4'!I95</f>
        <v>#REF!</v>
      </c>
      <c r="P12" s="4" t="e">
        <f>'Equipment Trans Talega Seg 4'!#REF!+'Equipment Trans Talega Seg 4'!J80+'Equipment Trans Talega Seg 4'!J87+'Equipment Trans Talega Seg 4'!J95</f>
        <v>#REF!</v>
      </c>
      <c r="Q12" s="4" t="e">
        <f>'Equipment Trans Talega Seg 4'!#REF!+'Equipment Trans Talega Seg 4'!K80+'Equipment Trans Talega Seg 4'!K87+'Equipment Trans Talega Seg 4'!K95</f>
        <v>#REF!</v>
      </c>
      <c r="R12" s="4" t="e">
        <f>'Equipment Trans Talega Seg 4'!#REF!+'Equipment Trans Talega Seg 4'!L80+'Equipment Trans Talega Seg 4'!L87+'Equipment Trans Talega Seg 4'!L95</f>
        <v>#REF!</v>
      </c>
      <c r="S12" s="4" t="e">
        <f>'Equipment Trans Talega Seg 4'!#REF!+'Equipment Trans Talega Seg 4'!M80+'Equipment Trans Talega Seg 4'!M87+'Equipment Trans Talega Seg 4'!M95</f>
        <v>#REF!</v>
      </c>
    </row>
    <row r="13" spans="1:19" s="98" customFormat="1" hidden="1" x14ac:dyDescent="0.25">
      <c r="A13" s="97" t="e">
        <f>'Transmission Line Construct SC'!#REF!</f>
        <v>#REF!</v>
      </c>
      <c r="B13" s="4" t="e">
        <f>'Transmission Line Construct SC'!#REF!</f>
        <v>#REF!</v>
      </c>
      <c r="C13" s="4" t="e">
        <f>'Transmission Line Construct SC'!#REF!</f>
        <v>#REF!</v>
      </c>
      <c r="D13" s="4" t="e">
        <f>'Transmission Line Construct SC'!#REF!</f>
        <v>#REF!</v>
      </c>
      <c r="E13" s="4" t="e">
        <f>'Transmission Line Construct SC'!#REF!</f>
        <v>#REF!</v>
      </c>
      <c r="F13" s="4" t="e">
        <f>'Transmission Line Construct SC'!#REF!</f>
        <v>#REF!</v>
      </c>
      <c r="G13" s="4" t="e">
        <f>'Transmission Line Construct SC'!#REF!</f>
        <v>#REF!</v>
      </c>
      <c r="H13" s="4" t="e">
        <f>'Transmission Line Construct SC'!#REF!</f>
        <v>#REF!</v>
      </c>
      <c r="I13" s="4" t="e">
        <f>'Transmission Line Construct SC'!#REF!</f>
        <v>#REF!</v>
      </c>
      <c r="J13" s="4" t="e">
        <f>'Transmission Line Construct SC'!#REF!</f>
        <v>#REF!</v>
      </c>
      <c r="K13" s="4" t="e">
        <f>'Transmission Line Construct SC'!#REF!</f>
        <v>#REF!</v>
      </c>
      <c r="L13" s="4" t="e">
        <f>'Transmission Line Construct SC'!#REF!</f>
        <v>#REF!</v>
      </c>
      <c r="M13" s="4" t="e">
        <f>'Transmission Line Construct SC'!#REF!</f>
        <v>#REF!</v>
      </c>
      <c r="N13" s="4" t="e">
        <f>'Transmission Line Construct SC'!#REF!</f>
        <v>#REF!</v>
      </c>
      <c r="O13" s="4" t="e">
        <f>'Transmission Line Construct SC'!#REF!</f>
        <v>#REF!</v>
      </c>
      <c r="P13" s="4" t="e">
        <f>'Transmission Line Construct SC'!#REF!</f>
        <v>#REF!</v>
      </c>
      <c r="Q13" s="4" t="e">
        <f>'Transmission Line Construct SC'!#REF!</f>
        <v>#REF!</v>
      </c>
      <c r="R13" s="4" t="e">
        <f>'Transmission Line Construct SC'!#REF!</f>
        <v>#REF!</v>
      </c>
      <c r="S13" s="4" t="e">
        <f>'Transmission Line Construct SC'!#REF!</f>
        <v>#REF!</v>
      </c>
    </row>
    <row r="14" spans="1:19" s="98" customFormat="1" hidden="1" x14ac:dyDescent="0.25">
      <c r="A14" s="97" t="e">
        <f>'Transmission Line Construct SC'!#REF!</f>
        <v>#REF!</v>
      </c>
      <c r="B14" s="4" t="e">
        <f>'Transmission Line Construct SC'!#REF!</f>
        <v>#REF!</v>
      </c>
      <c r="C14" s="4" t="e">
        <f>'Transmission Line Construct SC'!#REF!</f>
        <v>#REF!</v>
      </c>
      <c r="D14" s="4" t="e">
        <f>'Transmission Line Construct SC'!#REF!</f>
        <v>#REF!</v>
      </c>
      <c r="E14" s="4" t="e">
        <f>'Transmission Line Construct SC'!#REF!</f>
        <v>#REF!</v>
      </c>
      <c r="F14" s="4" t="e">
        <f>'Transmission Line Construct SC'!#REF!</f>
        <v>#REF!</v>
      </c>
      <c r="G14" s="4" t="e">
        <f>'Transmission Line Construct SC'!#REF!</f>
        <v>#REF!</v>
      </c>
      <c r="H14" s="4" t="e">
        <f>'Transmission Line Construct SC'!#REF!</f>
        <v>#REF!</v>
      </c>
      <c r="I14" s="4" t="e">
        <f>'Transmission Line Construct SC'!#REF!</f>
        <v>#REF!</v>
      </c>
      <c r="J14" s="4" t="e">
        <f>'Transmission Line Construct SC'!#REF!</f>
        <v>#REF!</v>
      </c>
      <c r="K14" s="4" t="e">
        <f>'Transmission Line Construct SC'!#REF!</f>
        <v>#REF!</v>
      </c>
      <c r="L14" s="4" t="e">
        <f>'Transmission Line Construct SC'!#REF!</f>
        <v>#REF!</v>
      </c>
      <c r="M14" s="4" t="e">
        <f>'Transmission Line Construct SC'!#REF!</f>
        <v>#REF!</v>
      </c>
      <c r="N14" s="4" t="e">
        <f>'Transmission Line Construct SC'!#REF!</f>
        <v>#REF!</v>
      </c>
      <c r="O14" s="4" t="e">
        <f>'Transmission Line Construct SC'!#REF!</f>
        <v>#REF!</v>
      </c>
      <c r="P14" s="4" t="e">
        <f>'Transmission Line Construct SC'!#REF!</f>
        <v>#REF!</v>
      </c>
      <c r="Q14" s="4" t="e">
        <f>'Transmission Line Construct SC'!#REF!</f>
        <v>#REF!</v>
      </c>
      <c r="R14" s="4" t="e">
        <f>'Transmission Line Construct SC'!#REF!</f>
        <v>#REF!</v>
      </c>
      <c r="S14" s="4" t="e">
        <f>'Transmission Line Construct SC'!#REF!</f>
        <v>#REF!</v>
      </c>
    </row>
    <row r="15" spans="1:19" s="98" customFormat="1" hidden="1" x14ac:dyDescent="0.25">
      <c r="A15" s="97" t="e">
        <f>'Transmission Line Construct SC'!#REF!</f>
        <v>#REF!</v>
      </c>
      <c r="B15" s="4"/>
      <c r="C15" s="4"/>
      <c r="D15" s="4"/>
      <c r="E15" s="4"/>
      <c r="F15" s="4" t="e">
        <f>'Transmission Line Construct SC'!#REF!</f>
        <v>#REF!</v>
      </c>
      <c r="G15" s="4" t="e">
        <f>'Transmission Line Construct SC'!#REF!</f>
        <v>#REF!</v>
      </c>
      <c r="H15" s="4"/>
      <c r="I15" s="4"/>
      <c r="J15" s="4"/>
      <c r="K15" s="4"/>
      <c r="L15" s="4"/>
      <c r="M15" s="4"/>
      <c r="N15" s="4"/>
      <c r="O15" s="4">
        <f>'Transmission Line Construct SC'!O8</f>
        <v>5.9248993389058322</v>
      </c>
      <c r="P15" s="4">
        <f>'Transmission Line Construct SC'!P8</f>
        <v>1.768044690318227</v>
      </c>
      <c r="Q15" s="4"/>
      <c r="R15" s="4"/>
      <c r="S15" s="4"/>
    </row>
    <row r="16" spans="1:19" s="98" customFormat="1" hidden="1" x14ac:dyDescent="0.25">
      <c r="A16" s="3" t="e">
        <f>'Transmission Line Construct SC'!#REF!</f>
        <v>#REF!</v>
      </c>
      <c r="B16" s="103" t="e">
        <f>'Transmission Line Construct SC'!#REF!</f>
        <v>#REF!</v>
      </c>
      <c r="C16" s="103" t="e">
        <f>'Transmission Line Construct SC'!#REF!</f>
        <v>#REF!</v>
      </c>
      <c r="D16" s="103" t="e">
        <f>'Transmission Line Construct SC'!#REF!</f>
        <v>#REF!</v>
      </c>
      <c r="E16" s="103" t="e">
        <f>'Transmission Line Construct SC'!#REF!</f>
        <v>#REF!</v>
      </c>
      <c r="F16" s="103" t="e">
        <f>'Transmission Line Construct SC'!#REF!</f>
        <v>#REF!</v>
      </c>
      <c r="G16" s="103" t="e">
        <f>'Transmission Line Construct SC'!#REF!</f>
        <v>#REF!</v>
      </c>
      <c r="H16" s="103" t="e">
        <f>'Transmission Line Construct SC'!#REF!</f>
        <v>#REF!</v>
      </c>
      <c r="I16" s="103" t="e">
        <f>'Transmission Line Construct SC'!#REF!</f>
        <v>#REF!</v>
      </c>
      <c r="J16" s="103" t="e">
        <f>'Transmission Line Construct SC'!#REF!</f>
        <v>#REF!</v>
      </c>
      <c r="K16" s="103" t="e">
        <f>'Transmission Line Construct SC'!#REF!</f>
        <v>#REF!</v>
      </c>
      <c r="L16" s="103" t="e">
        <f>'Transmission Line Construct SC'!#REF!</f>
        <v>#REF!</v>
      </c>
      <c r="M16" s="103" t="e">
        <f>'Transmission Line Construct SC'!#REF!</f>
        <v>#REF!</v>
      </c>
      <c r="N16" s="103" t="e">
        <f>'Transmission Line Construct SC'!#REF!</f>
        <v>#REF!</v>
      </c>
      <c r="O16" s="103" t="e">
        <f>'Transmission Line Construct SC'!#REF!</f>
        <v>#REF!</v>
      </c>
      <c r="P16" s="103" t="e">
        <f>'Transmission Line Construct SC'!#REF!</f>
        <v>#REF!</v>
      </c>
      <c r="Q16" s="103" t="e">
        <f>'Transmission Line Construct SC'!#REF!</f>
        <v>#REF!</v>
      </c>
      <c r="R16" s="103" t="e">
        <f>'Transmission Line Construct SC'!#REF!</f>
        <v>#REF!</v>
      </c>
      <c r="S16" s="103" t="e">
        <f>'Transmission Line Construct SC'!#REF!</f>
        <v>#REF!</v>
      </c>
    </row>
    <row r="17" spans="1:19" s="98" customFormat="1" hidden="1" x14ac:dyDescent="0.25">
      <c r="A17" s="611" t="e">
        <f>'Transmission Line Construct SC'!#REF!</f>
        <v>#REF!</v>
      </c>
    </row>
    <row r="18" spans="1:19" s="98" customFormat="1" hidden="1" x14ac:dyDescent="0.25">
      <c r="A18" s="611" t="e">
        <f>'Transmission Line Construct SC'!#REF!</f>
        <v>#REF!</v>
      </c>
    </row>
    <row r="19" spans="1:19" s="98" customFormat="1" hidden="1" x14ac:dyDescent="0.25">
      <c r="A19" s="611" t="e">
        <f>'Transmission Line Construct SC'!#REF!</f>
        <v>#REF!</v>
      </c>
      <c r="B19" s="98">
        <f>'Equipment Trans Seg 1'!Q36</f>
        <v>5.2659550503064585</v>
      </c>
      <c r="C19" s="98">
        <f>'Equipment Trans Seg 1'!R36</f>
        <v>19.743180902425753</v>
      </c>
      <c r="D19" s="98">
        <f>'Equipment Trans Seg 1'!S36</f>
        <v>39.566973457807897</v>
      </c>
      <c r="E19" s="98">
        <f>'Equipment Trans Seg 1'!T36</f>
        <v>7.1095111650197634E-2</v>
      </c>
      <c r="F19" s="98">
        <f>'Equipment Trans Seg 1'!U36</f>
        <v>1.7462119769362729</v>
      </c>
      <c r="G19" s="98">
        <f>'Equipment Trans Seg 1'!V36</f>
        <v>1.554128659473283</v>
      </c>
      <c r="H19" s="98">
        <f>'Equipment Trans Seg 1'!W36</f>
        <v>6847.8727240731369</v>
      </c>
      <c r="I19" s="98">
        <f>'Equipment Trans Seg 1'!X36</f>
        <v>0.49486514486741068</v>
      </c>
      <c r="J19" s="98">
        <f>'Equipment Trans Seg 1'!Y36</f>
        <v>3.7588624784917508</v>
      </c>
      <c r="K19" s="98">
        <f>'Equipment Trans Seg 1'!E93</f>
        <v>0.16664081586819107</v>
      </c>
      <c r="L19" s="98">
        <f>'Equipment Trans Seg 1'!F93</f>
        <v>0.64791803438934248</v>
      </c>
      <c r="M19" s="98">
        <f>'Equipment Trans Seg 1'!G93</f>
        <v>1.2012366006983322</v>
      </c>
      <c r="N19" s="98">
        <f>'Equipment Trans Seg 1'!H93</f>
        <v>2.1606254048609158E-3</v>
      </c>
      <c r="O19" s="98">
        <f>'Equipment Trans Seg 1'!I93</f>
        <v>5.8160462201866943E-2</v>
      </c>
      <c r="P19" s="98">
        <f>'Equipment Trans Seg 1'!J93</f>
        <v>5.1762811359661577E-2</v>
      </c>
      <c r="Q19" s="98">
        <f>'Equipment Trans Seg 1'!K93</f>
        <v>207.02776378346613</v>
      </c>
      <c r="R19" s="98">
        <f>'Equipment Trans Seg 1'!L93</f>
        <v>1.5672104345610553E-2</v>
      </c>
      <c r="S19" s="98">
        <f>'Equipment Trans Seg 1'!M93</f>
        <v>0.11411747706634154</v>
      </c>
    </row>
    <row r="20" spans="1:19" s="98" customFormat="1" hidden="1" x14ac:dyDescent="0.25">
      <c r="A20" s="611" t="e">
        <f>'Transmission Line Construct SC'!#REF!</f>
        <v>#REF!</v>
      </c>
      <c r="B20" s="98" t="e">
        <f>'Transmission Line Construct SC'!#REF!</f>
        <v>#REF!</v>
      </c>
      <c r="C20" s="98" t="e">
        <f>'Transmission Line Construct SC'!#REF!</f>
        <v>#REF!</v>
      </c>
      <c r="D20" s="98" t="e">
        <f>'Transmission Line Construct SC'!#REF!</f>
        <v>#REF!</v>
      </c>
      <c r="E20" s="98" t="e">
        <f>'Transmission Line Construct SC'!#REF!</f>
        <v>#REF!</v>
      </c>
      <c r="F20" s="98" t="e">
        <f>'Transmission Line Construct SC'!#REF!</f>
        <v>#REF!</v>
      </c>
      <c r="G20" s="98" t="e">
        <f>'Transmission Line Construct SC'!#REF!</f>
        <v>#REF!</v>
      </c>
      <c r="H20" s="98" t="e">
        <f>'Transmission Line Construct SC'!#REF!</f>
        <v>#REF!</v>
      </c>
      <c r="I20" s="98" t="e">
        <f>'Transmission Line Construct SC'!#REF!</f>
        <v>#REF!</v>
      </c>
      <c r="J20" s="98" t="e">
        <f>'Transmission Line Construct SC'!#REF!</f>
        <v>#REF!</v>
      </c>
      <c r="K20" s="98" t="e">
        <f>'Transmission Line Construct SC'!#REF!</f>
        <v>#REF!</v>
      </c>
      <c r="L20" s="98" t="e">
        <f>'Transmission Line Construct SC'!#REF!</f>
        <v>#REF!</v>
      </c>
      <c r="M20" s="98" t="e">
        <f>'Transmission Line Construct SC'!#REF!</f>
        <v>#REF!</v>
      </c>
      <c r="N20" s="98" t="e">
        <f>'Transmission Line Construct SC'!#REF!</f>
        <v>#REF!</v>
      </c>
      <c r="O20" s="98" t="e">
        <f>'Transmission Line Construct SC'!#REF!</f>
        <v>#REF!</v>
      </c>
      <c r="P20" s="98" t="e">
        <f>'Transmission Line Construct SC'!#REF!</f>
        <v>#REF!</v>
      </c>
      <c r="Q20" s="98" t="e">
        <f>'Transmission Line Construct SC'!#REF!</f>
        <v>#REF!</v>
      </c>
      <c r="R20" s="98" t="e">
        <f>'Transmission Line Construct SC'!#REF!</f>
        <v>#REF!</v>
      </c>
      <c r="S20" s="98" t="e">
        <f>'Transmission Line Construct SC'!#REF!</f>
        <v>#REF!</v>
      </c>
    </row>
    <row r="21" spans="1:19" s="98" customFormat="1" hidden="1" x14ac:dyDescent="0.25">
      <c r="A21" s="611" t="e">
        <f>'Transmission Line Construct SC'!#REF!</f>
        <v>#REF!</v>
      </c>
      <c r="B21" s="98" t="e">
        <f>'Transmission Line Construct SC'!#REF!</f>
        <v>#REF!</v>
      </c>
      <c r="C21" s="98" t="e">
        <f>'Transmission Line Construct SC'!#REF!</f>
        <v>#REF!</v>
      </c>
      <c r="D21" s="98" t="e">
        <f>'Transmission Line Construct SC'!#REF!</f>
        <v>#REF!</v>
      </c>
      <c r="E21" s="98" t="e">
        <f>'Transmission Line Construct SC'!#REF!</f>
        <v>#REF!</v>
      </c>
      <c r="F21" s="98" t="e">
        <f>'Transmission Line Construct SC'!#REF!</f>
        <v>#REF!</v>
      </c>
      <c r="G21" s="98" t="e">
        <f>'Transmission Line Construct SC'!#REF!</f>
        <v>#REF!</v>
      </c>
      <c r="H21" s="98" t="e">
        <f>'Transmission Line Construct SC'!#REF!</f>
        <v>#REF!</v>
      </c>
      <c r="I21" s="98" t="e">
        <f>'Transmission Line Construct SC'!#REF!</f>
        <v>#REF!</v>
      </c>
      <c r="J21" s="98" t="e">
        <f>'Transmission Line Construct SC'!#REF!</f>
        <v>#REF!</v>
      </c>
      <c r="K21" s="98" t="e">
        <f>'Transmission Line Construct SC'!#REF!</f>
        <v>#REF!</v>
      </c>
      <c r="L21" s="98" t="e">
        <f>'Transmission Line Construct SC'!#REF!</f>
        <v>#REF!</v>
      </c>
      <c r="M21" s="98" t="e">
        <f>'Transmission Line Construct SC'!#REF!</f>
        <v>#REF!</v>
      </c>
      <c r="N21" s="98" t="e">
        <f>'Transmission Line Construct SC'!#REF!</f>
        <v>#REF!</v>
      </c>
      <c r="O21" s="98" t="e">
        <f>'Transmission Line Construct SC'!#REF!</f>
        <v>#REF!</v>
      </c>
      <c r="P21" s="98" t="e">
        <f>'Transmission Line Construct SC'!#REF!</f>
        <v>#REF!</v>
      </c>
      <c r="Q21" s="98" t="e">
        <f>'Transmission Line Construct SC'!#REF!</f>
        <v>#REF!</v>
      </c>
      <c r="R21" s="98" t="e">
        <f>'Transmission Line Construct SC'!#REF!</f>
        <v>#REF!</v>
      </c>
      <c r="S21" s="98" t="e">
        <f>'Transmission Line Construct SC'!#REF!</f>
        <v>#REF!</v>
      </c>
    </row>
    <row r="22" spans="1:19" s="98" customFormat="1" hidden="1" x14ac:dyDescent="0.25">
      <c r="A22" s="611" t="e">
        <f>'Transmission Line Construct SC'!#REF!</f>
        <v>#REF!</v>
      </c>
      <c r="F22" s="98" t="e">
        <f>'Transmission Line Construct SC'!#REF!</f>
        <v>#REF!</v>
      </c>
      <c r="G22" s="98" t="e">
        <f>'Transmission Line Construct SC'!#REF!</f>
        <v>#REF!</v>
      </c>
      <c r="O22" s="98" t="e">
        <f>'Transmission Line Construct SC'!#REF!</f>
        <v>#REF!</v>
      </c>
      <c r="P22" s="98" t="e">
        <f>'Transmission Line Construct SC'!#REF!</f>
        <v>#REF!</v>
      </c>
    </row>
    <row r="23" spans="1:19" s="98" customFormat="1" hidden="1" x14ac:dyDescent="0.25">
      <c r="A23" s="611" t="e">
        <f>'Transmission Line Construct SC'!#REF!</f>
        <v>#REF!</v>
      </c>
      <c r="B23" s="103" t="e">
        <f>'Transmission Line Construct SC'!#REF!</f>
        <v>#REF!</v>
      </c>
      <c r="C23" s="103" t="e">
        <f>'Transmission Line Construct SC'!#REF!</f>
        <v>#REF!</v>
      </c>
      <c r="D23" s="103" t="e">
        <f>'Transmission Line Construct SC'!#REF!</f>
        <v>#REF!</v>
      </c>
      <c r="E23" s="103" t="e">
        <f>'Transmission Line Construct SC'!#REF!</f>
        <v>#REF!</v>
      </c>
      <c r="F23" s="103" t="e">
        <f>'Transmission Line Construct SC'!#REF!</f>
        <v>#REF!</v>
      </c>
      <c r="G23" s="103" t="e">
        <f>'Transmission Line Construct SC'!#REF!</f>
        <v>#REF!</v>
      </c>
      <c r="H23" s="103" t="e">
        <f>'Transmission Line Construct SC'!#REF!</f>
        <v>#REF!</v>
      </c>
      <c r="I23" s="103" t="e">
        <f>'Transmission Line Construct SC'!#REF!</f>
        <v>#REF!</v>
      </c>
      <c r="J23" s="103" t="e">
        <f>'Transmission Line Construct SC'!#REF!</f>
        <v>#REF!</v>
      </c>
      <c r="K23" s="103" t="e">
        <f>'Transmission Line Construct SC'!#REF!</f>
        <v>#REF!</v>
      </c>
      <c r="L23" s="103" t="e">
        <f>'Transmission Line Construct SC'!#REF!</f>
        <v>#REF!</v>
      </c>
      <c r="M23" s="103" t="e">
        <f>'Transmission Line Construct SC'!#REF!</f>
        <v>#REF!</v>
      </c>
      <c r="N23" s="103" t="e">
        <f>'Transmission Line Construct SC'!#REF!</f>
        <v>#REF!</v>
      </c>
      <c r="O23" s="103" t="e">
        <f>'Transmission Line Construct SC'!#REF!</f>
        <v>#REF!</v>
      </c>
      <c r="P23" s="103" t="e">
        <f>'Transmission Line Construct SC'!#REF!</f>
        <v>#REF!</v>
      </c>
      <c r="Q23" s="103" t="e">
        <f>'Transmission Line Construct SC'!#REF!</f>
        <v>#REF!</v>
      </c>
      <c r="R23" s="103" t="e">
        <f>'Transmission Line Construct SC'!#REF!</f>
        <v>#REF!</v>
      </c>
      <c r="S23" s="103" t="e">
        <f>'Transmission Line Construct SC'!#REF!</f>
        <v>#REF!</v>
      </c>
    </row>
    <row r="24" spans="1:19" s="98" customFormat="1" hidden="1" x14ac:dyDescent="0.25">
      <c r="A24" s="3" t="s">
        <v>340</v>
      </c>
      <c r="B24" s="103" t="e">
        <f>B9+B16+B23</f>
        <v>#REF!</v>
      </c>
      <c r="C24" s="103" t="e">
        <f t="shared" ref="C24:S24" si="1">C9+C16+C23</f>
        <v>#REF!</v>
      </c>
      <c r="D24" s="103" t="e">
        <f t="shared" si="1"/>
        <v>#REF!</v>
      </c>
      <c r="E24" s="103" t="e">
        <f t="shared" si="1"/>
        <v>#REF!</v>
      </c>
      <c r="F24" s="103" t="e">
        <f t="shared" si="1"/>
        <v>#REF!</v>
      </c>
      <c r="G24" s="103" t="e">
        <f t="shared" si="1"/>
        <v>#REF!</v>
      </c>
      <c r="H24" s="103" t="e">
        <f t="shared" si="1"/>
        <v>#REF!</v>
      </c>
      <c r="I24" s="103" t="e">
        <f t="shared" si="1"/>
        <v>#REF!</v>
      </c>
      <c r="J24" s="103" t="e">
        <f t="shared" si="1"/>
        <v>#REF!</v>
      </c>
      <c r="K24" s="103" t="e">
        <f t="shared" si="1"/>
        <v>#REF!</v>
      </c>
      <c r="L24" s="103" t="e">
        <f t="shared" si="1"/>
        <v>#REF!</v>
      </c>
      <c r="M24" s="103" t="e">
        <f t="shared" si="1"/>
        <v>#REF!</v>
      </c>
      <c r="N24" s="103" t="e">
        <f t="shared" si="1"/>
        <v>#REF!</v>
      </c>
      <c r="O24" s="103" t="e">
        <f t="shared" si="1"/>
        <v>#REF!</v>
      </c>
      <c r="P24" s="103" t="e">
        <f t="shared" si="1"/>
        <v>#REF!</v>
      </c>
      <c r="Q24" s="103" t="e">
        <f t="shared" si="1"/>
        <v>#REF!</v>
      </c>
      <c r="R24" s="103" t="e">
        <f t="shared" si="1"/>
        <v>#REF!</v>
      </c>
      <c r="S24" s="103" t="e">
        <f t="shared" si="1"/>
        <v>#REF!</v>
      </c>
    </row>
    <row r="25" spans="1:19" hidden="1" x14ac:dyDescent="0.25">
      <c r="A25" s="611" t="e">
        <f>'Transmission Line Construct SC'!#REF!</f>
        <v>#REF!</v>
      </c>
      <c r="B25" s="611" t="e">
        <f>'Transmission Line Construct SC'!#REF!</f>
        <v>#REF!</v>
      </c>
      <c r="C25" s="611" t="e">
        <f>'Transmission Line Construct SC'!#REF!</f>
        <v>#REF!</v>
      </c>
      <c r="D25" s="611" t="e">
        <f>'Transmission Line Construct SC'!#REF!</f>
        <v>#REF!</v>
      </c>
      <c r="E25" s="611" t="e">
        <f>'Transmission Line Construct SC'!#REF!</f>
        <v>#REF!</v>
      </c>
      <c r="F25" s="611" t="e">
        <f>'Transmission Line Construct SC'!#REF!</f>
        <v>#REF!</v>
      </c>
      <c r="G25" s="611" t="e">
        <f>'Transmission Line Construct SC'!#REF!</f>
        <v>#REF!</v>
      </c>
      <c r="H25" s="611" t="e">
        <f>'Transmission Line Construct SC'!#REF!</f>
        <v>#REF!</v>
      </c>
      <c r="I25" s="611" t="e">
        <f>'Transmission Line Construct SC'!#REF!</f>
        <v>#REF!</v>
      </c>
      <c r="J25" s="611" t="e">
        <f>'Transmission Line Construct SC'!#REF!</f>
        <v>#REF!</v>
      </c>
      <c r="K25" s="611" t="e">
        <f>'Transmission Line Construct SC'!#REF!</f>
        <v>#REF!</v>
      </c>
      <c r="L25" s="611" t="e">
        <f>'Transmission Line Construct SC'!#REF!</f>
        <v>#REF!</v>
      </c>
      <c r="M25" s="611" t="e">
        <f>'Transmission Line Construct SC'!#REF!</f>
        <v>#REF!</v>
      </c>
      <c r="N25" s="611" t="e">
        <f>'Transmission Line Construct SC'!#REF!</f>
        <v>#REF!</v>
      </c>
      <c r="O25" s="611" t="e">
        <f>'Transmission Line Construct SC'!#REF!</f>
        <v>#REF!</v>
      </c>
      <c r="P25" s="611" t="e">
        <f>'Transmission Line Construct SC'!#REF!</f>
        <v>#REF!</v>
      </c>
      <c r="Q25" s="611" t="e">
        <f>'Transmission Line Construct SC'!#REF!</f>
        <v>#REF!</v>
      </c>
      <c r="R25" s="611" t="e">
        <f>'Transmission Line Construct SC'!#REF!</f>
        <v>#REF!</v>
      </c>
      <c r="S25" s="611" t="e">
        <f>'Transmission Line Construct SC'!#REF!</f>
        <v>#REF!</v>
      </c>
    </row>
    <row r="26" spans="1:19" hidden="1" x14ac:dyDescent="0.25"/>
    <row r="27" spans="1:19" hidden="1" x14ac:dyDescent="0.25"/>
    <row r="28" spans="1:19" hidden="1" x14ac:dyDescent="0.25"/>
    <row r="29" spans="1:19" hidden="1" x14ac:dyDescent="0.25"/>
    <row r="30" spans="1:19" hidden="1" x14ac:dyDescent="0.25">
      <c r="A30" s="97" t="s">
        <v>338</v>
      </c>
    </row>
    <row r="31" spans="1:19" hidden="1" x14ac:dyDescent="0.25">
      <c r="A31" s="208">
        <v>41821</v>
      </c>
    </row>
    <row r="32" spans="1:19" hidden="1" x14ac:dyDescent="0.25">
      <c r="A32" s="97" t="s">
        <v>333</v>
      </c>
    </row>
    <row r="33" spans="1:19" ht="39.6" hidden="1" x14ac:dyDescent="0.25">
      <c r="A33" s="19" t="s">
        <v>333</v>
      </c>
      <c r="B33" s="16" t="s">
        <v>18</v>
      </c>
      <c r="C33" s="16" t="s">
        <v>19</v>
      </c>
      <c r="D33" s="16" t="s">
        <v>20</v>
      </c>
      <c r="E33" s="16" t="s">
        <v>21</v>
      </c>
      <c r="F33" s="16" t="s">
        <v>22</v>
      </c>
      <c r="G33" s="16" t="s">
        <v>23</v>
      </c>
      <c r="H33" s="17" t="s">
        <v>24</v>
      </c>
      <c r="I33" s="16" t="s">
        <v>25</v>
      </c>
      <c r="J33" s="16" t="s">
        <v>26</v>
      </c>
      <c r="K33" s="104" t="s">
        <v>27</v>
      </c>
      <c r="L33" s="18" t="s">
        <v>28</v>
      </c>
      <c r="M33" s="18" t="s">
        <v>29</v>
      </c>
      <c r="N33" s="18" t="s">
        <v>30</v>
      </c>
      <c r="O33" s="18" t="s">
        <v>31</v>
      </c>
      <c r="P33" s="18" t="s">
        <v>32</v>
      </c>
      <c r="Q33" s="17" t="s">
        <v>33</v>
      </c>
      <c r="R33" s="18" t="s">
        <v>34</v>
      </c>
      <c r="S33" s="18" t="s">
        <v>35</v>
      </c>
    </row>
    <row r="34" spans="1:19" hidden="1" x14ac:dyDescent="0.25">
      <c r="A34" s="97" t="s">
        <v>75</v>
      </c>
      <c r="B34" s="98"/>
      <c r="C34" s="98"/>
      <c r="D34" s="98"/>
      <c r="E34" s="98"/>
      <c r="F34" s="98"/>
      <c r="G34" s="98"/>
      <c r="H34" s="98"/>
      <c r="I34" s="98"/>
      <c r="J34" s="10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idden="1" x14ac:dyDescent="0.25">
      <c r="A35" s="97" t="s">
        <v>119</v>
      </c>
      <c r="B35" s="98">
        <f>'Substation Construction SC'!B167</f>
        <v>0.90681891042298624</v>
      </c>
      <c r="C35" s="98">
        <f>'Substation Construction SC'!C167</f>
        <v>5.2670847648282484</v>
      </c>
      <c r="D35" s="98">
        <f>'Substation Construction SC'!D167</f>
        <v>5.7618486985324546</v>
      </c>
      <c r="E35" s="98">
        <f>'Substation Construction SC'!E167</f>
        <v>1.7065612493784514E-2</v>
      </c>
      <c r="F35" s="98">
        <f>'Substation Construction SC'!F167</f>
        <v>0.23034760399492638</v>
      </c>
      <c r="G35" s="98">
        <f>'Substation Construction SC'!G167</f>
        <v>0.20500936755548446</v>
      </c>
      <c r="H35" s="98">
        <f>'Substation Construction SC'!H167</f>
        <v>1538.844070715576</v>
      </c>
      <c r="I35" s="98">
        <f>'Substation Construction SC'!I167</f>
        <v>0.10677150206587499</v>
      </c>
      <c r="J35" s="98">
        <f>'Substation Construction SC'!J167</f>
        <v>0.54737562636058323</v>
      </c>
      <c r="K35" s="98">
        <f>'Substation Construction SC'!K167</f>
        <v>3.7631323415978683E-2</v>
      </c>
      <c r="L35" s="98">
        <f>'Substation Construction SC'!L167</f>
        <v>0.23825072492287624</v>
      </c>
      <c r="M35" s="98">
        <f>'Substation Construction SC'!M167</f>
        <v>0.24535563576331651</v>
      </c>
      <c r="N35" s="98">
        <f>'Substation Construction SC'!N167</f>
        <v>6.1624246353528614E-4</v>
      </c>
      <c r="O35" s="98">
        <f>'Substation Construction SC'!O167</f>
        <v>1.060409516379705E-2</v>
      </c>
      <c r="P35" s="98">
        <f>'Substation Construction SC'!P167</f>
        <v>9.4376446957793753E-3</v>
      </c>
      <c r="Q35" s="98">
        <f>'Substation Construction SC'!Q167</f>
        <v>55.392052803842333</v>
      </c>
      <c r="R35" s="98">
        <f>'Substation Construction SC'!R167</f>
        <v>4.5146626375400338E-3</v>
      </c>
      <c r="S35" s="98">
        <f>'Substation Construction SC'!S167</f>
        <v>2.3308785397515068E-2</v>
      </c>
    </row>
    <row r="36" spans="1:19" hidden="1" x14ac:dyDescent="0.25">
      <c r="A36" s="97" t="s">
        <v>120</v>
      </c>
      <c r="B36" s="98">
        <f>'Substation Construction SC'!B168</f>
        <v>0.48595226178647682</v>
      </c>
      <c r="C36" s="98">
        <f>'Substation Construction SC'!C168</f>
        <v>4.5016940124242897</v>
      </c>
      <c r="D36" s="98">
        <f>'Substation Construction SC'!D168</f>
        <v>0.41589858781347744</v>
      </c>
      <c r="E36" s="98">
        <f>'Substation Construction SC'!E168</f>
        <v>5.7127971934520299E-3</v>
      </c>
      <c r="F36" s="98">
        <f>'Substation Construction SC'!F168</f>
        <v>0.1345313212832317</v>
      </c>
      <c r="G36" s="98">
        <f>'Substation Construction SC'!G168</f>
        <v>4.417403718936936E-2</v>
      </c>
      <c r="H36" s="98">
        <f>'Substation Construction SC'!H168</f>
        <v>511.07569997153558</v>
      </c>
      <c r="I36" s="98">
        <f>'Substation Construction SC'!I168</f>
        <v>2.4951268271976197E-2</v>
      </c>
      <c r="J36" s="98">
        <f>'Substation Construction SC'!J168</f>
        <v>4.5383540779711601E-2</v>
      </c>
      <c r="K36" s="98">
        <f>'Substation Construction SC'!K168</f>
        <v>0.14855590241000158</v>
      </c>
      <c r="L36" s="98">
        <f>'Substation Construction SC'!L168</f>
        <v>1.3724653397844755E-2</v>
      </c>
      <c r="M36" s="98">
        <f>'Substation Construction SC'!M168</f>
        <v>1.6036424638953738E-2</v>
      </c>
      <c r="N36" s="98">
        <f>'Substation Construction SC'!N168</f>
        <v>1.8852230738391698E-4</v>
      </c>
      <c r="O36" s="98">
        <f>'Substation Construction SC'!O168</f>
        <v>4.4395336023466464E-3</v>
      </c>
      <c r="P36" s="98">
        <f>'Substation Construction SC'!P168</f>
        <v>1.4577432272491889E-3</v>
      </c>
      <c r="Q36" s="98">
        <f>'Substation Construction SC'!Q168</f>
        <v>16.865498099060673</v>
      </c>
      <c r="R36" s="98">
        <f>'Substation Construction SC'!R168</f>
        <v>8.2339185297521447E-4</v>
      </c>
      <c r="S36" s="98">
        <f>'Substation Construction SC'!S168</f>
        <v>1.4976568457304828E-3</v>
      </c>
    </row>
    <row r="37" spans="1:19" hidden="1" x14ac:dyDescent="0.25">
      <c r="A37" s="97" t="s">
        <v>121</v>
      </c>
      <c r="B37" s="98">
        <f>'Substation Construction SC'!B169</f>
        <v>7.1499827595025503E-2</v>
      </c>
      <c r="C37" s="98">
        <f>'Substation Construction SC'!C169</f>
        <v>0.36968317675634021</v>
      </c>
      <c r="D37" s="98">
        <f>'Substation Construction SC'!D169</f>
        <v>0.39397717080726058</v>
      </c>
      <c r="E37" s="98">
        <f>'Substation Construction SC'!E169</f>
        <v>2.0709292672171707E-3</v>
      </c>
      <c r="F37" s="98">
        <f>'Substation Construction SC'!F169</f>
        <v>0.11709999823166939</v>
      </c>
      <c r="G37" s="98">
        <f>'Substation Construction SC'!G169</f>
        <v>7.1969833629827021E-2</v>
      </c>
      <c r="H37" s="98">
        <f>'Substation Construction SC'!H169</f>
        <v>184.9050823120437</v>
      </c>
      <c r="I37" s="98">
        <f>'Substation Construction SC'!I169</f>
        <v>1.0566031118557114E-2</v>
      </c>
      <c r="J37" s="98">
        <f>'Substation Construction SC'!J169</f>
        <v>4.7365285885053116E-3</v>
      </c>
      <c r="K37" s="98">
        <f>'Substation Construction SC'!K169</f>
        <v>7.8649810354528048E-4</v>
      </c>
      <c r="L37" s="98">
        <f>'Substation Construction SC'!L169</f>
        <v>4.0665149443197424E-3</v>
      </c>
      <c r="M37" s="98">
        <f>'Substation Construction SC'!M169</f>
        <v>4.3337488788798666E-3</v>
      </c>
      <c r="N37" s="98">
        <f>'Substation Construction SC'!N169</f>
        <v>2.278022193938888E-5</v>
      </c>
      <c r="O37" s="98">
        <f>'Substation Construction SC'!O169</f>
        <v>1.2880999805483634E-3</v>
      </c>
      <c r="P37" s="98">
        <f>'Substation Construction SC'!P169</f>
        <v>7.9166816992809713E-4</v>
      </c>
      <c r="Q37" s="98">
        <f>'Substation Construction SC'!Q169</f>
        <v>2.0339559054324812</v>
      </c>
      <c r="R37" s="98">
        <f>'Substation Construction SC'!R169</f>
        <v>1.1622634230412826E-4</v>
      </c>
      <c r="S37" s="98">
        <f>'Substation Construction SC'!S169</f>
        <v>5.2101814473558429E-5</v>
      </c>
    </row>
    <row r="38" spans="1:19" hidden="1" x14ac:dyDescent="0.25">
      <c r="A38" s="3" t="s">
        <v>123</v>
      </c>
      <c r="B38" s="103">
        <f>'Substation Construction SC'!B170</f>
        <v>1.4642709998044887</v>
      </c>
      <c r="C38" s="103">
        <f>'Substation Construction SC'!C170</f>
        <v>10.138461954008879</v>
      </c>
      <c r="D38" s="103">
        <f>'Substation Construction SC'!D170</f>
        <v>6.5717244571531923</v>
      </c>
      <c r="E38" s="103">
        <f>'Substation Construction SC'!E170</f>
        <v>2.4849338954453716E-2</v>
      </c>
      <c r="F38" s="103">
        <f>'Substation Construction SC'!F170</f>
        <v>0.48197892350982746</v>
      </c>
      <c r="G38" s="103">
        <f>'Substation Construction SC'!G170</f>
        <v>0.32115323837468085</v>
      </c>
      <c r="H38" s="103">
        <f>'Substation Construction SC'!H170</f>
        <v>2234.8248529991552</v>
      </c>
      <c r="I38" s="103">
        <f>'Substation Construction SC'!I170</f>
        <v>0.14228880145640829</v>
      </c>
      <c r="J38" s="103">
        <f>'Substation Construction SC'!J170</f>
        <v>0.59749569572880012</v>
      </c>
      <c r="K38" s="103">
        <f>'Substation Construction SC'!K170</f>
        <v>0.18697372392952555</v>
      </c>
      <c r="L38" s="103">
        <f>'Substation Construction SC'!L170</f>
        <v>0.25604189326504073</v>
      </c>
      <c r="M38" s="103">
        <f>'Substation Construction SC'!M170</f>
        <v>0.26572580928115014</v>
      </c>
      <c r="N38" s="103">
        <f>'Substation Construction SC'!N170</f>
        <v>8.2754499285859204E-4</v>
      </c>
      <c r="O38" s="103">
        <f>'Substation Construction SC'!O170</f>
        <v>1.6331728746692059E-2</v>
      </c>
      <c r="P38" s="103">
        <f>'Substation Construction SC'!P170</f>
        <v>1.1687056092956661E-2</v>
      </c>
      <c r="Q38" s="103">
        <f>'Substation Construction SC'!Q170</f>
        <v>74.291506808335484</v>
      </c>
      <c r="R38" s="103">
        <f>'Substation Construction SC'!R170</f>
        <v>5.4542808328193765E-3</v>
      </c>
      <c r="S38" s="103">
        <f>'Substation Construction SC'!S170</f>
        <v>2.4858544057719107E-2</v>
      </c>
    </row>
    <row r="39" spans="1:19" hidden="1" x14ac:dyDescent="0.25">
      <c r="A39" s="3" t="s">
        <v>341</v>
      </c>
      <c r="B39" s="209"/>
      <c r="C39" s="209"/>
      <c r="D39" s="209"/>
      <c r="E39" s="209"/>
      <c r="F39" s="209"/>
      <c r="G39" s="209"/>
      <c r="H39" s="209"/>
      <c r="I39" s="209"/>
      <c r="J39" s="210"/>
      <c r="K39" s="98"/>
      <c r="L39" s="98"/>
      <c r="M39" s="98"/>
      <c r="N39" s="98"/>
      <c r="O39" s="98"/>
      <c r="P39" s="98"/>
      <c r="Q39" s="98"/>
      <c r="R39" s="98"/>
      <c r="S39" s="98"/>
    </row>
    <row r="40" spans="1:19" hidden="1" x14ac:dyDescent="0.25">
      <c r="A40" s="97" t="str">
        <f>'Substation Construction SC'!A50</f>
        <v>Emissions, lbs/day</v>
      </c>
      <c r="B40" s="4"/>
      <c r="C40" s="4"/>
      <c r="D40" s="4"/>
      <c r="E40" s="4"/>
      <c r="F40" s="4"/>
      <c r="G40" s="4"/>
      <c r="H40" s="4"/>
      <c r="I40" s="4"/>
      <c r="J40" s="211"/>
      <c r="K40" s="98"/>
      <c r="L40" s="98"/>
      <c r="M40" s="98"/>
      <c r="N40" s="98"/>
      <c r="O40" s="98"/>
      <c r="P40" s="98"/>
      <c r="Q40" s="98"/>
      <c r="R40" s="98"/>
      <c r="S40" s="98"/>
    </row>
    <row r="41" spans="1:19" hidden="1" x14ac:dyDescent="0.25">
      <c r="A41" s="97" t="str">
        <f>'Substation Construction SC'!A51</f>
        <v>Heavy Construction Equipment</v>
      </c>
      <c r="B41" s="4">
        <f>'Substation Construction SC'!B51</f>
        <v>10.021244629460792</v>
      </c>
      <c r="C41" s="4">
        <f>'Substation Construction SC'!C51</f>
        <v>41.35807861194656</v>
      </c>
      <c r="D41" s="4">
        <f>'Substation Construction SC'!D51</f>
        <v>72.967731838714215</v>
      </c>
      <c r="E41" s="4">
        <f>'Substation Construction SC'!E51</f>
        <v>0.16992698890202929</v>
      </c>
      <c r="F41" s="4">
        <f>'Substation Construction SC'!F51</f>
        <v>2.7074794786207885</v>
      </c>
      <c r="G41" s="4">
        <f>'Substation Construction SC'!G51</f>
        <v>2.4096567359725021</v>
      </c>
      <c r="H41" s="4">
        <f>'Substation Construction SC'!H51</f>
        <v>15013.778793977188</v>
      </c>
      <c r="I41" s="4">
        <f>'Substation Construction SC'!I51</f>
        <v>0.97776194078886447</v>
      </c>
      <c r="J41" s="4">
        <f>'Substation Construction SC'!J51</f>
        <v>6.9319345246778505</v>
      </c>
      <c r="K41" s="4">
        <f>'Substation Construction SC'!K51</f>
        <v>0.49279916502076337</v>
      </c>
      <c r="L41" s="4">
        <f>'Substation Construction SC'!L51</f>
        <v>2.0958062478713391</v>
      </c>
      <c r="M41" s="4">
        <f>'Substation Construction SC'!M51</f>
        <v>3.553145353215883</v>
      </c>
      <c r="N41" s="4">
        <f>'Substation Construction SC'!N51</f>
        <v>8.0554457388443083E-3</v>
      </c>
      <c r="O41" s="4">
        <f>'Substation Construction SC'!O51</f>
        <v>0.14098244191215112</v>
      </c>
      <c r="P41" s="4">
        <f>'Substation Construction SC'!P51</f>
        <v>0.12547437330181449</v>
      </c>
      <c r="Q41" s="4">
        <f>'Substation Construction SC'!Q51</f>
        <v>710.92702646055272</v>
      </c>
      <c r="R41" s="4">
        <f>'Substation Construction SC'!R51</f>
        <v>4.8064340183544316E-2</v>
      </c>
      <c r="S41" s="4">
        <f>'Substation Construction SC'!S51</f>
        <v>0.33754880855550873</v>
      </c>
    </row>
    <row r="42" spans="1:19" hidden="1" x14ac:dyDescent="0.25">
      <c r="A42" s="97" t="str">
        <f>'Substation Construction SC'!A52</f>
        <v>Worker Vehicles</v>
      </c>
      <c r="B42" s="4">
        <f>'Substation Construction SC'!B52</f>
        <v>0.95289898437681031</v>
      </c>
      <c r="C42" s="4">
        <f>'Substation Construction SC'!C52</f>
        <v>9.7534273237054734</v>
      </c>
      <c r="D42" s="4">
        <f>'Substation Construction SC'!D52</f>
        <v>0.88006263584996858</v>
      </c>
      <c r="E42" s="4">
        <f>'Substation Construction SC'!E52</f>
        <v>1.1603948552657686E-2</v>
      </c>
      <c r="F42" s="4">
        <f>'Substation Construction SC'!F52</f>
        <v>0.27384846824592202</v>
      </c>
      <c r="G42" s="4">
        <f>'Substation Construction SC'!G52</f>
        <v>8.9962417554591029E-2</v>
      </c>
      <c r="H42" s="4">
        <f>'Substation Construction SC'!H52</f>
        <v>935.08296434598378</v>
      </c>
      <c r="I42" s="4">
        <f>'Substation Construction SC'!I52</f>
        <v>5.0754391557511859E-2</v>
      </c>
      <c r="J42" s="4">
        <f>'Substation Construction SC'!J52</f>
        <v>9.2349704255024923E-2</v>
      </c>
      <c r="K42" s="4">
        <f>'Substation Construction SC'!K52</f>
        <v>0.32186310168228061</v>
      </c>
      <c r="L42" s="4">
        <f>'Substation Construction SC'!L52</f>
        <v>2.904206698304896E-2</v>
      </c>
      <c r="M42" s="4">
        <f>'Substation Construction SC'!M52</f>
        <v>3.1445666484434739E-2</v>
      </c>
      <c r="N42" s="4">
        <f>'Substation Construction SC'!N52</f>
        <v>3.8293030223770364E-4</v>
      </c>
      <c r="O42" s="4">
        <f>'Substation Construction SC'!O52</f>
        <v>9.0369994521154254E-3</v>
      </c>
      <c r="P42" s="4">
        <f>'Substation Construction SC'!P52</f>
        <v>2.968759779301504E-3</v>
      </c>
      <c r="Q42" s="4">
        <f>'Substation Construction SC'!Q52</f>
        <v>30.857737823417466</v>
      </c>
      <c r="R42" s="4">
        <f>'Substation Construction SC'!R52</f>
        <v>1.6748949213978915E-3</v>
      </c>
      <c r="S42" s="4">
        <f>'Substation Construction SC'!S52</f>
        <v>3.0475402404158223E-3</v>
      </c>
    </row>
    <row r="43" spans="1:19" hidden="1" x14ac:dyDescent="0.25">
      <c r="A43" s="97" t="str">
        <f>'Substation Construction SC'!A53</f>
        <v>Construction Trucks</v>
      </c>
      <c r="B43" s="4">
        <f>'Substation Construction SC'!B53</f>
        <v>0.92587623447891187</v>
      </c>
      <c r="C43" s="4">
        <f>'Substation Construction SC'!C53</f>
        <v>3.818919345739368</v>
      </c>
      <c r="D43" s="4">
        <f>'Substation Construction SC'!D53</f>
        <v>17.518370396971079</v>
      </c>
      <c r="E43" s="4">
        <f>'Substation Construction SC'!E53</f>
        <v>3.7785023479353599E-2</v>
      </c>
      <c r="F43" s="4">
        <f>'Substation Construction SC'!F53</f>
        <v>0.75460931970572775</v>
      </c>
      <c r="G43" s="4">
        <f>'Substation Construction SC'!G53</f>
        <v>0.39066796884815108</v>
      </c>
      <c r="H43" s="4">
        <f>'Substation Construction SC'!H53</f>
        <v>6034.4401944709189</v>
      </c>
      <c r="I43" s="4">
        <f>'Substation Construction SC'!I53</f>
        <v>0.34482601603265162</v>
      </c>
      <c r="J43" s="4">
        <f>'Substation Construction SC'!J53</f>
        <v>0.15457822002156704</v>
      </c>
      <c r="K43" s="4">
        <f>'Substation Construction SC'!K53</f>
        <v>3.0553915737804093E-2</v>
      </c>
      <c r="L43" s="4">
        <f>'Substation Construction SC'!L53</f>
        <v>0.12602433840939914</v>
      </c>
      <c r="M43" s="4">
        <f>'Substation Construction SC'!M53</f>
        <v>0.57810622310004556</v>
      </c>
      <c r="N43" s="4">
        <f>'Substation Construction SC'!N53</f>
        <v>1.2469057748186686E-3</v>
      </c>
      <c r="O43" s="4">
        <f>'Substation Construction SC'!O53</f>
        <v>2.4902107550289019E-2</v>
      </c>
      <c r="P43" s="4">
        <f>'Substation Construction SC'!P53</f>
        <v>1.2892042971988985E-2</v>
      </c>
      <c r="Q43" s="4">
        <f>'Substation Construction SC'!Q53</f>
        <v>199.13652641754032</v>
      </c>
      <c r="R43" s="4">
        <f>'Substation Construction SC'!R53</f>
        <v>1.1379258529077504E-2</v>
      </c>
      <c r="S43" s="4">
        <f>'Substation Construction SC'!S53</f>
        <v>5.1010812607117121E-3</v>
      </c>
    </row>
    <row r="44" spans="1:19" hidden="1" x14ac:dyDescent="0.25">
      <c r="A44" s="97" t="str">
        <f>'Substation Construction SC'!A54</f>
        <v>Fugitive Dust</v>
      </c>
      <c r="B44" s="4">
        <f>'Substation Construction SC'!B54</f>
        <v>0</v>
      </c>
      <c r="C44" s="4">
        <f>'Substation Construction SC'!C54</f>
        <v>0</v>
      </c>
      <c r="D44" s="4">
        <f>'Substation Construction SC'!D54</f>
        <v>0</v>
      </c>
      <c r="E44" s="4">
        <f>'Substation Construction SC'!E54</f>
        <v>0</v>
      </c>
      <c r="F44" s="4">
        <f>'Substation Construction SC'!F54</f>
        <v>26.362387719197216</v>
      </c>
      <c r="G44" s="4">
        <f>'Substation Construction SC'!G54</f>
        <v>8.2853218546048399</v>
      </c>
      <c r="H44" s="4">
        <f>'Substation Construction SC'!H54</f>
        <v>0</v>
      </c>
      <c r="I44" s="4">
        <f>'Substation Construction SC'!I54</f>
        <v>0</v>
      </c>
      <c r="J44" s="4">
        <f>'Substation Construction SC'!J54</f>
        <v>0</v>
      </c>
      <c r="K44" s="4">
        <f>'Substation Construction SC'!K54</f>
        <v>0</v>
      </c>
      <c r="L44" s="4">
        <f>'Substation Construction SC'!L54</f>
        <v>0</v>
      </c>
      <c r="M44" s="4">
        <f>'Substation Construction SC'!M54</f>
        <v>0</v>
      </c>
      <c r="N44" s="4">
        <f>'Substation Construction SC'!N54</f>
        <v>0</v>
      </c>
      <c r="O44" s="4">
        <f>'Substation Construction SC'!O54</f>
        <v>1.4983722577894818E-2</v>
      </c>
      <c r="P44" s="4">
        <f>'Substation Construction SC'!P54</f>
        <v>4.7091699530526585E-3</v>
      </c>
      <c r="Q44" s="4">
        <f>'Substation Construction SC'!Q54</f>
        <v>0</v>
      </c>
      <c r="R44" s="4">
        <f>'Substation Construction SC'!R54</f>
        <v>0</v>
      </c>
      <c r="S44" s="4">
        <f>'Substation Construction SC'!S54</f>
        <v>0</v>
      </c>
    </row>
    <row r="45" spans="1:19" hidden="1" x14ac:dyDescent="0.25">
      <c r="A45" s="3" t="s">
        <v>123</v>
      </c>
      <c r="B45" s="103">
        <f>'Substation Construction SC'!B55</f>
        <v>11.900019848316514</v>
      </c>
      <c r="C45" s="103">
        <f>'Substation Construction SC'!C55</f>
        <v>54.9304252813914</v>
      </c>
      <c r="D45" s="103">
        <f>'Substation Construction SC'!D55</f>
        <v>91.366164871535261</v>
      </c>
      <c r="E45" s="103">
        <f>'Substation Construction SC'!E55</f>
        <v>0.21931596093404054</v>
      </c>
      <c r="F45" s="103">
        <f>'Substation Construction SC'!F55</f>
        <v>30.098324985769654</v>
      </c>
      <c r="G45" s="103">
        <f>'Substation Construction SC'!G55</f>
        <v>11.175608976980085</v>
      </c>
      <c r="H45" s="103">
        <f>'Substation Construction SC'!H55</f>
        <v>21983.301952794092</v>
      </c>
      <c r="I45" s="103">
        <f>'Substation Construction SC'!I55</f>
        <v>1.3733423483790279</v>
      </c>
      <c r="J45" s="103">
        <f>'Substation Construction SC'!J55</f>
        <v>7.1788624489544421</v>
      </c>
      <c r="K45" s="103">
        <f>'Substation Construction SC'!K55</f>
        <v>0.84521618244084806</v>
      </c>
      <c r="L45" s="103">
        <f>'Substation Construction SC'!L55</f>
        <v>2.2508726532637873</v>
      </c>
      <c r="M45" s="103">
        <f>'Substation Construction SC'!M55</f>
        <v>4.1626972428003635</v>
      </c>
      <c r="N45" s="103">
        <f>'Substation Construction SC'!N55</f>
        <v>9.6852818159006808E-3</v>
      </c>
      <c r="O45" s="103">
        <f>'Substation Construction SC'!O55</f>
        <v>0.18990527149245037</v>
      </c>
      <c r="P45" s="103">
        <f>'Substation Construction SC'!P55</f>
        <v>0.14604434600615762</v>
      </c>
      <c r="Q45" s="103">
        <f>'Substation Construction SC'!Q55</f>
        <v>940.92129070151054</v>
      </c>
      <c r="R45" s="103">
        <f>'Substation Construction SC'!R55</f>
        <v>6.1118493634019708E-2</v>
      </c>
      <c r="S45" s="103">
        <f>'Substation Construction SC'!S55</f>
        <v>0.34569743005663628</v>
      </c>
    </row>
    <row r="46" spans="1:19" hidden="1" x14ac:dyDescent="0.25">
      <c r="A46" s="3" t="s">
        <v>342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idden="1" x14ac:dyDescent="0.25">
      <c r="A47" s="611" t="s">
        <v>75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idden="1" x14ac:dyDescent="0.25">
      <c r="A48" s="611" t="s">
        <v>119</v>
      </c>
      <c r="B48" s="98">
        <f>'Equipment Trans Talega Seg 3'!Q19+'Equipment Trans Talega Seg 3'!Q26</f>
        <v>14.615566728877521</v>
      </c>
      <c r="C48" s="98">
        <f>'Equipment Trans Talega Seg 3'!R19+'Equipment Trans Talega Seg 3'!R26</f>
        <v>58.548229230582812</v>
      </c>
      <c r="D48" s="98">
        <f>'Equipment Trans Talega Seg 3'!S19+'Equipment Trans Talega Seg 3'!S26</f>
        <v>118.25940697984653</v>
      </c>
      <c r="E48" s="98">
        <f>'Equipment Trans Talega Seg 3'!T19+'Equipment Trans Talega Seg 3'!T26</f>
        <v>0.20192470251275196</v>
      </c>
      <c r="F48" s="98">
        <f>'Equipment Trans Talega Seg 3'!U19+'Equipment Trans Talega Seg 3'!U26</f>
        <v>4.6147685042311739</v>
      </c>
      <c r="G48" s="98">
        <f>'Equipment Trans Talega Seg 3'!V19+'Equipment Trans Talega Seg 3'!V26</f>
        <v>4.1071439687657456</v>
      </c>
      <c r="H48" s="98">
        <f>'Equipment Trans Talega Seg 3'!W19+'Equipment Trans Talega Seg 3'!W26</f>
        <v>18978.574788785747</v>
      </c>
      <c r="I48" s="98">
        <f>'Equipment Trans Talega Seg 3'!X19+'Equipment Trans Talega Seg 3'!X26</f>
        <v>1.3736745401142527</v>
      </c>
      <c r="J48" s="98">
        <f>'Equipment Trans Talega Seg 3'!Y19+'Equipment Trans Talega Seg 3'!Y26</f>
        <v>11.234643663085421</v>
      </c>
      <c r="K48" s="98">
        <f>'Equipment Trans Talega Seg 3'!E66+'Equipment Trans Talega Seg 3'!E73</f>
        <v>0.40980340474543359</v>
      </c>
      <c r="L48" s="98">
        <f>'Equipment Trans Talega Seg 3'!F66+'Equipment Trans Talega Seg 3'!F73</f>
        <v>1.7123789871036377</v>
      </c>
      <c r="M48" s="98">
        <f>'Equipment Trans Talega Seg 3'!G66+'Equipment Trans Talega Seg 3'!G73</f>
        <v>3.2484940976662489</v>
      </c>
      <c r="N48" s="98">
        <f>'Equipment Trans Talega Seg 3'!H66+'Equipment Trans Talega Seg 3'!H73</f>
        <v>5.7396898022316527E-3</v>
      </c>
      <c r="O48" s="98">
        <f>'Equipment Trans Talega Seg 3'!I66+'Equipment Trans Talega Seg 3'!I73</f>
        <v>0.13529511414561346</v>
      </c>
      <c r="P48" s="98">
        <f>'Equipment Trans Talega Seg 3'!J66+'Equipment Trans Talega Seg 3'!J73</f>
        <v>0.12041265158959596</v>
      </c>
      <c r="Q48" s="98">
        <f>'Equipment Trans Talega Seg 3'!K66+'Equipment Trans Talega Seg 3'!K73</f>
        <v>524.45168986998783</v>
      </c>
      <c r="R48" s="98">
        <f>'Equipment Trans Talega Seg 3'!L66+'Equipment Trans Talega Seg 3'!L73</f>
        <v>3.8527770483954601E-2</v>
      </c>
      <c r="S48" s="98">
        <f>'Equipment Trans Talega Seg 3'!M66+'Equipment Trans Talega Seg 3'!M73</f>
        <v>0.30860693927829363</v>
      </c>
    </row>
    <row r="49" spans="1:19" hidden="1" x14ac:dyDescent="0.25">
      <c r="A49" s="611" t="s">
        <v>120</v>
      </c>
      <c r="B49" s="98" t="e">
        <f>'Transmission Line Construct SC'!#REF!</f>
        <v>#REF!</v>
      </c>
      <c r="C49" s="98" t="e">
        <f>'Transmission Line Construct SC'!#REF!</f>
        <v>#REF!</v>
      </c>
      <c r="D49" s="98" t="e">
        <f>'Transmission Line Construct SC'!#REF!</f>
        <v>#REF!</v>
      </c>
      <c r="E49" s="98" t="e">
        <f>'Transmission Line Construct SC'!#REF!</f>
        <v>#REF!</v>
      </c>
      <c r="F49" s="98" t="e">
        <f>'Transmission Line Construct SC'!#REF!</f>
        <v>#REF!</v>
      </c>
      <c r="G49" s="98" t="e">
        <f>'Transmission Line Construct SC'!#REF!</f>
        <v>#REF!</v>
      </c>
      <c r="H49" s="98" t="e">
        <f>'Transmission Line Construct SC'!#REF!</f>
        <v>#REF!</v>
      </c>
      <c r="I49" s="98" t="e">
        <f>'Transmission Line Construct SC'!#REF!</f>
        <v>#REF!</v>
      </c>
      <c r="J49" s="98" t="e">
        <f>'Transmission Line Construct SC'!#REF!</f>
        <v>#REF!</v>
      </c>
      <c r="K49" s="98" t="e">
        <f>'Transmission Line Construct SC'!#REF!</f>
        <v>#REF!</v>
      </c>
      <c r="L49" s="98" t="e">
        <f>'Transmission Line Construct SC'!#REF!</f>
        <v>#REF!</v>
      </c>
      <c r="M49" s="98" t="e">
        <f>'Transmission Line Construct SC'!#REF!</f>
        <v>#REF!</v>
      </c>
      <c r="N49" s="98" t="e">
        <f>'Transmission Line Construct SC'!#REF!</f>
        <v>#REF!</v>
      </c>
      <c r="O49" s="98" t="e">
        <f>'Transmission Line Construct SC'!#REF!</f>
        <v>#REF!</v>
      </c>
      <c r="P49" s="98" t="e">
        <f>'Transmission Line Construct SC'!#REF!</f>
        <v>#REF!</v>
      </c>
      <c r="Q49" s="98" t="e">
        <f>'Transmission Line Construct SC'!#REF!</f>
        <v>#REF!</v>
      </c>
      <c r="R49" s="98" t="e">
        <f>'Transmission Line Construct SC'!#REF!</f>
        <v>#REF!</v>
      </c>
      <c r="S49" s="98" t="e">
        <f>'Transmission Line Construct SC'!#REF!</f>
        <v>#REF!</v>
      </c>
    </row>
    <row r="50" spans="1:19" hidden="1" x14ac:dyDescent="0.25">
      <c r="A50" s="611" t="s">
        <v>121</v>
      </c>
      <c r="B50" s="98" t="e">
        <f>'Transmission Line Construct SC'!#REF!</f>
        <v>#REF!</v>
      </c>
      <c r="C50" s="98" t="e">
        <f>'Transmission Line Construct SC'!#REF!</f>
        <v>#REF!</v>
      </c>
      <c r="D50" s="98" t="e">
        <f>'Transmission Line Construct SC'!#REF!</f>
        <v>#REF!</v>
      </c>
      <c r="E50" s="98" t="e">
        <f>'Transmission Line Construct SC'!#REF!</f>
        <v>#REF!</v>
      </c>
      <c r="F50" s="98" t="e">
        <f>'Transmission Line Construct SC'!#REF!</f>
        <v>#REF!</v>
      </c>
      <c r="G50" s="98" t="e">
        <f>'Transmission Line Construct SC'!#REF!</f>
        <v>#REF!</v>
      </c>
      <c r="H50" s="98" t="e">
        <f>'Transmission Line Construct SC'!#REF!</f>
        <v>#REF!</v>
      </c>
      <c r="I50" s="98" t="e">
        <f>'Transmission Line Construct SC'!#REF!</f>
        <v>#REF!</v>
      </c>
      <c r="J50" s="98" t="e">
        <f>'Transmission Line Construct SC'!#REF!</f>
        <v>#REF!</v>
      </c>
      <c r="K50" s="98" t="e">
        <f>'Transmission Line Construct SC'!#REF!</f>
        <v>#REF!</v>
      </c>
      <c r="L50" s="98" t="e">
        <f>'Transmission Line Construct SC'!#REF!</f>
        <v>#REF!</v>
      </c>
      <c r="M50" s="98" t="e">
        <f>'Transmission Line Construct SC'!#REF!</f>
        <v>#REF!</v>
      </c>
      <c r="N50" s="98" t="e">
        <f>'Transmission Line Construct SC'!#REF!</f>
        <v>#REF!</v>
      </c>
      <c r="O50" s="98" t="e">
        <f>'Transmission Line Construct SC'!#REF!</f>
        <v>#REF!</v>
      </c>
      <c r="P50" s="98" t="e">
        <f>'Transmission Line Construct SC'!#REF!</f>
        <v>#REF!</v>
      </c>
      <c r="Q50" s="98" t="e">
        <f>'Transmission Line Construct SC'!#REF!</f>
        <v>#REF!</v>
      </c>
      <c r="R50" s="98" t="e">
        <f>'Transmission Line Construct SC'!#REF!</f>
        <v>#REF!</v>
      </c>
      <c r="S50" s="98" t="e">
        <f>'Transmission Line Construct SC'!#REF!</f>
        <v>#REF!</v>
      </c>
    </row>
    <row r="51" spans="1:19" hidden="1" x14ac:dyDescent="0.25">
      <c r="A51" s="611" t="s">
        <v>122</v>
      </c>
      <c r="B51" s="98" t="e">
        <f>'Transmission Line Construct SC'!#REF!</f>
        <v>#REF!</v>
      </c>
      <c r="C51" s="98" t="e">
        <f>'Transmission Line Construct SC'!#REF!</f>
        <v>#REF!</v>
      </c>
      <c r="D51" s="98" t="e">
        <f>'Transmission Line Construct SC'!#REF!</f>
        <v>#REF!</v>
      </c>
      <c r="E51" s="98" t="e">
        <f>'Transmission Line Construct SC'!#REF!</f>
        <v>#REF!</v>
      </c>
      <c r="F51" s="98" t="e">
        <f>'Transmission Line Construct SC'!#REF!</f>
        <v>#REF!</v>
      </c>
      <c r="G51" s="98" t="e">
        <f>'Transmission Line Construct SC'!#REF!</f>
        <v>#REF!</v>
      </c>
      <c r="H51" s="98" t="e">
        <f>'Transmission Line Construct SC'!#REF!</f>
        <v>#REF!</v>
      </c>
      <c r="I51" s="98" t="e">
        <f>'Transmission Line Construct SC'!#REF!</f>
        <v>#REF!</v>
      </c>
      <c r="J51" s="98" t="e">
        <f>'Transmission Line Construct SC'!#REF!</f>
        <v>#REF!</v>
      </c>
      <c r="K51" s="98" t="e">
        <f>'Transmission Line Construct SC'!#REF!</f>
        <v>#REF!</v>
      </c>
      <c r="L51" s="98" t="e">
        <f>'Transmission Line Construct SC'!#REF!</f>
        <v>#REF!</v>
      </c>
      <c r="M51" s="98" t="e">
        <f>'Transmission Line Construct SC'!#REF!</f>
        <v>#REF!</v>
      </c>
      <c r="N51" s="98" t="e">
        <f>'Transmission Line Construct SC'!#REF!</f>
        <v>#REF!</v>
      </c>
      <c r="O51" s="98" t="e">
        <f>'Transmission Line Construct SC'!#REF!</f>
        <v>#REF!</v>
      </c>
      <c r="P51" s="98" t="e">
        <f>'Transmission Line Construct SC'!#REF!</f>
        <v>#REF!</v>
      </c>
      <c r="Q51" s="98" t="e">
        <f>'Transmission Line Construct SC'!#REF!</f>
        <v>#REF!</v>
      </c>
      <c r="R51" s="98" t="e">
        <f>'Transmission Line Construct SC'!#REF!</f>
        <v>#REF!</v>
      </c>
      <c r="S51" s="98" t="e">
        <f>'Transmission Line Construct SC'!#REF!</f>
        <v>#REF!</v>
      </c>
    </row>
    <row r="52" spans="1:19" hidden="1" x14ac:dyDescent="0.25">
      <c r="A52" s="3" t="s">
        <v>123</v>
      </c>
      <c r="B52" s="103" t="e">
        <f>'Transmission Line Construct SC'!#REF!</f>
        <v>#REF!</v>
      </c>
      <c r="C52" s="103" t="e">
        <f>'Transmission Line Construct SC'!#REF!</f>
        <v>#REF!</v>
      </c>
      <c r="D52" s="103" t="e">
        <f>'Transmission Line Construct SC'!#REF!</f>
        <v>#REF!</v>
      </c>
      <c r="E52" s="103" t="e">
        <f>'Transmission Line Construct SC'!#REF!</f>
        <v>#REF!</v>
      </c>
      <c r="F52" s="103" t="e">
        <f>'Transmission Line Construct SC'!#REF!</f>
        <v>#REF!</v>
      </c>
      <c r="G52" s="103" t="e">
        <f>'Transmission Line Construct SC'!#REF!</f>
        <v>#REF!</v>
      </c>
      <c r="H52" s="103" t="e">
        <f>'Transmission Line Construct SC'!#REF!</f>
        <v>#REF!</v>
      </c>
      <c r="I52" s="103" t="e">
        <f>'Transmission Line Construct SC'!#REF!</f>
        <v>#REF!</v>
      </c>
      <c r="J52" s="103" t="e">
        <f>'Transmission Line Construct SC'!#REF!</f>
        <v>#REF!</v>
      </c>
      <c r="K52" s="103" t="e">
        <f>'Transmission Line Construct SC'!#REF!</f>
        <v>#REF!</v>
      </c>
      <c r="L52" s="103" t="e">
        <f>'Transmission Line Construct SC'!#REF!</f>
        <v>#REF!</v>
      </c>
      <c r="M52" s="103" t="e">
        <f>'Transmission Line Construct SC'!#REF!</f>
        <v>#REF!</v>
      </c>
      <c r="N52" s="103" t="e">
        <f>'Transmission Line Construct SC'!#REF!</f>
        <v>#REF!</v>
      </c>
      <c r="O52" s="103" t="e">
        <f>'Transmission Line Construct SC'!#REF!</f>
        <v>#REF!</v>
      </c>
      <c r="P52" s="103" t="e">
        <f>'Transmission Line Construct SC'!#REF!</f>
        <v>#REF!</v>
      </c>
      <c r="Q52" s="103" t="e">
        <f>'Transmission Line Construct SC'!#REF!</f>
        <v>#REF!</v>
      </c>
      <c r="R52" s="103" t="e">
        <f>'Transmission Line Construct SC'!#REF!</f>
        <v>#REF!</v>
      </c>
      <c r="S52" s="103" t="e">
        <f>'Transmission Line Construct SC'!#REF!</f>
        <v>#REF!</v>
      </c>
    </row>
    <row r="53" spans="1:19" hidden="1" x14ac:dyDescent="0.25">
      <c r="A53" s="3" t="s">
        <v>343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hidden="1" x14ac:dyDescent="0.25">
      <c r="A54" s="611" t="s">
        <v>75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 hidden="1" x14ac:dyDescent="0.25">
      <c r="A55" s="611" t="s">
        <v>119</v>
      </c>
      <c r="B55" s="98">
        <f>'Equipment Trans Segment 1'!Q19+'Equipment Trans Segment 1'!Q26</f>
        <v>12.910469814494286</v>
      </c>
      <c r="C55" s="98">
        <f>'Equipment Trans Segment 1'!R19+'Equipment Trans Segment 1'!R26</f>
        <v>50.929190048204788</v>
      </c>
      <c r="D55" s="98">
        <f>'Equipment Trans Segment 1'!S19+'Equipment Trans Segment 1'!S26</f>
        <v>105.25310155451021</v>
      </c>
      <c r="E55" s="98">
        <f>'Equipment Trans Segment 1'!T19+'Equipment Trans Segment 1'!T26</f>
        <v>0.17729418414003106</v>
      </c>
      <c r="F55" s="98">
        <f>'Equipment Trans Segment 1'!U19+'Equipment Trans Segment 1'!U26</f>
        <v>4.0264218487561179</v>
      </c>
      <c r="G55" s="98">
        <f>'Equipment Trans Segment 1'!V19+'Equipment Trans Segment 1'!V26</f>
        <v>3.5835154453929445</v>
      </c>
      <c r="H55" s="98">
        <f>'Equipment Trans Segment 1'!W19+'Equipment Trans Segment 1'!W26</f>
        <v>16817.698093861985</v>
      </c>
      <c r="I55" s="98">
        <f>'Equipment Trans Segment 1'!X19+'Equipment Trans Segment 1'!X26</f>
        <v>1.2132828943789331</v>
      </c>
      <c r="J55" s="98">
        <f>'Equipment Trans Segment 1'!Y19+'Equipment Trans Segment 1'!Y26</f>
        <v>9.9990446476784705</v>
      </c>
      <c r="K55" s="98">
        <f>'Equipment Trans Segment 1'!E66+'Equipment Trans Segment 1'!E73</f>
        <v>0.27265802571435532</v>
      </c>
      <c r="L55" s="98">
        <f>'Equipment Trans Segment 1'!F66+'Equipment Trans Segment 1'!F73</f>
        <v>1.0559668466713434</v>
      </c>
      <c r="M55" s="98">
        <f>'Equipment Trans Segment 1'!G66+'Equipment Trans Segment 1'!G73</f>
        <v>2.2100021455431085</v>
      </c>
      <c r="N55" s="98">
        <f>'Equipment Trans Segment 1'!H66+'Equipment Trans Segment 1'!H73</f>
        <v>3.7959837204750283E-3</v>
      </c>
      <c r="O55" s="98">
        <f>'Equipment Trans Segment 1'!I66+'Equipment Trans Segment 1'!I73</f>
        <v>8.5296429717196712E-2</v>
      </c>
      <c r="P55" s="98">
        <f>'Equipment Trans Segment 1'!J66+'Equipment Trans Segment 1'!J73</f>
        <v>7.5913822448305079E-2</v>
      </c>
      <c r="Q55" s="98">
        <f>'Equipment Trans Segment 1'!K66+'Equipment Trans Segment 1'!K73</f>
        <v>354.49288130883349</v>
      </c>
      <c r="R55" s="98">
        <f>'Equipment Trans Segment 1'!L66+'Equipment Trans Segment 1'!L73</f>
        <v>2.5630171466739519E-2</v>
      </c>
      <c r="S55" s="98">
        <f>'Equipment Trans Segment 1'!M66+'Equipment Trans Segment 1'!M73</f>
        <v>0.20995020382659527</v>
      </c>
    </row>
    <row r="56" spans="1:19" hidden="1" x14ac:dyDescent="0.25">
      <c r="A56" s="611" t="s">
        <v>120</v>
      </c>
      <c r="B56" s="98" t="e">
        <f>'Transmission Line Construct SC'!#REF!</f>
        <v>#REF!</v>
      </c>
      <c r="C56" s="98" t="e">
        <f>'Transmission Line Construct SC'!#REF!</f>
        <v>#REF!</v>
      </c>
      <c r="D56" s="98" t="e">
        <f>'Transmission Line Construct SC'!#REF!</f>
        <v>#REF!</v>
      </c>
      <c r="E56" s="98" t="e">
        <f>'Transmission Line Construct SC'!#REF!</f>
        <v>#REF!</v>
      </c>
      <c r="F56" s="98" t="e">
        <f>'Transmission Line Construct SC'!#REF!</f>
        <v>#REF!</v>
      </c>
      <c r="G56" s="98" t="e">
        <f>'Transmission Line Construct SC'!#REF!</f>
        <v>#REF!</v>
      </c>
      <c r="H56" s="98" t="e">
        <f>'Transmission Line Construct SC'!#REF!</f>
        <v>#REF!</v>
      </c>
      <c r="I56" s="98" t="e">
        <f>'Transmission Line Construct SC'!#REF!</f>
        <v>#REF!</v>
      </c>
      <c r="J56" s="98" t="e">
        <f>'Transmission Line Construct SC'!#REF!</f>
        <v>#REF!</v>
      </c>
      <c r="K56" s="98" t="e">
        <f>'Transmission Line Construct SC'!#REF!</f>
        <v>#REF!</v>
      </c>
      <c r="L56" s="98" t="e">
        <f>'Transmission Line Construct SC'!#REF!</f>
        <v>#REF!</v>
      </c>
      <c r="M56" s="98" t="e">
        <f>'Transmission Line Construct SC'!#REF!</f>
        <v>#REF!</v>
      </c>
      <c r="N56" s="98" t="e">
        <f>'Transmission Line Construct SC'!#REF!</f>
        <v>#REF!</v>
      </c>
      <c r="O56" s="98" t="e">
        <f>'Transmission Line Construct SC'!#REF!</f>
        <v>#REF!</v>
      </c>
      <c r="P56" s="98" t="e">
        <f>'Transmission Line Construct SC'!#REF!</f>
        <v>#REF!</v>
      </c>
      <c r="Q56" s="98" t="e">
        <f>'Transmission Line Construct SC'!#REF!</f>
        <v>#REF!</v>
      </c>
      <c r="R56" s="98" t="e">
        <f>'Transmission Line Construct SC'!#REF!</f>
        <v>#REF!</v>
      </c>
      <c r="S56" s="98" t="e">
        <f>'Transmission Line Construct SC'!#REF!</f>
        <v>#REF!</v>
      </c>
    </row>
    <row r="57" spans="1:19" hidden="1" x14ac:dyDescent="0.25">
      <c r="A57" s="611" t="s">
        <v>121</v>
      </c>
      <c r="B57" s="98" t="e">
        <f>'Transmission Line Construct SC'!#REF!</f>
        <v>#REF!</v>
      </c>
      <c r="C57" s="98" t="e">
        <f>'Transmission Line Construct SC'!#REF!</f>
        <v>#REF!</v>
      </c>
      <c r="D57" s="98" t="e">
        <f>'Transmission Line Construct SC'!#REF!</f>
        <v>#REF!</v>
      </c>
      <c r="E57" s="98" t="e">
        <f>'Transmission Line Construct SC'!#REF!</f>
        <v>#REF!</v>
      </c>
      <c r="F57" s="98" t="e">
        <f>'Transmission Line Construct SC'!#REF!</f>
        <v>#REF!</v>
      </c>
      <c r="G57" s="98" t="e">
        <f>'Transmission Line Construct SC'!#REF!</f>
        <v>#REF!</v>
      </c>
      <c r="H57" s="98" t="e">
        <f>'Transmission Line Construct SC'!#REF!</f>
        <v>#REF!</v>
      </c>
      <c r="I57" s="98" t="e">
        <f>'Transmission Line Construct SC'!#REF!</f>
        <v>#REF!</v>
      </c>
      <c r="J57" s="98" t="e">
        <f>'Transmission Line Construct SC'!#REF!</f>
        <v>#REF!</v>
      </c>
      <c r="K57" s="98" t="e">
        <f>'Transmission Line Construct SC'!#REF!</f>
        <v>#REF!</v>
      </c>
      <c r="L57" s="98" t="e">
        <f>'Transmission Line Construct SC'!#REF!</f>
        <v>#REF!</v>
      </c>
      <c r="M57" s="98" t="e">
        <f>'Transmission Line Construct SC'!#REF!</f>
        <v>#REF!</v>
      </c>
      <c r="N57" s="98" t="e">
        <f>'Transmission Line Construct SC'!#REF!</f>
        <v>#REF!</v>
      </c>
      <c r="O57" s="98" t="e">
        <f>'Transmission Line Construct SC'!#REF!</f>
        <v>#REF!</v>
      </c>
      <c r="P57" s="98" t="e">
        <f>'Transmission Line Construct SC'!#REF!</f>
        <v>#REF!</v>
      </c>
      <c r="Q57" s="98" t="e">
        <f>'Transmission Line Construct SC'!#REF!</f>
        <v>#REF!</v>
      </c>
      <c r="R57" s="98" t="e">
        <f>'Transmission Line Construct SC'!#REF!</f>
        <v>#REF!</v>
      </c>
      <c r="S57" s="98" t="e">
        <f>'Transmission Line Construct SC'!#REF!</f>
        <v>#REF!</v>
      </c>
    </row>
    <row r="58" spans="1:19" hidden="1" x14ac:dyDescent="0.25">
      <c r="A58" s="611" t="s">
        <v>122</v>
      </c>
      <c r="B58" s="98" t="e">
        <f>'Transmission Line Construct SC'!#REF!</f>
        <v>#REF!</v>
      </c>
      <c r="C58" s="98" t="e">
        <f>'Transmission Line Construct SC'!#REF!</f>
        <v>#REF!</v>
      </c>
      <c r="D58" s="98" t="e">
        <f>'Transmission Line Construct SC'!#REF!</f>
        <v>#REF!</v>
      </c>
      <c r="E58" s="98" t="e">
        <f>'Transmission Line Construct SC'!#REF!</f>
        <v>#REF!</v>
      </c>
      <c r="F58" s="98" t="e">
        <f>'Transmission Line Construct SC'!#REF!</f>
        <v>#REF!</v>
      </c>
      <c r="G58" s="98" t="e">
        <f>'Transmission Line Construct SC'!#REF!</f>
        <v>#REF!</v>
      </c>
      <c r="H58" s="98" t="e">
        <f>'Transmission Line Construct SC'!#REF!</f>
        <v>#REF!</v>
      </c>
      <c r="I58" s="98" t="e">
        <f>'Transmission Line Construct SC'!#REF!</f>
        <v>#REF!</v>
      </c>
      <c r="J58" s="98" t="e">
        <f>'Transmission Line Construct SC'!#REF!</f>
        <v>#REF!</v>
      </c>
      <c r="K58" s="98" t="e">
        <f>'Transmission Line Construct SC'!#REF!</f>
        <v>#REF!</v>
      </c>
      <c r="L58" s="98" t="e">
        <f>'Transmission Line Construct SC'!#REF!</f>
        <v>#REF!</v>
      </c>
      <c r="M58" s="98" t="e">
        <f>'Transmission Line Construct SC'!#REF!</f>
        <v>#REF!</v>
      </c>
      <c r="N58" s="98" t="e">
        <f>'Transmission Line Construct SC'!#REF!</f>
        <v>#REF!</v>
      </c>
      <c r="O58" s="98" t="e">
        <f>'Transmission Line Construct SC'!#REF!</f>
        <v>#REF!</v>
      </c>
      <c r="P58" s="98" t="e">
        <f>'Transmission Line Construct SC'!#REF!</f>
        <v>#REF!</v>
      </c>
      <c r="Q58" s="98" t="e">
        <f>'Transmission Line Construct SC'!#REF!</f>
        <v>#REF!</v>
      </c>
      <c r="R58" s="98" t="e">
        <f>'Transmission Line Construct SC'!#REF!</f>
        <v>#REF!</v>
      </c>
      <c r="S58" s="98" t="e">
        <f>'Transmission Line Construct SC'!#REF!</f>
        <v>#REF!</v>
      </c>
    </row>
    <row r="59" spans="1:19" hidden="1" x14ac:dyDescent="0.25">
      <c r="A59" s="3" t="s">
        <v>123</v>
      </c>
      <c r="B59" s="103" t="e">
        <f>'Transmission Line Construct SC'!#REF!</f>
        <v>#REF!</v>
      </c>
      <c r="C59" s="103" t="e">
        <f>'Transmission Line Construct SC'!#REF!</f>
        <v>#REF!</v>
      </c>
      <c r="D59" s="103" t="e">
        <f>'Transmission Line Construct SC'!#REF!</f>
        <v>#REF!</v>
      </c>
      <c r="E59" s="103" t="e">
        <f>'Transmission Line Construct SC'!#REF!</f>
        <v>#REF!</v>
      </c>
      <c r="F59" s="103" t="e">
        <f>'Transmission Line Construct SC'!#REF!</f>
        <v>#REF!</v>
      </c>
      <c r="G59" s="103" t="e">
        <f>'Transmission Line Construct SC'!#REF!</f>
        <v>#REF!</v>
      </c>
      <c r="H59" s="103" t="e">
        <f>'Transmission Line Construct SC'!#REF!</f>
        <v>#REF!</v>
      </c>
      <c r="I59" s="103" t="e">
        <f>'Transmission Line Construct SC'!#REF!</f>
        <v>#REF!</v>
      </c>
      <c r="J59" s="103" t="e">
        <f>'Transmission Line Construct SC'!#REF!</f>
        <v>#REF!</v>
      </c>
      <c r="K59" s="103" t="e">
        <f>'Transmission Line Construct SC'!#REF!</f>
        <v>#REF!</v>
      </c>
      <c r="L59" s="103" t="e">
        <f>'Transmission Line Construct SC'!#REF!</f>
        <v>#REF!</v>
      </c>
      <c r="M59" s="103" t="e">
        <f>'Transmission Line Construct SC'!#REF!</f>
        <v>#REF!</v>
      </c>
      <c r="N59" s="103" t="e">
        <f>'Transmission Line Construct SC'!#REF!</f>
        <v>#REF!</v>
      </c>
      <c r="O59" s="103" t="e">
        <f>'Transmission Line Construct SC'!#REF!</f>
        <v>#REF!</v>
      </c>
      <c r="P59" s="103" t="e">
        <f>'Transmission Line Construct SC'!#REF!</f>
        <v>#REF!</v>
      </c>
      <c r="Q59" s="103" t="e">
        <f>'Transmission Line Construct SC'!#REF!</f>
        <v>#REF!</v>
      </c>
      <c r="R59" s="103" t="e">
        <f>'Transmission Line Construct SC'!#REF!</f>
        <v>#REF!</v>
      </c>
      <c r="S59" s="103" t="e">
        <f>'Transmission Line Construct SC'!#REF!</f>
        <v>#REF!</v>
      </c>
    </row>
    <row r="60" spans="1:19" hidden="1" x14ac:dyDescent="0.25">
      <c r="A60" s="3" t="s">
        <v>339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 hidden="1" x14ac:dyDescent="0.25">
      <c r="A61" s="611" t="s">
        <v>75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 hidden="1" x14ac:dyDescent="0.25">
      <c r="A62" s="611" t="s">
        <v>119</v>
      </c>
      <c r="B62" s="98">
        <f>'Equipment Trans Talega Seg 4 23'!Q19+'Equipment Trans Talega Seg 4 23'!Q26</f>
        <v>10.573920197837824</v>
      </c>
      <c r="C62" s="98">
        <f>'Equipment Trans Talega Seg 4 23'!R19+'Equipment Trans Talega Seg 4 23'!R26</f>
        <v>44.244993856164179</v>
      </c>
      <c r="D62" s="98">
        <f>'Equipment Trans Talega Seg 4 23'!S19+'Equipment Trans Talega Seg 4 23'!S26</f>
        <v>85.737394220241626</v>
      </c>
      <c r="E62" s="98">
        <f>'Equipment Trans Talega Seg 4 23'!T19+'Equipment Trans Talega Seg 4 23'!T26</f>
        <v>0.1487513827033628</v>
      </c>
      <c r="F62" s="98">
        <f>'Equipment Trans Talega Seg 4 23'!U19+'Equipment Trans Talega Seg 4 23'!U26</f>
        <v>3.3229130154916553</v>
      </c>
      <c r="G62" s="98">
        <f>'Equipment Trans Talega Seg 4 23'!V19+'Equipment Trans Talega Seg 4 23'!V26</f>
        <v>2.957392583787573</v>
      </c>
      <c r="H62" s="98">
        <f>'Equipment Trans Talega Seg 4 23'!W19+'Equipment Trans Talega Seg 4 23'!W26</f>
        <v>13877.804562409867</v>
      </c>
      <c r="I62" s="98">
        <f>'Equipment Trans Talega Seg 4 23'!X19+'Equipment Trans Talega Seg 4 23'!X26</f>
        <v>0.99372122613022951</v>
      </c>
      <c r="J62" s="98">
        <f>'Equipment Trans Talega Seg 4 23'!Y19+'Equipment Trans Talega Seg 4 23'!Y26</f>
        <v>8.1450524509229556</v>
      </c>
      <c r="K62" s="98">
        <f>'Equipment Trans Talega Seg 4 23'!E65+'Equipment Trans Talega Seg 4 23'!E72</f>
        <v>0.16253387828226218</v>
      </c>
      <c r="L62" s="98">
        <f>'Equipment Trans Talega Seg 4 23'!F65+'Equipment Trans Talega Seg 4 23'!F72</f>
        <v>0.66890064955669826</v>
      </c>
      <c r="M62" s="98">
        <f>'Equipment Trans Talega Seg 4 23'!G65+'Equipment Trans Talega Seg 4 23'!G72</f>
        <v>1.3134677028583459</v>
      </c>
      <c r="N62" s="98">
        <f>'Equipment Trans Talega Seg 4 23'!H65+'Equipment Trans Talega Seg 4 23'!H72</f>
        <v>2.4631212497317951E-3</v>
      </c>
      <c r="O62" s="98">
        <f>'Equipment Trans Talega Seg 4 23'!I65+'Equipment Trans Talega Seg 4 23'!I72</f>
        <v>4.956859309436449E-2</v>
      </c>
      <c r="P62" s="98">
        <f>'Equipment Trans Talega Seg 4 23'!J65+'Equipment Trans Talega Seg 4 23'!J72</f>
        <v>4.4116047853984396E-2</v>
      </c>
      <c r="Q62" s="98">
        <f>'Equipment Trans Talega Seg 4 23'!K65+'Equipment Trans Talega Seg 4 23'!K72</f>
        <v>224.48687779990229</v>
      </c>
      <c r="R62" s="98">
        <f>'Equipment Trans Talega Seg 4 23'!L65+'Equipment Trans Talega Seg 4 23'!L72</f>
        <v>1.5271022146888039E-2</v>
      </c>
      <c r="S62" s="98">
        <f>'Equipment Trans Talega Seg 4 23'!M65+'Equipment Trans Talega Seg 4 23'!M72</f>
        <v>0.12477943177154285</v>
      </c>
    </row>
    <row r="63" spans="1:19" hidden="1" x14ac:dyDescent="0.25">
      <c r="A63" s="611" t="s">
        <v>120</v>
      </c>
      <c r="B63" s="98" t="e">
        <f>'Transmission Line Construct SC'!#REF!</f>
        <v>#REF!</v>
      </c>
      <c r="C63" s="98" t="e">
        <f>'Transmission Line Construct SC'!#REF!</f>
        <v>#REF!</v>
      </c>
      <c r="D63" s="98" t="e">
        <f>'Transmission Line Construct SC'!#REF!</f>
        <v>#REF!</v>
      </c>
      <c r="E63" s="98" t="e">
        <f>'Transmission Line Construct SC'!#REF!</f>
        <v>#REF!</v>
      </c>
      <c r="F63" s="98" t="e">
        <f>'Transmission Line Construct SC'!#REF!</f>
        <v>#REF!</v>
      </c>
      <c r="G63" s="98" t="e">
        <f>'Transmission Line Construct SC'!#REF!</f>
        <v>#REF!</v>
      </c>
      <c r="H63" s="98" t="e">
        <f>'Transmission Line Construct SC'!#REF!</f>
        <v>#REF!</v>
      </c>
      <c r="I63" s="98" t="e">
        <f>'Transmission Line Construct SC'!#REF!</f>
        <v>#REF!</v>
      </c>
      <c r="J63" s="98" t="e">
        <f>'Transmission Line Construct SC'!#REF!</f>
        <v>#REF!</v>
      </c>
      <c r="K63" s="98" t="e">
        <f>'Transmission Line Construct SC'!#REF!</f>
        <v>#REF!</v>
      </c>
      <c r="L63" s="98" t="e">
        <f>'Transmission Line Construct SC'!#REF!</f>
        <v>#REF!</v>
      </c>
      <c r="M63" s="98" t="e">
        <f>'Transmission Line Construct SC'!#REF!</f>
        <v>#REF!</v>
      </c>
      <c r="N63" s="98" t="e">
        <f>'Transmission Line Construct SC'!#REF!</f>
        <v>#REF!</v>
      </c>
      <c r="O63" s="98" t="e">
        <f>'Transmission Line Construct SC'!#REF!</f>
        <v>#REF!</v>
      </c>
      <c r="P63" s="98" t="e">
        <f>'Transmission Line Construct SC'!#REF!</f>
        <v>#REF!</v>
      </c>
      <c r="Q63" s="98" t="e">
        <f>'Transmission Line Construct SC'!#REF!</f>
        <v>#REF!</v>
      </c>
      <c r="R63" s="98" t="e">
        <f>'Transmission Line Construct SC'!#REF!</f>
        <v>#REF!</v>
      </c>
      <c r="S63" s="98" t="e">
        <f>'Transmission Line Construct SC'!#REF!</f>
        <v>#REF!</v>
      </c>
    </row>
    <row r="64" spans="1:19" hidden="1" x14ac:dyDescent="0.25">
      <c r="A64" s="611" t="s">
        <v>121</v>
      </c>
      <c r="B64" s="98" t="e">
        <f>'Transmission Line Construct SC'!#REF!</f>
        <v>#REF!</v>
      </c>
      <c r="C64" s="98" t="e">
        <f>'Transmission Line Construct SC'!#REF!</f>
        <v>#REF!</v>
      </c>
      <c r="D64" s="98" t="e">
        <f>'Transmission Line Construct SC'!#REF!</f>
        <v>#REF!</v>
      </c>
      <c r="E64" s="98" t="e">
        <f>'Transmission Line Construct SC'!#REF!</f>
        <v>#REF!</v>
      </c>
      <c r="F64" s="98" t="e">
        <f>'Transmission Line Construct SC'!#REF!</f>
        <v>#REF!</v>
      </c>
      <c r="G64" s="98" t="e">
        <f>'Transmission Line Construct SC'!#REF!</f>
        <v>#REF!</v>
      </c>
      <c r="H64" s="98" t="e">
        <f>'Transmission Line Construct SC'!#REF!</f>
        <v>#REF!</v>
      </c>
      <c r="I64" s="98" t="e">
        <f>'Transmission Line Construct SC'!#REF!</f>
        <v>#REF!</v>
      </c>
      <c r="J64" s="98" t="e">
        <f>'Transmission Line Construct SC'!#REF!</f>
        <v>#REF!</v>
      </c>
      <c r="K64" s="98" t="e">
        <f>'Transmission Line Construct SC'!#REF!</f>
        <v>#REF!</v>
      </c>
      <c r="L64" s="98" t="e">
        <f>'Transmission Line Construct SC'!#REF!</f>
        <v>#REF!</v>
      </c>
      <c r="M64" s="98" t="e">
        <f>'Transmission Line Construct SC'!#REF!</f>
        <v>#REF!</v>
      </c>
      <c r="N64" s="98" t="e">
        <f>'Transmission Line Construct SC'!#REF!</f>
        <v>#REF!</v>
      </c>
      <c r="O64" s="98" t="e">
        <f>'Transmission Line Construct SC'!#REF!</f>
        <v>#REF!</v>
      </c>
      <c r="P64" s="98" t="e">
        <f>'Transmission Line Construct SC'!#REF!</f>
        <v>#REF!</v>
      </c>
      <c r="Q64" s="98" t="e">
        <f>'Transmission Line Construct SC'!#REF!</f>
        <v>#REF!</v>
      </c>
      <c r="R64" s="98" t="e">
        <f>'Transmission Line Construct SC'!#REF!</f>
        <v>#REF!</v>
      </c>
      <c r="S64" s="98" t="e">
        <f>'Transmission Line Construct SC'!#REF!</f>
        <v>#REF!</v>
      </c>
    </row>
    <row r="65" spans="1:19" hidden="1" x14ac:dyDescent="0.25">
      <c r="A65" s="611" t="s">
        <v>122</v>
      </c>
      <c r="B65" s="98" t="e">
        <f>'Transmission Line Construct SC'!#REF!</f>
        <v>#REF!</v>
      </c>
      <c r="C65" s="98" t="e">
        <f>'Transmission Line Construct SC'!#REF!</f>
        <v>#REF!</v>
      </c>
      <c r="D65" s="98" t="e">
        <f>'Transmission Line Construct SC'!#REF!</f>
        <v>#REF!</v>
      </c>
      <c r="E65" s="98" t="e">
        <f>'Transmission Line Construct SC'!#REF!</f>
        <v>#REF!</v>
      </c>
      <c r="F65" s="98" t="e">
        <f>'Transmission Line Construct SC'!#REF!</f>
        <v>#REF!</v>
      </c>
      <c r="G65" s="98" t="e">
        <f>'Transmission Line Construct SC'!#REF!</f>
        <v>#REF!</v>
      </c>
      <c r="H65" s="98" t="e">
        <f>'Transmission Line Construct SC'!#REF!</f>
        <v>#REF!</v>
      </c>
      <c r="I65" s="98" t="e">
        <f>'Transmission Line Construct SC'!#REF!</f>
        <v>#REF!</v>
      </c>
      <c r="J65" s="98" t="e">
        <f>'Transmission Line Construct SC'!#REF!</f>
        <v>#REF!</v>
      </c>
      <c r="K65" s="98" t="e">
        <f>'Transmission Line Construct SC'!#REF!</f>
        <v>#REF!</v>
      </c>
      <c r="L65" s="98" t="e">
        <f>'Transmission Line Construct SC'!#REF!</f>
        <v>#REF!</v>
      </c>
      <c r="M65" s="98" t="e">
        <f>'Transmission Line Construct SC'!#REF!</f>
        <v>#REF!</v>
      </c>
      <c r="N65" s="98" t="e">
        <f>'Transmission Line Construct SC'!#REF!</f>
        <v>#REF!</v>
      </c>
      <c r="O65" s="98" t="e">
        <f>'Transmission Line Construct SC'!#REF!</f>
        <v>#REF!</v>
      </c>
      <c r="P65" s="98" t="e">
        <f>'Transmission Line Construct SC'!#REF!</f>
        <v>#REF!</v>
      </c>
      <c r="Q65" s="98" t="e">
        <f>'Transmission Line Construct SC'!#REF!</f>
        <v>#REF!</v>
      </c>
      <c r="R65" s="98" t="e">
        <f>'Transmission Line Construct SC'!#REF!</f>
        <v>#REF!</v>
      </c>
      <c r="S65" s="98" t="e">
        <f>'Transmission Line Construct SC'!#REF!</f>
        <v>#REF!</v>
      </c>
    </row>
    <row r="66" spans="1:19" hidden="1" x14ac:dyDescent="0.25">
      <c r="A66" s="3" t="s">
        <v>123</v>
      </c>
      <c r="B66" s="103" t="e">
        <f>'Transmission Line Construct SC'!#REF!</f>
        <v>#REF!</v>
      </c>
      <c r="C66" s="103" t="e">
        <f>'Transmission Line Construct SC'!#REF!</f>
        <v>#REF!</v>
      </c>
      <c r="D66" s="103" t="e">
        <f>'Transmission Line Construct SC'!#REF!</f>
        <v>#REF!</v>
      </c>
      <c r="E66" s="103" t="e">
        <f>'Transmission Line Construct SC'!#REF!</f>
        <v>#REF!</v>
      </c>
      <c r="F66" s="103" t="e">
        <f>'Transmission Line Construct SC'!#REF!</f>
        <v>#REF!</v>
      </c>
      <c r="G66" s="103" t="e">
        <f>'Transmission Line Construct SC'!#REF!</f>
        <v>#REF!</v>
      </c>
      <c r="H66" s="103" t="e">
        <f>'Transmission Line Construct SC'!#REF!</f>
        <v>#REF!</v>
      </c>
      <c r="I66" s="103" t="e">
        <f>'Transmission Line Construct SC'!#REF!</f>
        <v>#REF!</v>
      </c>
      <c r="J66" s="103" t="e">
        <f>'Transmission Line Construct SC'!#REF!</f>
        <v>#REF!</v>
      </c>
      <c r="K66" s="103" t="e">
        <f>'Transmission Line Construct SC'!#REF!</f>
        <v>#REF!</v>
      </c>
      <c r="L66" s="103" t="e">
        <f>'Transmission Line Construct SC'!#REF!</f>
        <v>#REF!</v>
      </c>
      <c r="M66" s="103" t="e">
        <f>'Transmission Line Construct SC'!#REF!</f>
        <v>#REF!</v>
      </c>
      <c r="N66" s="103" t="e">
        <f>'Transmission Line Construct SC'!#REF!</f>
        <v>#REF!</v>
      </c>
      <c r="O66" s="103" t="e">
        <f>'Transmission Line Construct SC'!#REF!</f>
        <v>#REF!</v>
      </c>
      <c r="P66" s="103" t="e">
        <f>'Transmission Line Construct SC'!#REF!</f>
        <v>#REF!</v>
      </c>
      <c r="Q66" s="103" t="e">
        <f>'Transmission Line Construct SC'!#REF!</f>
        <v>#REF!</v>
      </c>
      <c r="R66" s="103" t="e">
        <f>'Transmission Line Construct SC'!#REF!</f>
        <v>#REF!</v>
      </c>
      <c r="S66" s="103" t="e">
        <f>'Transmission Line Construct SC'!#REF!</f>
        <v>#REF!</v>
      </c>
    </row>
    <row r="67" spans="1:19" hidden="1" x14ac:dyDescent="0.25">
      <c r="A67" s="3" t="s">
        <v>346</v>
      </c>
      <c r="B67" s="103" t="e">
        <f>B38+B45+B52+B59+B66</f>
        <v>#REF!</v>
      </c>
      <c r="C67" s="103" t="e">
        <f t="shared" ref="C67:S67" si="2">C38+C45+C52+C59+C66</f>
        <v>#REF!</v>
      </c>
      <c r="D67" s="103" t="e">
        <f t="shared" si="2"/>
        <v>#REF!</v>
      </c>
      <c r="E67" s="103" t="e">
        <f t="shared" si="2"/>
        <v>#REF!</v>
      </c>
      <c r="F67" s="103" t="e">
        <f t="shared" si="2"/>
        <v>#REF!</v>
      </c>
      <c r="G67" s="103" t="e">
        <f t="shared" si="2"/>
        <v>#REF!</v>
      </c>
      <c r="H67" s="103" t="e">
        <f t="shared" si="2"/>
        <v>#REF!</v>
      </c>
      <c r="I67" s="103" t="e">
        <f t="shared" si="2"/>
        <v>#REF!</v>
      </c>
      <c r="J67" s="103" t="e">
        <f t="shared" si="2"/>
        <v>#REF!</v>
      </c>
      <c r="K67" s="103" t="e">
        <f t="shared" si="2"/>
        <v>#REF!</v>
      </c>
      <c r="L67" s="103" t="e">
        <f t="shared" si="2"/>
        <v>#REF!</v>
      </c>
      <c r="M67" s="103" t="e">
        <f t="shared" si="2"/>
        <v>#REF!</v>
      </c>
      <c r="N67" s="103" t="e">
        <f t="shared" si="2"/>
        <v>#REF!</v>
      </c>
      <c r="O67" s="103" t="e">
        <f t="shared" si="2"/>
        <v>#REF!</v>
      </c>
      <c r="P67" s="103" t="e">
        <f t="shared" si="2"/>
        <v>#REF!</v>
      </c>
      <c r="Q67" s="103" t="e">
        <f t="shared" si="2"/>
        <v>#REF!</v>
      </c>
      <c r="R67" s="103" t="e">
        <f t="shared" si="2"/>
        <v>#REF!</v>
      </c>
      <c r="S67" s="103" t="e">
        <f t="shared" si="2"/>
        <v>#REF!</v>
      </c>
    </row>
    <row r="68" spans="1:19" hidden="1" x14ac:dyDescent="0.25">
      <c r="A68" s="97" t="s">
        <v>344</v>
      </c>
      <c r="B68" s="611">
        <v>75</v>
      </c>
      <c r="C68" s="611">
        <v>100</v>
      </c>
      <c r="D68" s="611">
        <v>550</v>
      </c>
      <c r="E68" s="611">
        <v>150</v>
      </c>
      <c r="F68" s="611">
        <v>150</v>
      </c>
      <c r="G68" s="611">
        <v>55</v>
      </c>
      <c r="H68" s="97" t="s">
        <v>345</v>
      </c>
      <c r="I68" s="97" t="s">
        <v>345</v>
      </c>
      <c r="J68" s="97" t="s">
        <v>345</v>
      </c>
      <c r="K68" s="97" t="s">
        <v>345</v>
      </c>
      <c r="L68" s="97" t="s">
        <v>345</v>
      </c>
      <c r="M68" s="97" t="s">
        <v>345</v>
      </c>
      <c r="N68" s="97" t="s">
        <v>345</v>
      </c>
      <c r="O68" s="97" t="s">
        <v>345</v>
      </c>
      <c r="P68" s="97" t="s">
        <v>345</v>
      </c>
      <c r="Q68" s="97" t="s">
        <v>345</v>
      </c>
      <c r="R68" s="97" t="s">
        <v>345</v>
      </c>
      <c r="S68" s="97" t="s">
        <v>345</v>
      </c>
    </row>
    <row r="69" spans="1:19" hidden="1" x14ac:dyDescent="0.25"/>
    <row r="70" spans="1:19" hidden="1" x14ac:dyDescent="0.25"/>
    <row r="71" spans="1:19" hidden="1" x14ac:dyDescent="0.25"/>
    <row r="72" spans="1:19" hidden="1" x14ac:dyDescent="0.25"/>
    <row r="73" spans="1:19" hidden="1" x14ac:dyDescent="0.25"/>
    <row r="74" spans="1:19" hidden="1" x14ac:dyDescent="0.25"/>
    <row r="75" spans="1:19" hidden="1" x14ac:dyDescent="0.25"/>
    <row r="76" spans="1:19" hidden="1" x14ac:dyDescent="0.25"/>
    <row r="77" spans="1:19" hidden="1" x14ac:dyDescent="0.25"/>
    <row r="78" spans="1:19" hidden="1" x14ac:dyDescent="0.25"/>
    <row r="79" spans="1:19" hidden="1" x14ac:dyDescent="0.25"/>
    <row r="80" spans="1:19" x14ac:dyDescent="0.25">
      <c r="A80" s="3" t="s">
        <v>338</v>
      </c>
    </row>
    <row r="81" spans="1:19" x14ac:dyDescent="0.25">
      <c r="A81" s="601" t="s">
        <v>644</v>
      </c>
    </row>
    <row r="82" spans="1:19" x14ac:dyDescent="0.25">
      <c r="A82" s="585">
        <v>2015</v>
      </c>
    </row>
    <row r="83" spans="1:19" ht="39.6" x14ac:dyDescent="0.25">
      <c r="A83" s="19" t="s">
        <v>132</v>
      </c>
      <c r="B83" s="16" t="s">
        <v>18</v>
      </c>
      <c r="C83" s="16" t="s">
        <v>19</v>
      </c>
      <c r="D83" s="16" t="s">
        <v>20</v>
      </c>
      <c r="E83" s="16" t="s">
        <v>21</v>
      </c>
      <c r="F83" s="16" t="s">
        <v>22</v>
      </c>
      <c r="G83" s="16" t="s">
        <v>23</v>
      </c>
      <c r="H83" s="17" t="s">
        <v>24</v>
      </c>
      <c r="I83" s="16" t="s">
        <v>25</v>
      </c>
      <c r="J83" s="16" t="s">
        <v>26</v>
      </c>
      <c r="K83" s="18" t="s">
        <v>27</v>
      </c>
      <c r="L83" s="18" t="s">
        <v>28</v>
      </c>
      <c r="M83" s="18" t="s">
        <v>29</v>
      </c>
      <c r="N83" s="18" t="s">
        <v>30</v>
      </c>
      <c r="O83" s="18" t="s">
        <v>31</v>
      </c>
      <c r="P83" s="18" t="s">
        <v>32</v>
      </c>
      <c r="Q83" s="17" t="s">
        <v>33</v>
      </c>
      <c r="R83" s="18" t="s">
        <v>34</v>
      </c>
      <c r="S83" s="18" t="s">
        <v>35</v>
      </c>
    </row>
    <row r="84" spans="1:19" x14ac:dyDescent="0.25">
      <c r="A84" s="19" t="s">
        <v>641</v>
      </c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</row>
    <row r="85" spans="1:19" x14ac:dyDescent="0.25">
      <c r="A85" s="27" t="str">
        <f>'Substation Construction SC'!A112</f>
        <v>Emissions, lbs/day</v>
      </c>
      <c r="B85" s="215"/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</row>
    <row r="86" spans="1:19" x14ac:dyDescent="0.25">
      <c r="A86" s="27" t="s">
        <v>119</v>
      </c>
      <c r="B86" s="215">
        <f>'Transmission Line Construct SD'!B5</f>
        <v>3.9652200741891841</v>
      </c>
      <c r="C86" s="215">
        <f>'Transmission Line Construct SD'!C5</f>
        <v>16.591872696061568</v>
      </c>
      <c r="D86" s="215">
        <f>'Transmission Line Construct SD'!D5</f>
        <v>32.151522832590608</v>
      </c>
      <c r="E86" s="215">
        <f>'Transmission Line Construct SD'!E5</f>
        <v>5.578176851376105E-2</v>
      </c>
      <c r="F86" s="215">
        <f>'Transmission Line Construct SD'!F5</f>
        <v>1.2460923808093707</v>
      </c>
      <c r="G86" s="215">
        <f>'Transmission Line Construct SD'!G5</f>
        <v>1.1090222189203398</v>
      </c>
      <c r="H86" s="215">
        <f>'Transmission Line Construct SD'!H5</f>
        <v>5204.1767109037</v>
      </c>
      <c r="I86" s="215">
        <f>'Transmission Line Construct SD'!I5</f>
        <v>0.37264545979883607</v>
      </c>
      <c r="J86" s="215">
        <f>'Transmission Line Construct SD'!J5</f>
        <v>3.0543946690961086</v>
      </c>
      <c r="K86" s="215">
        <f>'Transmission Line Construct SD'!K5</f>
        <v>6.0950204355848317E-2</v>
      </c>
      <c r="L86" s="215">
        <f>'Transmission Line Construct SD'!L5</f>
        <v>0.25083774358376187</v>
      </c>
      <c r="M86" s="215">
        <f>'Transmission Line Construct SD'!M5</f>
        <v>0.49255038857187972</v>
      </c>
      <c r="N86" s="215">
        <f>'Transmission Line Construct SD'!N5</f>
        <v>9.2367046864942322E-4</v>
      </c>
      <c r="O86" s="215">
        <f>'Transmission Line Construct SD'!O5</f>
        <v>1.8588222410386684E-2</v>
      </c>
      <c r="P86" s="215">
        <f>'Transmission Line Construct SD'!P5</f>
        <v>1.6543517945244147E-2</v>
      </c>
      <c r="Q86" s="215">
        <f>'Transmission Line Construct SD'!Q5</f>
        <v>84.182579174963365</v>
      </c>
      <c r="R86" s="215">
        <f>'Transmission Line Construct SD'!R5</f>
        <v>5.7266333050830145E-3</v>
      </c>
      <c r="S86" s="215">
        <f>'Transmission Line Construct SD'!S5</f>
        <v>4.6792286914328574E-2</v>
      </c>
    </row>
    <row r="87" spans="1:19" x14ac:dyDescent="0.25">
      <c r="A87" s="27" t="s">
        <v>120</v>
      </c>
      <c r="B87" s="215">
        <f>'Transmission Line Construct SD'!B6</f>
        <v>1.8492195915562476E-2</v>
      </c>
      <c r="C87" s="215">
        <f>'Transmission Line Construct SD'!C6</f>
        <v>0.18927744900065935</v>
      </c>
      <c r="D87" s="215">
        <f>'Transmission Line Construct SD'!D6</f>
        <v>1.7078715526963453E-2</v>
      </c>
      <c r="E87" s="215">
        <f>'Transmission Line Construct SD'!E6</f>
        <v>2.2518912660001328E-4</v>
      </c>
      <c r="F87" s="215">
        <f>'Transmission Line Construct SD'!F6</f>
        <v>5.3143718368974247E-3</v>
      </c>
      <c r="G87" s="215">
        <f>'Transmission Line Construct SD'!G6</f>
        <v>2.2698691442638468E-3</v>
      </c>
      <c r="H87" s="215">
        <f>'Transmission Line Construct SD'!H6</f>
        <v>18.146453776839248</v>
      </c>
      <c r="I87" s="215">
        <f>'Transmission Line Construct SD'!I6</f>
        <v>9.8495241116296445E-4</v>
      </c>
      <c r="J87" s="215">
        <f>'Transmission Line Construct SD'!J6</f>
        <v>1.7921614481990777E-3</v>
      </c>
      <c r="K87" s="215">
        <f>'Transmission Line Construct SD'!K6</f>
        <v>6.1024246521356178E-4</v>
      </c>
      <c r="L87" s="215">
        <f>'Transmission Line Construct SD'!L6</f>
        <v>6.246155817021759E-3</v>
      </c>
      <c r="M87" s="215">
        <f>'Transmission Line Construct SD'!M6</f>
        <v>5.6359761238979403E-4</v>
      </c>
      <c r="N87" s="215">
        <f>'Transmission Line Construct SD'!N6</f>
        <v>7.4312411778004375E-6</v>
      </c>
      <c r="O87" s="215">
        <f>'Transmission Line Construct SD'!O6</f>
        <v>1.7537427061761502E-4</v>
      </c>
      <c r="P87" s="215">
        <f>'Transmission Line Construct SD'!P6</f>
        <v>7.4905681760706959E-5</v>
      </c>
      <c r="Q87" s="215">
        <f>'Transmission Line Construct SD'!Q6</f>
        <v>0.59883297463569518</v>
      </c>
      <c r="R87" s="215">
        <f>'Transmission Line Construct SD'!R6</f>
        <v>3.2503429568377834E-5</v>
      </c>
      <c r="S87" s="215">
        <f>'Transmission Line Construct SD'!S6</f>
        <v>5.9141327790569558E-5</v>
      </c>
    </row>
    <row r="88" spans="1:19" x14ac:dyDescent="0.25">
      <c r="A88" s="27" t="s">
        <v>121</v>
      </c>
      <c r="B88" s="215">
        <f>'Transmission Line Construct SD'!B7</f>
        <v>1.2399509870512443E-2</v>
      </c>
      <c r="C88" s="215">
        <f>'Transmission Line Construct SD'!C7</f>
        <v>5.301627548072145E-2</v>
      </c>
      <c r="D88" s="215">
        <f>'Transmission Line Construct SD'!D7</f>
        <v>0.25088836116293323</v>
      </c>
      <c r="E88" s="215">
        <f>'Transmission Line Construct SD'!E7</f>
        <v>4.5274503761684096E-4</v>
      </c>
      <c r="F88" s="215">
        <f>'Transmission Line Construct SD'!F7</f>
        <v>1.0855102029230904E-2</v>
      </c>
      <c r="G88" s="215">
        <f>'Transmission Line Construct SD'!G7</f>
        <v>6.0807056797426741E-3</v>
      </c>
      <c r="H88" s="215">
        <f>'Transmission Line Construct SD'!H7</f>
        <v>71.566011173661039</v>
      </c>
      <c r="I88" s="215">
        <f>'Transmission Line Construct SD'!I7</f>
        <v>4.0894965764965126E-3</v>
      </c>
      <c r="J88" s="215">
        <f>'Transmission Line Construct SD'!J7</f>
        <v>1.8332349422245011E-3</v>
      </c>
      <c r="K88" s="215">
        <f>'Transmission Line Construct SD'!K7</f>
        <v>3.7617153240113925E-4</v>
      </c>
      <c r="L88" s="215">
        <f>'Transmission Line Construct SD'!L7</f>
        <v>1.6557461629519298E-3</v>
      </c>
      <c r="M88" s="215">
        <f>'Transmission Line Construct SD'!M7</f>
        <v>6.6636395030505915E-3</v>
      </c>
      <c r="N88" s="215">
        <f>'Transmission Line Construct SD'!N7</f>
        <v>1.2673872790213868E-5</v>
      </c>
      <c r="O88" s="215">
        <f>'Transmission Line Construct SD'!O7</f>
        <v>3.6010612719430577E-4</v>
      </c>
      <c r="P88" s="215">
        <f>'Transmission Line Construct SD'!P7</f>
        <v>2.1174938111189848E-4</v>
      </c>
      <c r="Q88" s="215">
        <f>'Transmission Line Construct SD'!Q7</f>
        <v>1.9353120968233291</v>
      </c>
      <c r="R88" s="215">
        <f>'Transmission Line Construct SD'!R7</f>
        <v>1.1058953914877549E-4</v>
      </c>
      <c r="S88" s="215">
        <f>'Transmission Line Construct SD'!S7</f>
        <v>4.9574954672226394E-5</v>
      </c>
    </row>
    <row r="89" spans="1:19" x14ac:dyDescent="0.25">
      <c r="A89" s="27" t="s">
        <v>122</v>
      </c>
      <c r="B89" s="215">
        <f>'Transmission Line Construct SD'!B8</f>
        <v>0</v>
      </c>
      <c r="C89" s="215">
        <f>'Transmission Line Construct SD'!C8</f>
        <v>0</v>
      </c>
      <c r="D89" s="215">
        <f>'Transmission Line Construct SD'!D8</f>
        <v>0</v>
      </c>
      <c r="E89" s="215">
        <f>'Transmission Line Construct SD'!E8</f>
        <v>0</v>
      </c>
      <c r="F89" s="215">
        <f>'Transmission Line Construct SD'!F8</f>
        <v>33.664200789237682</v>
      </c>
      <c r="G89" s="215">
        <f>'Transmission Line Construct SD'!G8</f>
        <v>10.045708467717198</v>
      </c>
      <c r="H89" s="215">
        <f>'Transmission Line Construct SD'!H8</f>
        <v>0</v>
      </c>
      <c r="I89" s="215">
        <f>'Transmission Line Construct SD'!I8</f>
        <v>0</v>
      </c>
      <c r="J89" s="215">
        <f>'Transmission Line Construct SD'!J8</f>
        <v>0</v>
      </c>
      <c r="K89" s="215">
        <f>'Transmission Line Construct SD'!K8</f>
        <v>0</v>
      </c>
      <c r="L89" s="215">
        <f>'Transmission Line Construct SD'!L8</f>
        <v>0</v>
      </c>
      <c r="M89" s="215">
        <f>'Transmission Line Construct SD'!M8</f>
        <v>0</v>
      </c>
      <c r="N89" s="215">
        <f>'Transmission Line Construct SD'!N8</f>
        <v>0</v>
      </c>
      <c r="O89" s="215">
        <f>'Transmission Line Construct SD'!O8</f>
        <v>1.4812248347264583</v>
      </c>
      <c r="P89" s="215">
        <f>'Transmission Line Construct SD'!P8</f>
        <v>0.44201117257955669</v>
      </c>
      <c r="Q89" s="215">
        <f>'Transmission Line Construct SD'!Q8</f>
        <v>0</v>
      </c>
      <c r="R89" s="215">
        <f>'Transmission Line Construct SD'!R8</f>
        <v>0</v>
      </c>
      <c r="S89" s="215">
        <f>'Transmission Line Construct SD'!S8</f>
        <v>0</v>
      </c>
    </row>
    <row r="90" spans="1:19" x14ac:dyDescent="0.25">
      <c r="A90" s="19" t="s">
        <v>123</v>
      </c>
      <c r="B90" s="22">
        <f>SUM(B86:B89)</f>
        <v>3.996111779975259</v>
      </c>
      <c r="C90" s="22">
        <f t="shared" ref="C90:S90" si="3">SUM(C86:C89)</f>
        <v>16.83416642054295</v>
      </c>
      <c r="D90" s="22">
        <f t="shared" si="3"/>
        <v>32.419489909280507</v>
      </c>
      <c r="E90" s="22">
        <f t="shared" si="3"/>
        <v>5.6459702677977903E-2</v>
      </c>
      <c r="F90" s="22">
        <f t="shared" si="3"/>
        <v>34.926462643913183</v>
      </c>
      <c r="G90" s="22">
        <f t="shared" si="3"/>
        <v>11.163081261461544</v>
      </c>
      <c r="H90" s="22">
        <f t="shared" si="3"/>
        <v>5293.8891758541995</v>
      </c>
      <c r="I90" s="22">
        <f t="shared" si="3"/>
        <v>0.37771990878649553</v>
      </c>
      <c r="J90" s="22">
        <f t="shared" si="3"/>
        <v>3.0580200654865322</v>
      </c>
      <c r="K90" s="22">
        <f t="shared" si="3"/>
        <v>6.1936618353463015E-2</v>
      </c>
      <c r="L90" s="22">
        <f t="shared" si="3"/>
        <v>0.25873964556373558</v>
      </c>
      <c r="M90" s="22">
        <f t="shared" si="3"/>
        <v>0.49977762568732009</v>
      </c>
      <c r="N90" s="22">
        <f t="shared" si="3"/>
        <v>9.4377558261743747E-4</v>
      </c>
      <c r="O90" s="22">
        <f t="shared" si="3"/>
        <v>1.5003485375346568</v>
      </c>
      <c r="P90" s="22">
        <f t="shared" si="3"/>
        <v>0.45884134558767342</v>
      </c>
      <c r="Q90" s="22">
        <f t="shared" si="3"/>
        <v>86.716724246422388</v>
      </c>
      <c r="R90" s="22">
        <f t="shared" si="3"/>
        <v>5.8697262738001679E-3</v>
      </c>
      <c r="S90" s="22">
        <f t="shared" si="3"/>
        <v>4.6901003196791372E-2</v>
      </c>
    </row>
    <row r="91" spans="1:19" x14ac:dyDescent="0.25">
      <c r="A91" s="19" t="s">
        <v>643</v>
      </c>
      <c r="B91" s="22">
        <f>B90</f>
        <v>3.996111779975259</v>
      </c>
      <c r="C91" s="22">
        <f t="shared" ref="C91:S91" si="4">C90</f>
        <v>16.83416642054295</v>
      </c>
      <c r="D91" s="22">
        <f t="shared" si="4"/>
        <v>32.419489909280507</v>
      </c>
      <c r="E91" s="22">
        <f t="shared" si="4"/>
        <v>5.6459702677977903E-2</v>
      </c>
      <c r="F91" s="22">
        <f t="shared" si="4"/>
        <v>34.926462643913183</v>
      </c>
      <c r="G91" s="22">
        <f t="shared" si="4"/>
        <v>11.163081261461544</v>
      </c>
      <c r="H91" s="22">
        <f t="shared" si="4"/>
        <v>5293.8891758541995</v>
      </c>
      <c r="I91" s="22">
        <f t="shared" si="4"/>
        <v>0.37771990878649553</v>
      </c>
      <c r="J91" s="22">
        <f t="shared" si="4"/>
        <v>3.0580200654865322</v>
      </c>
      <c r="K91" s="22">
        <f t="shared" si="4"/>
        <v>6.1936618353463015E-2</v>
      </c>
      <c r="L91" s="22">
        <f t="shared" si="4"/>
        <v>0.25873964556373558</v>
      </c>
      <c r="M91" s="22">
        <f t="shared" si="4"/>
        <v>0.49977762568732009</v>
      </c>
      <c r="N91" s="22">
        <f t="shared" si="4"/>
        <v>9.4377558261743747E-4</v>
      </c>
      <c r="O91" s="22">
        <f t="shared" si="4"/>
        <v>1.5003485375346568</v>
      </c>
      <c r="P91" s="22">
        <f t="shared" si="4"/>
        <v>0.45884134558767342</v>
      </c>
      <c r="Q91" s="22">
        <f t="shared" si="4"/>
        <v>86.716724246422388</v>
      </c>
      <c r="R91" s="22">
        <f t="shared" si="4"/>
        <v>5.8697262738001679E-3</v>
      </c>
      <c r="S91" s="22">
        <f t="shared" si="4"/>
        <v>4.6901003196791372E-2</v>
      </c>
    </row>
    <row r="92" spans="1:19" x14ac:dyDescent="0.25">
      <c r="A92" s="27" t="s">
        <v>344</v>
      </c>
      <c r="B92" s="213">
        <v>75</v>
      </c>
      <c r="C92" s="213">
        <v>550</v>
      </c>
      <c r="D92" s="213">
        <v>250</v>
      </c>
      <c r="E92" s="213">
        <v>150</v>
      </c>
      <c r="F92" s="213">
        <v>150</v>
      </c>
      <c r="G92" s="213">
        <v>55</v>
      </c>
      <c r="H92" s="27" t="s">
        <v>345</v>
      </c>
      <c r="I92" s="27" t="s">
        <v>345</v>
      </c>
      <c r="J92" s="27" t="s">
        <v>345</v>
      </c>
      <c r="K92" s="27" t="s">
        <v>345</v>
      </c>
      <c r="L92" s="27" t="s">
        <v>345</v>
      </c>
      <c r="M92" s="27" t="s">
        <v>345</v>
      </c>
      <c r="N92" s="27" t="s">
        <v>345</v>
      </c>
      <c r="O92" s="27" t="s">
        <v>345</v>
      </c>
      <c r="P92" s="27" t="s">
        <v>345</v>
      </c>
      <c r="Q92" s="27" t="s">
        <v>345</v>
      </c>
      <c r="R92" s="27" t="s">
        <v>345</v>
      </c>
      <c r="S92" s="27" t="s">
        <v>345</v>
      </c>
    </row>
    <row r="93" spans="1:19" x14ac:dyDescent="0.25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</row>
    <row r="94" spans="1:19" x14ac:dyDescent="0.25">
      <c r="A94" s="585">
        <v>2016</v>
      </c>
    </row>
    <row r="95" spans="1:19" ht="39.6" x14ac:dyDescent="0.25">
      <c r="A95" s="19" t="s">
        <v>132</v>
      </c>
      <c r="B95" s="16" t="s">
        <v>18</v>
      </c>
      <c r="C95" s="16" t="s">
        <v>19</v>
      </c>
      <c r="D95" s="16" t="s">
        <v>20</v>
      </c>
      <c r="E95" s="16" t="s">
        <v>21</v>
      </c>
      <c r="F95" s="16" t="s">
        <v>22</v>
      </c>
      <c r="G95" s="16" t="s">
        <v>23</v>
      </c>
      <c r="H95" s="17" t="s">
        <v>24</v>
      </c>
      <c r="I95" s="16" t="s">
        <v>25</v>
      </c>
      <c r="J95" s="16" t="s">
        <v>26</v>
      </c>
      <c r="K95" s="18" t="s">
        <v>27</v>
      </c>
      <c r="L95" s="18" t="s">
        <v>28</v>
      </c>
      <c r="M95" s="18" t="s">
        <v>29</v>
      </c>
      <c r="N95" s="18" t="s">
        <v>30</v>
      </c>
      <c r="O95" s="18" t="s">
        <v>31</v>
      </c>
      <c r="P95" s="18" t="s">
        <v>32</v>
      </c>
      <c r="Q95" s="17" t="s">
        <v>33</v>
      </c>
      <c r="R95" s="18" t="s">
        <v>34</v>
      </c>
      <c r="S95" s="18" t="s">
        <v>35</v>
      </c>
    </row>
    <row r="96" spans="1:19" x14ac:dyDescent="0.25">
      <c r="A96" s="19" t="s">
        <v>640</v>
      </c>
      <c r="B96" s="16"/>
      <c r="C96" s="16"/>
      <c r="D96" s="16"/>
      <c r="E96" s="16"/>
      <c r="F96" s="16"/>
      <c r="G96" s="16"/>
      <c r="H96" s="17"/>
      <c r="I96" s="16"/>
      <c r="J96" s="16"/>
      <c r="K96" s="18"/>
      <c r="L96" s="18"/>
      <c r="M96" s="18"/>
      <c r="N96" s="18"/>
      <c r="O96" s="18"/>
      <c r="P96" s="18"/>
      <c r="Q96" s="17"/>
      <c r="R96" s="18"/>
      <c r="S96" s="18"/>
    </row>
    <row r="97" spans="1:19" x14ac:dyDescent="0.25">
      <c r="A97" s="27" t="s">
        <v>75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</row>
    <row r="98" spans="1:19" x14ac:dyDescent="0.25">
      <c r="A98" s="27" t="s">
        <v>119</v>
      </c>
      <c r="B98" s="215">
        <f>'Substation Construction SD'!B17</f>
        <v>1.0905785557853163</v>
      </c>
      <c r="C98" s="215">
        <f>'Substation Construction SD'!C17</f>
        <v>5.6813481001979991</v>
      </c>
      <c r="D98" s="215">
        <f>'Substation Construction SD'!D17</f>
        <v>8.0550334336737333</v>
      </c>
      <c r="E98" s="215">
        <f>'Substation Construction SD'!E17</f>
        <v>1.8005012085844801E-2</v>
      </c>
      <c r="F98" s="215">
        <f>'Substation Construction SD'!F17</f>
        <v>0.34071525444196998</v>
      </c>
      <c r="G98" s="215">
        <f>'Substation Construction SD'!G17</f>
        <v>0.30323657645335333</v>
      </c>
      <c r="H98" s="215">
        <f>'Substation Construction SD'!H17</f>
        <v>1571.0766135371844</v>
      </c>
      <c r="I98" s="215">
        <f>'Substation Construction SD'!I17</f>
        <v>0.10603667209755958</v>
      </c>
      <c r="J98" s="215">
        <f>'Substation Construction SD'!J17</f>
        <v>0.76522817619900485</v>
      </c>
      <c r="K98" s="215">
        <f>'Substation Construction SD'!K17</f>
        <v>1.8553716392014773E-2</v>
      </c>
      <c r="L98" s="215">
        <f>'Substation Construction SD'!L17</f>
        <v>9.810260950223168E-2</v>
      </c>
      <c r="M98" s="215">
        <f>'Substation Construction SD'!M17</f>
        <v>0.13847627250912961</v>
      </c>
      <c r="N98" s="215">
        <f>'Substation Construction SD'!N17</f>
        <v>3.061523184189696E-4</v>
      </c>
      <c r="O98" s="215">
        <f>'Substation Construction SD'!O17</f>
        <v>5.665866137836561E-3</v>
      </c>
      <c r="P98" s="215">
        <f>'Substation Construction SD'!P17</f>
        <v>5.0426208626745397E-3</v>
      </c>
      <c r="Q98" s="215">
        <f>'Substation Construction SD'!Q17</f>
        <v>26.714749933338584</v>
      </c>
      <c r="R98" s="215">
        <f>'Substation Construction SD'!R17</f>
        <v>1.7953222311097704E-3</v>
      </c>
      <c r="S98" s="215">
        <f>'Substation Construction SD'!S17</f>
        <v>1.3155245888367315E-2</v>
      </c>
    </row>
    <row r="99" spans="1:19" x14ac:dyDescent="0.25">
      <c r="A99" s="27" t="s">
        <v>120</v>
      </c>
      <c r="B99" s="215">
        <f>'Substation Construction SD'!B18</f>
        <v>7.6292797708328516E-3</v>
      </c>
      <c r="C99" s="215">
        <f>'Substation Construction SD'!C18</f>
        <v>7.6811726830417593E-2</v>
      </c>
      <c r="D99" s="215">
        <f>'Substation Construction SD'!D18</f>
        <v>6.9368914990040678E-3</v>
      </c>
      <c r="E99" s="215">
        <f>'Substation Construction SD'!E18</f>
        <v>1.000738036993761E-4</v>
      </c>
      <c r="F99" s="215">
        <f>'Substation Construction SD'!F18</f>
        <v>2.3550751105158477E-3</v>
      </c>
      <c r="G99" s="215">
        <f>'Substation Construction SD'!G18</f>
        <v>7.6990712712329183E-4</v>
      </c>
      <c r="H99" s="215">
        <f>'Substation Construction SD'!H18</f>
        <v>7.8080316635396221</v>
      </c>
      <c r="I99" s="215">
        <f>'Substation Construction SD'!I18</f>
        <v>4.375471053222392E-4</v>
      </c>
      <c r="J99" s="215">
        <f>'Substation Construction SD'!J18</f>
        <v>7.9642400890008965E-4</v>
      </c>
      <c r="K99" s="215">
        <f>'Substation Construction SD'!K18</f>
        <v>2.5347869854037805E-3</v>
      </c>
      <c r="L99" s="215">
        <f>'Substation Construction SD'!L18</f>
        <v>2.2891741946713421E-4</v>
      </c>
      <c r="M99" s="215">
        <f>'Substation Construction SD'!M18</f>
        <v>2.5176623243748408E-4</v>
      </c>
      <c r="N99" s="215">
        <f>'Substation Construction SD'!N18</f>
        <v>3.3024355220794109E-6</v>
      </c>
      <c r="O99" s="215">
        <f>'Substation Construction SD'!O18</f>
        <v>7.7717478647022965E-5</v>
      </c>
      <c r="P99" s="215">
        <f>'Substation Construction SD'!P18</f>
        <v>2.540693519506863E-5</v>
      </c>
      <c r="Q99" s="215">
        <f>'Substation Construction SD'!Q18</f>
        <v>0.25766504489680753</v>
      </c>
      <c r="R99" s="215">
        <f>'Substation Construction SD'!R18</f>
        <v>1.4439054475633895E-5</v>
      </c>
      <c r="S99" s="215">
        <f>'Substation Construction SD'!S18</f>
        <v>2.628199229370296E-5</v>
      </c>
    </row>
    <row r="100" spans="1:19" x14ac:dyDescent="0.25">
      <c r="A100" s="27" t="s">
        <v>121</v>
      </c>
      <c r="B100" s="215">
        <f>'Substation Construction SD'!B19</f>
        <v>6.3885460179044914E-3</v>
      </c>
      <c r="C100" s="215">
        <f>'Substation Construction SD'!C19</f>
        <v>2.6350543485601643E-2</v>
      </c>
      <c r="D100" s="215">
        <f>'Substation Construction SD'!D19</f>
        <v>0.12087675573910045</v>
      </c>
      <c r="E100" s="215">
        <f>'Substation Construction SD'!E19</f>
        <v>2.6071666200753985E-4</v>
      </c>
      <c r="F100" s="215">
        <f>'Substation Construction SD'!F19</f>
        <v>5.2068043059695221E-3</v>
      </c>
      <c r="G100" s="215">
        <f>'Substation Construction SD'!G19</f>
        <v>2.6956089850522433E-3</v>
      </c>
      <c r="H100" s="215">
        <f>'Substation Construction SD'!H19</f>
        <v>41.637637341849342</v>
      </c>
      <c r="I100" s="215">
        <f>'Substation Construction SD'!I19</f>
        <v>2.3792995106252969E-3</v>
      </c>
      <c r="J100" s="215">
        <f>'Substation Construction SD'!J19</f>
        <v>1.0665897181488125E-3</v>
      </c>
      <c r="K100" s="215">
        <f>'Substation Construction SD'!K19</f>
        <v>7.0274006196949419E-5</v>
      </c>
      <c r="L100" s="215">
        <f>'Substation Construction SD'!L19</f>
        <v>2.8985597834161805E-4</v>
      </c>
      <c r="M100" s="215">
        <f>'Substation Construction SD'!M19</f>
        <v>1.3296443131301052E-3</v>
      </c>
      <c r="N100" s="215">
        <f>'Substation Construction SD'!N19</f>
        <v>2.8678832820829383E-6</v>
      </c>
      <c r="O100" s="215">
        <f>'Substation Construction SD'!O19</f>
        <v>5.7274847365664745E-5</v>
      </c>
      <c r="P100" s="215">
        <f>'Substation Construction SD'!P19</f>
        <v>2.9651698835574676E-5</v>
      </c>
      <c r="Q100" s="215">
        <f>'Substation Construction SD'!Q19</f>
        <v>0.45801401076034276</v>
      </c>
      <c r="R100" s="215">
        <f>'Substation Construction SD'!R19</f>
        <v>2.6172294616878263E-5</v>
      </c>
      <c r="S100" s="215">
        <f>'Substation Construction SD'!S19</f>
        <v>1.1732486899636939E-5</v>
      </c>
    </row>
    <row r="101" spans="1:19" x14ac:dyDescent="0.25">
      <c r="A101" s="27" t="s">
        <v>122</v>
      </c>
      <c r="B101" s="215">
        <f>'Substation Construction SD'!B20</f>
        <v>0</v>
      </c>
      <c r="C101" s="215">
        <f>'Substation Construction SD'!C20</f>
        <v>0</v>
      </c>
      <c r="D101" s="215">
        <f>'Substation Construction SD'!D20</f>
        <v>0</v>
      </c>
      <c r="E101" s="215">
        <f>'Substation Construction SD'!E20</f>
        <v>0</v>
      </c>
      <c r="F101" s="215">
        <f>'Substation Construction SD'!F20</f>
        <v>9.4904595789109969</v>
      </c>
      <c r="G101" s="215">
        <f>'Substation Construction SD'!G20</f>
        <v>2.9827158676577423</v>
      </c>
      <c r="H101" s="215">
        <f>'Substation Construction SD'!H20</f>
        <v>0</v>
      </c>
      <c r="I101" s="215">
        <f>'Substation Construction SD'!I20</f>
        <v>0</v>
      </c>
      <c r="J101" s="215">
        <f>'Substation Construction SD'!J20</f>
        <v>0</v>
      </c>
      <c r="K101" s="215">
        <f>'Substation Construction SD'!K20</f>
        <v>0</v>
      </c>
      <c r="L101" s="215">
        <f>'Substation Construction SD'!L20</f>
        <v>0</v>
      </c>
      <c r="M101" s="215">
        <f>'Substation Construction SD'!M20</f>
        <v>0</v>
      </c>
      <c r="N101" s="215">
        <f>'Substation Construction SD'!N20</f>
        <v>0</v>
      </c>
      <c r="O101" s="215">
        <f>'Substation Construction SD'!O20</f>
        <v>5.3941401280421346E-3</v>
      </c>
      <c r="P101" s="215">
        <f>'Substation Construction SD'!P20</f>
        <v>1.695301183098957E-3</v>
      </c>
      <c r="Q101" s="215">
        <f>'Substation Construction SD'!Q20</f>
        <v>0</v>
      </c>
      <c r="R101" s="215">
        <f>'Substation Construction SD'!R20</f>
        <v>0</v>
      </c>
      <c r="S101" s="215">
        <f>'Substation Construction SD'!S20</f>
        <v>0</v>
      </c>
    </row>
    <row r="102" spans="1:19" x14ac:dyDescent="0.25">
      <c r="A102" s="19" t="s">
        <v>123</v>
      </c>
      <c r="B102" s="22">
        <f>SUM(B98:B101)</f>
        <v>1.1045963815740536</v>
      </c>
      <c r="C102" s="22">
        <f t="shared" ref="C102:S102" si="5">SUM(C98:C101)</f>
        <v>5.7845103705140177</v>
      </c>
      <c r="D102" s="22">
        <f t="shared" si="5"/>
        <v>8.1828470809118379</v>
      </c>
      <c r="E102" s="22">
        <f t="shared" si="5"/>
        <v>1.8365802551551718E-2</v>
      </c>
      <c r="F102" s="22">
        <f t="shared" si="5"/>
        <v>9.8387367127694532</v>
      </c>
      <c r="G102" s="22">
        <f t="shared" si="5"/>
        <v>3.2894179602232709</v>
      </c>
      <c r="H102" s="22">
        <f t="shared" si="5"/>
        <v>1620.5222825425733</v>
      </c>
      <c r="I102" s="22">
        <f t="shared" si="5"/>
        <v>0.10885351871350711</v>
      </c>
      <c r="J102" s="22">
        <f t="shared" si="5"/>
        <v>0.76709118992605374</v>
      </c>
      <c r="K102" s="22">
        <f t="shared" si="5"/>
        <v>2.1158777383615501E-2</v>
      </c>
      <c r="L102" s="22">
        <f t="shared" si="5"/>
        <v>9.8621382900040439E-2</v>
      </c>
      <c r="M102" s="22">
        <f t="shared" si="5"/>
        <v>0.14005768305469718</v>
      </c>
      <c r="N102" s="22">
        <f t="shared" si="5"/>
        <v>3.1232263722313192E-4</v>
      </c>
      <c r="O102" s="22">
        <f t="shared" si="5"/>
        <v>1.1194998591891384E-2</v>
      </c>
      <c r="P102" s="22">
        <f t="shared" si="5"/>
        <v>6.7929806798041397E-3</v>
      </c>
      <c r="Q102" s="22">
        <f t="shared" si="5"/>
        <v>27.430428988995736</v>
      </c>
      <c r="R102" s="22">
        <f t="shared" si="5"/>
        <v>1.8359335802022826E-3</v>
      </c>
      <c r="S102" s="22">
        <f t="shared" si="5"/>
        <v>1.3193260367560656E-2</v>
      </c>
    </row>
    <row r="103" spans="1:19" x14ac:dyDescent="0.25">
      <c r="A103" s="19" t="s">
        <v>641</v>
      </c>
      <c r="B103" s="215"/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</row>
    <row r="104" spans="1:19" x14ac:dyDescent="0.25">
      <c r="A104" s="27" t="s">
        <v>75</v>
      </c>
      <c r="B104" s="215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</row>
    <row r="105" spans="1:19" x14ac:dyDescent="0.25">
      <c r="A105" s="27" t="s">
        <v>119</v>
      </c>
      <c r="B105" s="215">
        <f>'Transmission Line Construct SD'!B17</f>
        <v>0.93043863327196896</v>
      </c>
      <c r="C105" s="215">
        <f>'Transmission Line Construct SD'!C17</f>
        <v>4.043801690600767</v>
      </c>
      <c r="D105" s="215">
        <f>'Transmission Line Construct SD'!D17</f>
        <v>4.8331953256192284</v>
      </c>
      <c r="E105" s="215">
        <f>'Transmission Line Construct SD'!E17</f>
        <v>7.9950777974005498E-3</v>
      </c>
      <c r="F105" s="215">
        <f>'Transmission Line Construct SD'!F17</f>
        <v>0.28382285946792618</v>
      </c>
      <c r="G105" s="215">
        <f>'Transmission Line Construct SD'!G17</f>
        <v>0.25260234492645428</v>
      </c>
      <c r="H105" s="215">
        <f>'Transmission Line Construct SD'!H17</f>
        <v>699.28754083521085</v>
      </c>
      <c r="I105" s="215">
        <f>'Transmission Line Construct SD'!I17</f>
        <v>9.2346226735893849E-2</v>
      </c>
      <c r="J105" s="215">
        <f>'Transmission Line Construct SD'!J17</f>
        <v>0.45915355593382662</v>
      </c>
      <c r="K105" s="215">
        <f>'Transmission Line Construct SD'!K17</f>
        <v>5.1174124829958277E-2</v>
      </c>
      <c r="L105" s="215">
        <f>'Transmission Line Construct SD'!L17</f>
        <v>0.22240909298304218</v>
      </c>
      <c r="M105" s="215">
        <f>'Transmission Line Construct SD'!M17</f>
        <v>0.26582574290905758</v>
      </c>
      <c r="N105" s="215">
        <f>'Transmission Line Construct SD'!N17</f>
        <v>4.3972927885703027E-4</v>
      </c>
      <c r="O105" s="215">
        <f>'Transmission Line Construct SD'!O17</f>
        <v>1.5610257270735941E-2</v>
      </c>
      <c r="P105" s="215">
        <f>'Transmission Line Construct SD'!P17</f>
        <v>1.3893128970954984E-2</v>
      </c>
      <c r="Q105" s="215">
        <f>'Transmission Line Construct SD'!Q17</f>
        <v>38.460814745936588</v>
      </c>
      <c r="R105" s="215">
        <f>'Transmission Line Construct SD'!R17</f>
        <v>5.0790424704741611E-3</v>
      </c>
      <c r="S105" s="215">
        <f>'Transmission Line Construct SD'!S17</f>
        <v>2.5253445576360466E-2</v>
      </c>
    </row>
    <row r="106" spans="1:19" x14ac:dyDescent="0.25">
      <c r="A106" s="27" t="s">
        <v>120</v>
      </c>
      <c r="B106" s="215">
        <f>'Transmission Line Construct SD'!B18</f>
        <v>1.7165879484373914E-2</v>
      </c>
      <c r="C106" s="215">
        <f>'Transmission Line Construct SD'!C18</f>
        <v>0.17282638536843958</v>
      </c>
      <c r="D106" s="215">
        <f>'Transmission Line Construct SD'!D18</f>
        <v>1.5608005872759153E-2</v>
      </c>
      <c r="E106" s="215">
        <f>'Transmission Line Construct SD'!E18</f>
        <v>2.251660583235962E-4</v>
      </c>
      <c r="F106" s="215">
        <f>'Transmission Line Construct SD'!F18</f>
        <v>5.2989189986606573E-3</v>
      </c>
      <c r="G106" s="215">
        <f>'Transmission Line Construct SD'!G18</f>
        <v>2.2563270146224714E-3</v>
      </c>
      <c r="H106" s="215">
        <f>'Transmission Line Construct SD'!H18</f>
        <v>17.568071242964152</v>
      </c>
      <c r="I106" s="215">
        <f>'Transmission Line Construct SD'!I18</f>
        <v>9.8448098697503819E-4</v>
      </c>
      <c r="J106" s="215">
        <f>'Transmission Line Construct SD'!J18</f>
        <v>1.7919540200252019E-3</v>
      </c>
      <c r="K106" s="215">
        <f>'Transmission Line Construct SD'!K18</f>
        <v>5.6647402298433923E-4</v>
      </c>
      <c r="L106" s="215">
        <f>'Transmission Line Construct SD'!L18</f>
        <v>5.7032707171585061E-3</v>
      </c>
      <c r="M106" s="215">
        <f>'Transmission Line Construct SD'!M18</f>
        <v>5.15064193801052E-4</v>
      </c>
      <c r="N106" s="215">
        <f>'Transmission Line Construct SD'!N18</f>
        <v>7.430479924678674E-6</v>
      </c>
      <c r="O106" s="215">
        <f>'Transmission Line Construct SD'!O18</f>
        <v>1.7486432695580168E-4</v>
      </c>
      <c r="P106" s="215">
        <f>'Transmission Line Construct SD'!P18</f>
        <v>7.4458791482541559E-5</v>
      </c>
      <c r="Q106" s="215">
        <f>'Transmission Line Construct SD'!Q18</f>
        <v>0.57974635101781691</v>
      </c>
      <c r="R106" s="215">
        <f>'Transmission Line Construct SD'!R18</f>
        <v>3.2487872570176266E-5</v>
      </c>
      <c r="S106" s="215">
        <f>'Transmission Line Construct SD'!S18</f>
        <v>5.9134482660831658E-5</v>
      </c>
    </row>
    <row r="107" spans="1:19" x14ac:dyDescent="0.25">
      <c r="A107" s="27" t="s">
        <v>121</v>
      </c>
      <c r="B107" s="215">
        <f>'Transmission Line Construct SD'!B19</f>
        <v>1.0044718708296997E-2</v>
      </c>
      <c r="C107" s="215">
        <f>'Transmission Line Construct SD'!C19</f>
        <v>4.2703438269935223E-2</v>
      </c>
      <c r="D107" s="215">
        <f>'Transmission Line Construct SD'!D19</f>
        <v>0.17257333469265659</v>
      </c>
      <c r="E107" s="215">
        <f>'Transmission Line Construct SD'!E19</f>
        <v>3.8756587211495592E-4</v>
      </c>
      <c r="F107" s="215">
        <f>'Transmission Line Construct SD'!F19</f>
        <v>9.0261080108747001E-3</v>
      </c>
      <c r="G107" s="215">
        <f>'Transmission Line Construct SD'!G19</f>
        <v>4.921693851108788E-3</v>
      </c>
      <c r="H107" s="215">
        <f>'Transmission Line Construct SD'!H19</f>
        <v>60.041040097992372</v>
      </c>
      <c r="I107" s="215">
        <f>'Transmission Line Construct SD'!I19</f>
        <v>3.430925154319578E-3</v>
      </c>
      <c r="J107" s="215">
        <f>'Transmission Line Construct SD'!J19</f>
        <v>1.5380112831501725E-3</v>
      </c>
      <c r="K107" s="215">
        <f>'Transmission Line Construct SD'!K19</f>
        <v>2.4130739756590542E-4</v>
      </c>
      <c r="L107" s="215">
        <f>'Transmission Line Construct SD'!L19</f>
        <v>1.0792910557660164E-3</v>
      </c>
      <c r="M107" s="215">
        <f>'Transmission Line Construct SD'!M19</f>
        <v>3.4119742109347054E-3</v>
      </c>
      <c r="N107" s="215">
        <f>'Transmission Line Construct SD'!N19</f>
        <v>8.37204786708946E-6</v>
      </c>
      <c r="O107" s="215">
        <f>'Transmission Line Construct SD'!O19</f>
        <v>2.5207404452374187E-4</v>
      </c>
      <c r="P107" s="215">
        <f>'Transmission Line Construct SD'!P19</f>
        <v>1.4692160115973194E-4</v>
      </c>
      <c r="Q107" s="215">
        <f>'Transmission Line Construct SD'!Q19</f>
        <v>1.2146245819054402</v>
      </c>
      <c r="R107" s="215">
        <f>'Transmission Line Construct SD'!R19</f>
        <v>6.940729248382257E-5</v>
      </c>
      <c r="S107" s="215">
        <f>'Transmission Line Construct SD'!S19</f>
        <v>3.111382329008976E-5</v>
      </c>
    </row>
    <row r="108" spans="1:19" x14ac:dyDescent="0.25">
      <c r="A108" s="27" t="s">
        <v>122</v>
      </c>
      <c r="B108" s="215">
        <f>'Transmission Line Construct SD'!B20</f>
        <v>0</v>
      </c>
      <c r="C108" s="215">
        <f>'Transmission Line Construct SD'!C20</f>
        <v>0</v>
      </c>
      <c r="D108" s="215">
        <f>'Transmission Line Construct SD'!D20</f>
        <v>0</v>
      </c>
      <c r="E108" s="215">
        <f>'Transmission Line Construct SD'!E20</f>
        <v>0</v>
      </c>
      <c r="F108" s="215">
        <f>'Transmission Line Construct SD'!F20</f>
        <v>33.664200789237682</v>
      </c>
      <c r="G108" s="215">
        <f>'Transmission Line Construct SD'!G20</f>
        <v>10.045708467717198</v>
      </c>
      <c r="H108" s="215">
        <f>'Transmission Line Construct SD'!H20</f>
        <v>0</v>
      </c>
      <c r="I108" s="215">
        <f>'Transmission Line Construct SD'!I20</f>
        <v>0</v>
      </c>
      <c r="J108" s="215">
        <f>'Transmission Line Construct SD'!J20</f>
        <v>0</v>
      </c>
      <c r="K108" s="215">
        <f>'Transmission Line Construct SD'!K20</f>
        <v>0</v>
      </c>
      <c r="L108" s="215">
        <f>'Transmission Line Construct SD'!L20</f>
        <v>0</v>
      </c>
      <c r="M108" s="215">
        <f>'Transmission Line Construct SD'!M20</f>
        <v>0</v>
      </c>
      <c r="N108" s="215">
        <f>'Transmission Line Construct SD'!N20</f>
        <v>0</v>
      </c>
      <c r="O108" s="215">
        <f>'Transmission Line Construct SD'!O20</f>
        <v>1.4812248347264583</v>
      </c>
      <c r="P108" s="215">
        <f>'Transmission Line Construct SD'!P20</f>
        <v>0.44201117257955669</v>
      </c>
      <c r="Q108" s="215">
        <f>'Transmission Line Construct SD'!Q20</f>
        <v>0</v>
      </c>
      <c r="R108" s="215">
        <f>'Transmission Line Construct SD'!R20</f>
        <v>0</v>
      </c>
      <c r="S108" s="215">
        <f>'Transmission Line Construct SD'!S20</f>
        <v>0</v>
      </c>
    </row>
    <row r="109" spans="1:19" x14ac:dyDescent="0.25">
      <c r="A109" s="19" t="s">
        <v>123</v>
      </c>
      <c r="B109" s="22">
        <f>SUM(B105:B108)</f>
        <v>0.95764923146463987</v>
      </c>
      <c r="C109" s="22">
        <f t="shared" ref="C109:S109" si="6">SUM(C105:C108)</f>
        <v>4.2593315142391424</v>
      </c>
      <c r="D109" s="22">
        <f t="shared" si="6"/>
        <v>5.0213766661846444</v>
      </c>
      <c r="E109" s="22">
        <f t="shared" si="6"/>
        <v>8.6078097278391025E-3</v>
      </c>
      <c r="F109" s="22">
        <f t="shared" si="6"/>
        <v>33.962348675715141</v>
      </c>
      <c r="G109" s="22">
        <f t="shared" si="6"/>
        <v>10.305488833509383</v>
      </c>
      <c r="H109" s="22">
        <f t="shared" si="6"/>
        <v>776.89665217616732</v>
      </c>
      <c r="I109" s="22">
        <f t="shared" si="6"/>
        <v>9.6761632877188461E-2</v>
      </c>
      <c r="J109" s="22">
        <f t="shared" si="6"/>
        <v>0.46248352123700198</v>
      </c>
      <c r="K109" s="22">
        <f t="shared" si="6"/>
        <v>5.1981906250508525E-2</v>
      </c>
      <c r="L109" s="22">
        <f t="shared" si="6"/>
        <v>0.2291916547559667</v>
      </c>
      <c r="M109" s="22">
        <f t="shared" si="6"/>
        <v>0.26975278131379332</v>
      </c>
      <c r="N109" s="22">
        <f t="shared" si="6"/>
        <v>4.5553180664879839E-4</v>
      </c>
      <c r="O109" s="22">
        <f t="shared" si="6"/>
        <v>1.4972620303686737</v>
      </c>
      <c r="P109" s="22">
        <f t="shared" si="6"/>
        <v>0.45612568194315395</v>
      </c>
      <c r="Q109" s="22">
        <f t="shared" si="6"/>
        <v>40.255185678859846</v>
      </c>
      <c r="R109" s="22">
        <f t="shared" si="6"/>
        <v>5.1809376355281597E-3</v>
      </c>
      <c r="S109" s="22">
        <f t="shared" si="6"/>
        <v>2.5343693882311384E-2</v>
      </c>
    </row>
    <row r="110" spans="1:19" x14ac:dyDescent="0.25">
      <c r="A110" s="19" t="s">
        <v>645</v>
      </c>
      <c r="B110" s="22">
        <f>B102+B109</f>
        <v>2.0622456130386935</v>
      </c>
      <c r="C110" s="22">
        <f t="shared" ref="C110:S110" si="7">C102+C109</f>
        <v>10.04384188475316</v>
      </c>
      <c r="D110" s="22">
        <f t="shared" si="7"/>
        <v>13.204223747096481</v>
      </c>
      <c r="E110" s="22">
        <f t="shared" si="7"/>
        <v>2.697361227939082E-2</v>
      </c>
      <c r="F110" s="22">
        <f t="shared" si="7"/>
        <v>43.801085388484594</v>
      </c>
      <c r="G110" s="22">
        <f t="shared" si="7"/>
        <v>13.594906793732655</v>
      </c>
      <c r="H110" s="22">
        <f t="shared" si="7"/>
        <v>2397.4189347187407</v>
      </c>
      <c r="I110" s="22">
        <f t="shared" si="7"/>
        <v>0.20561515159069557</v>
      </c>
      <c r="J110" s="22">
        <f t="shared" si="7"/>
        <v>1.2295747111630557</v>
      </c>
      <c r="K110" s="22">
        <f t="shared" si="7"/>
        <v>7.3140683634124029E-2</v>
      </c>
      <c r="L110" s="22">
        <f t="shared" si="7"/>
        <v>0.32781303765600711</v>
      </c>
      <c r="M110" s="22">
        <f t="shared" si="7"/>
        <v>0.4098104643684905</v>
      </c>
      <c r="N110" s="22">
        <f t="shared" si="7"/>
        <v>7.6785444387193031E-4</v>
      </c>
      <c r="O110" s="22">
        <f t="shared" si="7"/>
        <v>1.508457028960565</v>
      </c>
      <c r="P110" s="22">
        <f t="shared" si="7"/>
        <v>0.46291866262295811</v>
      </c>
      <c r="Q110" s="22">
        <f t="shared" si="7"/>
        <v>67.685614667855589</v>
      </c>
      <c r="R110" s="22">
        <f t="shared" si="7"/>
        <v>7.0168712157304422E-3</v>
      </c>
      <c r="S110" s="22">
        <f t="shared" si="7"/>
        <v>3.8536954249872038E-2</v>
      </c>
    </row>
    <row r="111" spans="1:19" x14ac:dyDescent="0.25">
      <c r="A111" s="27" t="s">
        <v>344</v>
      </c>
      <c r="B111" s="213">
        <v>75</v>
      </c>
      <c r="C111" s="213">
        <v>550</v>
      </c>
      <c r="D111" s="213">
        <v>250</v>
      </c>
      <c r="E111" s="213">
        <v>150</v>
      </c>
      <c r="F111" s="213">
        <v>150</v>
      </c>
      <c r="G111" s="213">
        <v>55</v>
      </c>
      <c r="H111" s="27" t="s">
        <v>345</v>
      </c>
      <c r="I111" s="27" t="s">
        <v>345</v>
      </c>
      <c r="J111" s="27" t="s">
        <v>345</v>
      </c>
      <c r="K111" s="27" t="s">
        <v>345</v>
      </c>
      <c r="L111" s="27" t="s">
        <v>345</v>
      </c>
      <c r="M111" s="27" t="s">
        <v>345</v>
      </c>
      <c r="N111" s="27" t="s">
        <v>345</v>
      </c>
      <c r="O111" s="27" t="s">
        <v>345</v>
      </c>
      <c r="P111" s="27" t="s">
        <v>345</v>
      </c>
      <c r="Q111" s="27" t="s">
        <v>345</v>
      </c>
      <c r="R111" s="27" t="s">
        <v>345</v>
      </c>
      <c r="S111" s="27" t="s">
        <v>345</v>
      </c>
    </row>
    <row r="114" spans="1:19" x14ac:dyDescent="0.25">
      <c r="A114" s="585">
        <v>2018</v>
      </c>
    </row>
    <row r="115" spans="1:19" ht="39.6" x14ac:dyDescent="0.25">
      <c r="A115" s="19" t="s">
        <v>132</v>
      </c>
      <c r="B115" s="16" t="s">
        <v>18</v>
      </c>
      <c r="C115" s="16" t="s">
        <v>19</v>
      </c>
      <c r="D115" s="16" t="s">
        <v>20</v>
      </c>
      <c r="E115" s="16" t="s">
        <v>21</v>
      </c>
      <c r="F115" s="16" t="s">
        <v>22</v>
      </c>
      <c r="G115" s="16" t="s">
        <v>23</v>
      </c>
      <c r="H115" s="17" t="s">
        <v>24</v>
      </c>
      <c r="I115" s="16" t="s">
        <v>25</v>
      </c>
      <c r="J115" s="16" t="s">
        <v>26</v>
      </c>
      <c r="K115" s="18" t="s">
        <v>27</v>
      </c>
      <c r="L115" s="18" t="s">
        <v>28</v>
      </c>
      <c r="M115" s="18" t="s">
        <v>29</v>
      </c>
      <c r="N115" s="18" t="s">
        <v>30</v>
      </c>
      <c r="O115" s="18" t="s">
        <v>31</v>
      </c>
      <c r="P115" s="18" t="s">
        <v>32</v>
      </c>
      <c r="Q115" s="17" t="s">
        <v>33</v>
      </c>
      <c r="R115" s="18" t="s">
        <v>34</v>
      </c>
      <c r="S115" s="18" t="s">
        <v>35</v>
      </c>
    </row>
    <row r="116" spans="1:19" x14ac:dyDescent="0.25">
      <c r="A116" s="19" t="s">
        <v>640</v>
      </c>
      <c r="B116" s="16"/>
      <c r="C116" s="16"/>
      <c r="D116" s="16"/>
      <c r="E116" s="16"/>
      <c r="F116" s="16"/>
      <c r="G116" s="16"/>
      <c r="H116" s="17"/>
      <c r="I116" s="16"/>
      <c r="J116" s="16"/>
      <c r="K116" s="18"/>
      <c r="L116" s="18"/>
      <c r="M116" s="18"/>
      <c r="N116" s="18"/>
      <c r="O116" s="18"/>
      <c r="P116" s="18"/>
      <c r="Q116" s="17"/>
      <c r="R116" s="18"/>
      <c r="S116" s="18"/>
    </row>
    <row r="117" spans="1:19" x14ac:dyDescent="0.25">
      <c r="A117" s="27" t="s">
        <v>75</v>
      </c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</row>
    <row r="118" spans="1:19" x14ac:dyDescent="0.25">
      <c r="A118" s="27" t="s">
        <v>119</v>
      </c>
      <c r="B118" s="215">
        <f>'Substation Construction SD'!B29</f>
        <v>0.51008563711292965</v>
      </c>
      <c r="C118" s="215">
        <f>'Substation Construction SD'!C29</f>
        <v>2.9627351802158897</v>
      </c>
      <c r="D118" s="215">
        <f>'Substation Construction SD'!D29</f>
        <v>3.2410398929245057</v>
      </c>
      <c r="E118" s="215">
        <f>'Substation Construction SD'!E29</f>
        <v>9.5994070277537896E-3</v>
      </c>
      <c r="F118" s="215">
        <f>'Substation Construction SD'!F29</f>
        <v>0.12957052724714607</v>
      </c>
      <c r="G118" s="215">
        <f>'Substation Construction SD'!G29</f>
        <v>0.11531776924996</v>
      </c>
      <c r="H118" s="215">
        <f>'Substation Construction SD'!H29</f>
        <v>865.59978977751143</v>
      </c>
      <c r="I118" s="215">
        <f>'Substation Construction SD'!I29</f>
        <v>6.0058969912054679E-2</v>
      </c>
      <c r="J118" s="215">
        <f>'Substation Construction SD'!J29</f>
        <v>0.30789878982782803</v>
      </c>
      <c r="K118" s="215">
        <f>'Substation Construction SD'!K29</f>
        <v>2.1167619421488006E-2</v>
      </c>
      <c r="L118" s="215">
        <f>'Substation Construction SD'!L29</f>
        <v>0.13401603276911789</v>
      </c>
      <c r="M118" s="215">
        <f>'Substation Construction SD'!M29</f>
        <v>0.13801254511686553</v>
      </c>
      <c r="N118" s="215">
        <f>'Substation Construction SD'!N29</f>
        <v>3.4663638573859844E-4</v>
      </c>
      <c r="O118" s="215">
        <f>'Substation Construction SD'!O29</f>
        <v>5.9648035296358398E-3</v>
      </c>
      <c r="P118" s="215">
        <f>'Substation Construction SD'!P29</f>
        <v>5.3086751413758976E-3</v>
      </c>
      <c r="Q118" s="215">
        <f>'Substation Construction SD'!Q29</f>
        <v>31.158029702161311</v>
      </c>
      <c r="R118" s="215">
        <f>'Substation Construction SD'!R29</f>
        <v>2.5394977336162688E-3</v>
      </c>
      <c r="S118" s="215">
        <f>'Substation Construction SD'!S29</f>
        <v>1.3111191786102226E-2</v>
      </c>
    </row>
    <row r="119" spans="1:19" x14ac:dyDescent="0.25">
      <c r="A119" s="27" t="s">
        <v>120</v>
      </c>
      <c r="B119" s="215">
        <f>'Substation Construction SD'!B30</f>
        <v>8.5298158390401686E-3</v>
      </c>
      <c r="C119" s="215">
        <f>'Substation Construction SD'!C30</f>
        <v>7.901726961518088E-2</v>
      </c>
      <c r="D119" s="215">
        <f>'Substation Construction SD'!D30</f>
        <v>7.3001787227499225E-3</v>
      </c>
      <c r="E119" s="215">
        <f>'Substation Construction SD'!E30</f>
        <v>1.0027550403159249E-4</v>
      </c>
      <c r="F119" s="215">
        <f>'Substation Construction SD'!F30</f>
        <v>2.3613994323436758E-3</v>
      </c>
      <c r="G119" s="215">
        <f>'Substation Construction SD'!G30</f>
        <v>7.7537740169587529E-4</v>
      </c>
      <c r="H119" s="215">
        <f>'Substation Construction SD'!H30</f>
        <v>8.9708021618000391</v>
      </c>
      <c r="I119" s="215">
        <f>'Substation Construction SD'!I30</f>
        <v>4.3796426119724184E-4</v>
      </c>
      <c r="J119" s="215">
        <f>'Substation Construction SD'!J30</f>
        <v>7.9660755884001545E-4</v>
      </c>
      <c r="K119" s="215">
        <f>'Substation Construction SD'!K30</f>
        <v>2.6075698973009689E-3</v>
      </c>
      <c r="L119" s="215">
        <f>'Substation Construction SD'!L30</f>
        <v>2.4090589785074742E-4</v>
      </c>
      <c r="M119" s="215">
        <f>'Substation Construction SD'!M30</f>
        <v>2.8148392268832561E-4</v>
      </c>
      <c r="N119" s="215">
        <f>'Substation Construction SD'!N30</f>
        <v>3.3090916330425522E-6</v>
      </c>
      <c r="O119" s="215">
        <f>'Substation Construction SD'!O30</f>
        <v>7.7926181267341292E-5</v>
      </c>
      <c r="P119" s="215">
        <f>'Substation Construction SD'!P30</f>
        <v>2.558745425596389E-5</v>
      </c>
      <c r="Q119" s="215">
        <f>'Substation Construction SD'!Q30</f>
        <v>0.29603647133940131</v>
      </c>
      <c r="R119" s="215">
        <f>'Substation Construction SD'!R30</f>
        <v>1.4452820619508981E-5</v>
      </c>
      <c r="S119" s="215">
        <f>'Substation Construction SD'!S30</f>
        <v>2.628804944172051E-5</v>
      </c>
    </row>
    <row r="120" spans="1:19" x14ac:dyDescent="0.25">
      <c r="A120" s="27" t="s">
        <v>121</v>
      </c>
      <c r="B120" s="215">
        <f>'Substation Construction SD'!B31</f>
        <v>1.2550211406911116E-3</v>
      </c>
      <c r="C120" s="215">
        <f>'Substation Construction SD'!C31</f>
        <v>6.4889695233242119E-3</v>
      </c>
      <c r="D120" s="215">
        <f>'Substation Construction SD'!D31</f>
        <v>6.915396791071224E-3</v>
      </c>
      <c r="E120" s="215">
        <f>'Substation Construction SD'!E31</f>
        <v>3.6350577318235768E-5</v>
      </c>
      <c r="F120" s="215">
        <f>'Substation Construction SD'!F31</f>
        <v>2.0554311569537494E-3</v>
      </c>
      <c r="G120" s="215">
        <f>'Substation Construction SD'!G31</f>
        <v>1.2632710558275412E-3</v>
      </c>
      <c r="H120" s="215">
        <f>'Substation Construction SD'!H31</f>
        <v>3.245599257067163</v>
      </c>
      <c r="I120" s="215">
        <f>'Substation Construction SD'!I31</f>
        <v>1.8546327834658888E-4</v>
      </c>
      <c r="J120" s="215">
        <f>'Substation Construction SD'!J31</f>
        <v>8.3139270569032448E-5</v>
      </c>
      <c r="K120" s="215">
        <f>'Substation Construction SD'!K31</f>
        <v>1.3805232547602229E-5</v>
      </c>
      <c r="L120" s="215">
        <f>'Substation Construction SD'!L31</f>
        <v>7.1378664756566328E-5</v>
      </c>
      <c r="M120" s="215">
        <f>'Substation Construction SD'!M31</f>
        <v>7.6069364701783468E-5</v>
      </c>
      <c r="N120" s="215">
        <f>'Substation Construction SD'!N31</f>
        <v>3.9985635050059343E-7</v>
      </c>
      <c r="O120" s="215">
        <f>'Substation Construction SD'!O31</f>
        <v>2.2609742726491244E-5</v>
      </c>
      <c r="P120" s="215">
        <f>'Substation Construction SD'!P31</f>
        <v>1.3895981614102954E-5</v>
      </c>
      <c r="Q120" s="215">
        <f>'Substation Construction SD'!Q31</f>
        <v>3.5701591827738799E-2</v>
      </c>
      <c r="R120" s="215">
        <f>'Substation Construction SD'!R31</f>
        <v>2.040096061812478E-6</v>
      </c>
      <c r="S120" s="215">
        <f>'Substation Construction SD'!S31</f>
        <v>9.1453197625935687E-7</v>
      </c>
    </row>
    <row r="121" spans="1:19" x14ac:dyDescent="0.25">
      <c r="A121" s="19" t="s">
        <v>123</v>
      </c>
      <c r="B121" s="22">
        <f t="shared" ref="B121:S121" si="8">SUM(B118:B120)</f>
        <v>0.51987047409266096</v>
      </c>
      <c r="C121" s="22">
        <f t="shared" si="8"/>
        <v>3.0482414193543947</v>
      </c>
      <c r="D121" s="22">
        <f t="shared" si="8"/>
        <v>3.2552554684383268</v>
      </c>
      <c r="E121" s="22">
        <f t="shared" si="8"/>
        <v>9.7360331091036183E-3</v>
      </c>
      <c r="F121" s="22">
        <f t="shared" si="8"/>
        <v>0.1339873578364435</v>
      </c>
      <c r="G121" s="22">
        <f t="shared" si="8"/>
        <v>0.11735641770748342</v>
      </c>
      <c r="H121" s="22">
        <f t="shared" si="8"/>
        <v>877.81619119637867</v>
      </c>
      <c r="I121" s="22">
        <f t="shared" si="8"/>
        <v>6.0682397451598508E-2</v>
      </c>
      <c r="J121" s="22">
        <f t="shared" si="8"/>
        <v>0.30877853665723709</v>
      </c>
      <c r="K121" s="22">
        <f t="shared" si="8"/>
        <v>2.3788994551336578E-2</v>
      </c>
      <c r="L121" s="22">
        <f t="shared" si="8"/>
        <v>0.13432831733172521</v>
      </c>
      <c r="M121" s="22">
        <f t="shared" si="8"/>
        <v>0.13837009840425563</v>
      </c>
      <c r="N121" s="22">
        <f t="shared" si="8"/>
        <v>3.5034533372214162E-4</v>
      </c>
      <c r="O121" s="22">
        <f t="shared" si="8"/>
        <v>6.0653394536296723E-3</v>
      </c>
      <c r="P121" s="22">
        <f t="shared" si="8"/>
        <v>5.348158577245965E-3</v>
      </c>
      <c r="Q121" s="22">
        <f t="shared" si="8"/>
        <v>31.489767765328452</v>
      </c>
      <c r="R121" s="22">
        <f t="shared" si="8"/>
        <v>2.5559906502975903E-3</v>
      </c>
      <c r="S121" s="22">
        <f t="shared" si="8"/>
        <v>1.3138394367520206E-2</v>
      </c>
    </row>
    <row r="122" spans="1:19" x14ac:dyDescent="0.25">
      <c r="A122" s="19" t="s">
        <v>641</v>
      </c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</row>
    <row r="123" spans="1:19" x14ac:dyDescent="0.25">
      <c r="A123" s="27" t="s">
        <v>75</v>
      </c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</row>
    <row r="124" spans="1:19" x14ac:dyDescent="0.25">
      <c r="A124" s="27" t="s">
        <v>119</v>
      </c>
      <c r="B124" s="215">
        <f>'Transmission Line Construct SD'!B29</f>
        <v>1.179643687388275</v>
      </c>
      <c r="C124" s="215">
        <f>'Transmission Line Construct SD'!C29</f>
        <v>7.0715832968982815</v>
      </c>
      <c r="D124" s="215">
        <f>'Transmission Line Construct SD'!D29</f>
        <v>7.8320332616472914</v>
      </c>
      <c r="E124" s="215">
        <f>'Transmission Line Construct SD'!E29</f>
        <v>2.9587683256710379E-2</v>
      </c>
      <c r="F124" s="215">
        <f>'Transmission Line Construct SD'!F29</f>
        <v>0.31191386713058872</v>
      </c>
      <c r="G124" s="215">
        <f>'Transmission Line Construct SD'!G29</f>
        <v>0.27760334174622403</v>
      </c>
      <c r="H124" s="215">
        <f>'Transmission Line Construct SD'!H29</f>
        <v>2926.7616176010624</v>
      </c>
      <c r="I124" s="215">
        <f>'Transmission Line Construct SD'!I29</f>
        <v>0.13370404430212329</v>
      </c>
      <c r="J124" s="215">
        <f>'Transmission Line Construct SD'!J29</f>
        <v>0.7440431598564925</v>
      </c>
      <c r="K124" s="215">
        <f>'Transmission Line Construct SD'!K29</f>
        <v>4.1732831829416707E-2</v>
      </c>
      <c r="L124" s="215">
        <f>'Transmission Line Construct SD'!L29</f>
        <v>0.24927838416765025</v>
      </c>
      <c r="M124" s="215">
        <f>'Transmission Line Construct SD'!M29</f>
        <v>0.27755142600788596</v>
      </c>
      <c r="N124" s="215">
        <f>'Transmission Line Construct SD'!N29</f>
        <v>1.0327033128699787E-3</v>
      </c>
      <c r="O124" s="215">
        <f>'Transmission Line Construct SD'!O29</f>
        <v>1.1093723898690254E-2</v>
      </c>
      <c r="P124" s="215">
        <f>'Transmission Line Construct SD'!P29</f>
        <v>9.8734142698343255E-3</v>
      </c>
      <c r="Q124" s="215">
        <f>'Transmission Line Construct SD'!Q29</f>
        <v>101.72334694150447</v>
      </c>
      <c r="R124" s="215">
        <f>'Transmission Line Construct SD'!R29</f>
        <v>4.734508656215268E-3</v>
      </c>
      <c r="S124" s="215">
        <f>'Transmission Line Construct SD'!S29</f>
        <v>2.6367385470749162E-2</v>
      </c>
    </row>
    <row r="125" spans="1:19" x14ac:dyDescent="0.25">
      <c r="A125" s="27" t="s">
        <v>120</v>
      </c>
      <c r="B125" s="215">
        <f>'Transmission Line Construct SD'!B30</f>
        <v>1.6412543316254677E-2</v>
      </c>
      <c r="C125" s="215">
        <f>'Transmission Line Construct SD'!C30</f>
        <v>0.14583234264441544</v>
      </c>
      <c r="D125" s="215">
        <f>'Transmission Line Construct SD'!D30</f>
        <v>1.3113217479681371E-2</v>
      </c>
      <c r="E125" s="215">
        <f>'Transmission Line Construct SD'!E30</f>
        <v>2.3196336314100868E-4</v>
      </c>
      <c r="F125" s="215">
        <f>'Transmission Line Construct SD'!F30</f>
        <v>5.2755774364777012E-3</v>
      </c>
      <c r="G125" s="215">
        <f>'Transmission Line Construct SD'!G30</f>
        <v>2.2359529228767414E-3</v>
      </c>
      <c r="H125" s="215">
        <f>'Transmission Line Construct SD'!H30</f>
        <v>16.350081540241543</v>
      </c>
      <c r="I125" s="215">
        <f>'Transmission Line Construct SD'!I30</f>
        <v>9.8334721502185024E-4</v>
      </c>
      <c r="J125" s="215">
        <f>'Transmission Line Construct SD'!J30</f>
        <v>1.7914551566833017E-3</v>
      </c>
      <c r="K125" s="215">
        <f>'Transmission Line Construct SD'!K30</f>
        <v>5.4161392943640428E-4</v>
      </c>
      <c r="L125" s="215">
        <f>'Transmission Line Construct SD'!L30</f>
        <v>4.8124673072657102E-3</v>
      </c>
      <c r="M125" s="215">
        <f>'Transmission Line Construct SD'!M30</f>
        <v>4.3273617682948522E-4</v>
      </c>
      <c r="N125" s="215">
        <f>'Transmission Line Construct SD'!N30</f>
        <v>7.654790983653286E-6</v>
      </c>
      <c r="O125" s="215">
        <f>'Transmission Line Construct SD'!O30</f>
        <v>1.7409405540376411E-4</v>
      </c>
      <c r="P125" s="215">
        <f>'Transmission Line Construct SD'!P30</f>
        <v>7.3786446454932487E-5</v>
      </c>
      <c r="Q125" s="215">
        <f>'Transmission Line Construct SD'!Q30</f>
        <v>0.53955269082797086</v>
      </c>
      <c r="R125" s="215">
        <f>'Transmission Line Construct SD'!R30</f>
        <v>3.2450458095721061E-5</v>
      </c>
      <c r="S125" s="215">
        <f>'Transmission Line Construct SD'!S30</f>
        <v>5.9118020170548952E-5</v>
      </c>
    </row>
    <row r="126" spans="1:19" x14ac:dyDescent="0.25">
      <c r="A126" s="27" t="s">
        <v>121</v>
      </c>
      <c r="B126" s="215">
        <f>'Transmission Line Construct SD'!B31</f>
        <v>8.935927167340289E-3</v>
      </c>
      <c r="C126" s="215">
        <f>'Transmission Line Construct SD'!C31</f>
        <v>3.7702703422462201E-2</v>
      </c>
      <c r="D126" s="215">
        <f>'Transmission Line Construct SD'!D31</f>
        <v>0.12073324283968045</v>
      </c>
      <c r="E126" s="215">
        <f>'Transmission Line Construct SD'!E31</f>
        <v>3.8756587211495592E-4</v>
      </c>
      <c r="F126" s="215">
        <f>'Transmission Line Construct SD'!F31</f>
        <v>8.4789163778770174E-3</v>
      </c>
      <c r="G126" s="215">
        <f>'Transmission Line Construct SD'!G31</f>
        <v>4.4182774881863177E-3</v>
      </c>
      <c r="H126" s="215">
        <f>'Transmission Line Construct SD'!H31</f>
        <v>57.750103501326279</v>
      </c>
      <c r="I126" s="215">
        <f>'Transmission Line Construct SD'!I31</f>
        <v>3.3000141643762873E-3</v>
      </c>
      <c r="J126" s="215">
        <f>'Transmission Line Construct SD'!J31</f>
        <v>1.4793266512899742E-3</v>
      </c>
      <c r="K126" s="215">
        <f>'Transmission Line Construct SD'!K31</f>
        <v>2.0903950081466391E-4</v>
      </c>
      <c r="L126" s="215">
        <f>'Transmission Line Construct SD'!L31</f>
        <v>9.278250912999695E-4</v>
      </c>
      <c r="M126" s="215">
        <f>'Transmission Line Construct SD'!M31</f>
        <v>2.4387496078913831E-3</v>
      </c>
      <c r="N126" s="215">
        <f>'Transmission Line Construct SD'!N31</f>
        <v>8.37204786708946E-6</v>
      </c>
      <c r="O126" s="215">
        <f>'Transmission Line Construct SD'!O31</f>
        <v>2.3154905122881031E-4</v>
      </c>
      <c r="P126" s="215">
        <f>'Transmission Line Construct SD'!P31</f>
        <v>1.2803860333113128E-4</v>
      </c>
      <c r="Q126" s="215">
        <f>'Transmission Line Construct SD'!Q31</f>
        <v>1.1641328744952522</v>
      </c>
      <c r="R126" s="215">
        <f>'Transmission Line Construct SD'!R31</f>
        <v>6.652204484728219E-5</v>
      </c>
      <c r="S126" s="215">
        <f>'Transmission Line Construct SD'!S31</f>
        <v>2.9820427713070381E-5</v>
      </c>
    </row>
    <row r="127" spans="1:19" x14ac:dyDescent="0.25">
      <c r="A127" s="27" t="s">
        <v>122</v>
      </c>
      <c r="B127" s="215">
        <f>'Transmission Line Construct SD'!B32</f>
        <v>0</v>
      </c>
      <c r="C127" s="215">
        <f>'Transmission Line Construct SD'!C32</f>
        <v>0</v>
      </c>
      <c r="D127" s="215">
        <f>'Transmission Line Construct SD'!D32</f>
        <v>0</v>
      </c>
      <c r="E127" s="215">
        <f>'Transmission Line Construct SD'!E32</f>
        <v>0</v>
      </c>
      <c r="F127" s="215">
        <f>'Transmission Line Construct SD'!F32</f>
        <v>33.664200789237682</v>
      </c>
      <c r="G127" s="215">
        <f>'Transmission Line Construct SD'!G32</f>
        <v>10.045708467717198</v>
      </c>
      <c r="H127" s="215">
        <f>'Transmission Line Construct SD'!H32</f>
        <v>0</v>
      </c>
      <c r="I127" s="215">
        <f>'Transmission Line Construct SD'!I32</f>
        <v>0</v>
      </c>
      <c r="J127" s="215">
        <f>'Transmission Line Construct SD'!J32</f>
        <v>0</v>
      </c>
      <c r="K127" s="215">
        <f>'Transmission Line Construct SD'!K32</f>
        <v>0</v>
      </c>
      <c r="L127" s="215">
        <f>'Transmission Line Construct SD'!L32</f>
        <v>0</v>
      </c>
      <c r="M127" s="215">
        <f>'Transmission Line Construct SD'!M32</f>
        <v>0</v>
      </c>
      <c r="N127" s="215">
        <f>'Transmission Line Construct SD'!N32</f>
        <v>0</v>
      </c>
      <c r="O127" s="215">
        <f>'Transmission Line Construct SD'!O32</f>
        <v>1.4812248347264583</v>
      </c>
      <c r="P127" s="215">
        <f>'Transmission Line Construct SD'!P32</f>
        <v>0.44201117257955669</v>
      </c>
      <c r="Q127" s="215">
        <f>'Transmission Line Construct SD'!Q32</f>
        <v>0</v>
      </c>
      <c r="R127" s="215">
        <f>'Transmission Line Construct SD'!R32</f>
        <v>0</v>
      </c>
      <c r="S127" s="215">
        <f>'Transmission Line Construct SD'!S32</f>
        <v>0</v>
      </c>
    </row>
    <row r="128" spans="1:19" x14ac:dyDescent="0.25">
      <c r="A128" s="19" t="s">
        <v>123</v>
      </c>
      <c r="B128" s="22">
        <f>SUM(B124:B127)</f>
        <v>1.2049921578718701</v>
      </c>
      <c r="C128" s="22">
        <f t="shared" ref="C128:S128" si="9">SUM(C124:C127)</f>
        <v>7.2551183429651589</v>
      </c>
      <c r="D128" s="22">
        <f t="shared" si="9"/>
        <v>7.9658797219666528</v>
      </c>
      <c r="E128" s="22">
        <f t="shared" si="9"/>
        <v>3.0207212491966343E-2</v>
      </c>
      <c r="F128" s="22">
        <f t="shared" si="9"/>
        <v>33.989869150182628</v>
      </c>
      <c r="G128" s="22">
        <f t="shared" si="9"/>
        <v>10.329966039874485</v>
      </c>
      <c r="H128" s="22">
        <f t="shared" si="9"/>
        <v>3000.8618026426302</v>
      </c>
      <c r="I128" s="22">
        <f t="shared" si="9"/>
        <v>0.13798740568152143</v>
      </c>
      <c r="J128" s="22">
        <f t="shared" si="9"/>
        <v>0.74731394166446585</v>
      </c>
      <c r="K128" s="22">
        <f t="shared" si="9"/>
        <v>4.2483485259667775E-2</v>
      </c>
      <c r="L128" s="22">
        <f t="shared" si="9"/>
        <v>0.25501867656621591</v>
      </c>
      <c r="M128" s="22">
        <f t="shared" si="9"/>
        <v>0.28042291179260681</v>
      </c>
      <c r="N128" s="22">
        <f t="shared" si="9"/>
        <v>1.0487301517207214E-3</v>
      </c>
      <c r="O128" s="22">
        <f t="shared" si="9"/>
        <v>1.492724201731781</v>
      </c>
      <c r="P128" s="22">
        <f t="shared" si="9"/>
        <v>0.45208641189917709</v>
      </c>
      <c r="Q128" s="22">
        <f t="shared" si="9"/>
        <v>103.4270325068277</v>
      </c>
      <c r="R128" s="22">
        <f t="shared" si="9"/>
        <v>4.8334811591582713E-3</v>
      </c>
      <c r="S128" s="22">
        <f t="shared" si="9"/>
        <v>2.6456323918632781E-2</v>
      </c>
    </row>
    <row r="129" spans="1:19" x14ac:dyDescent="0.25">
      <c r="A129" s="19" t="s">
        <v>651</v>
      </c>
      <c r="B129" s="22">
        <f>B121+B128</f>
        <v>1.724862631964531</v>
      </c>
      <c r="C129" s="22">
        <f t="shared" ref="C129:S129" si="10">C121+C128</f>
        <v>10.303359762319554</v>
      </c>
      <c r="D129" s="22">
        <f t="shared" si="10"/>
        <v>11.221135190404979</v>
      </c>
      <c r="E129" s="22">
        <f t="shared" si="10"/>
        <v>3.994324560106996E-2</v>
      </c>
      <c r="F129" s="22">
        <f t="shared" si="10"/>
        <v>34.123856508019074</v>
      </c>
      <c r="G129" s="22">
        <f t="shared" si="10"/>
        <v>10.447322457581969</v>
      </c>
      <c r="H129" s="22">
        <f t="shared" si="10"/>
        <v>3878.6779938390091</v>
      </c>
      <c r="I129" s="22">
        <f t="shared" si="10"/>
        <v>0.19866980313311994</v>
      </c>
      <c r="J129" s="22">
        <f t="shared" si="10"/>
        <v>1.0560924783217029</v>
      </c>
      <c r="K129" s="22">
        <f t="shared" si="10"/>
        <v>6.6272479811004356E-2</v>
      </c>
      <c r="L129" s="22">
        <f t="shared" si="10"/>
        <v>0.38934699389794114</v>
      </c>
      <c r="M129" s="22">
        <f t="shared" si="10"/>
        <v>0.41879301019686244</v>
      </c>
      <c r="N129" s="22">
        <f t="shared" si="10"/>
        <v>1.399075485442863E-3</v>
      </c>
      <c r="O129" s="22">
        <f t="shared" si="10"/>
        <v>1.4987895411854106</v>
      </c>
      <c r="P129" s="22">
        <f t="shared" si="10"/>
        <v>0.45743457047642305</v>
      </c>
      <c r="Q129" s="22">
        <f t="shared" si="10"/>
        <v>134.91680027215614</v>
      </c>
      <c r="R129" s="22">
        <f t="shared" si="10"/>
        <v>7.3894718094558616E-3</v>
      </c>
      <c r="S129" s="22">
        <f t="shared" si="10"/>
        <v>3.9594718286152991E-2</v>
      </c>
    </row>
    <row r="130" spans="1:19" x14ac:dyDescent="0.25">
      <c r="A130" s="27" t="s">
        <v>344</v>
      </c>
      <c r="B130" s="213">
        <v>75</v>
      </c>
      <c r="C130" s="213">
        <v>550</v>
      </c>
      <c r="D130" s="213">
        <v>250</v>
      </c>
      <c r="E130" s="213">
        <v>150</v>
      </c>
      <c r="F130" s="213">
        <v>150</v>
      </c>
      <c r="G130" s="213">
        <v>55</v>
      </c>
      <c r="H130" s="27" t="s">
        <v>345</v>
      </c>
      <c r="I130" s="27" t="s">
        <v>345</v>
      </c>
      <c r="J130" s="27" t="s">
        <v>345</v>
      </c>
      <c r="K130" s="27" t="s">
        <v>345</v>
      </c>
      <c r="L130" s="27" t="s">
        <v>345</v>
      </c>
      <c r="M130" s="27" t="s">
        <v>345</v>
      </c>
      <c r="N130" s="27" t="s">
        <v>345</v>
      </c>
      <c r="O130" s="27" t="s">
        <v>345</v>
      </c>
      <c r="P130" s="27" t="s">
        <v>345</v>
      </c>
      <c r="Q130" s="27" t="s">
        <v>345</v>
      </c>
      <c r="R130" s="27" t="s">
        <v>345</v>
      </c>
      <c r="S130" s="27" t="s">
        <v>345</v>
      </c>
    </row>
    <row r="133" spans="1:19" x14ac:dyDescent="0.25">
      <c r="A133" s="585">
        <v>2019</v>
      </c>
    </row>
    <row r="134" spans="1:19" ht="39.6" x14ac:dyDescent="0.25">
      <c r="A134" s="19" t="s">
        <v>132</v>
      </c>
      <c r="B134" s="16" t="s">
        <v>18</v>
      </c>
      <c r="C134" s="16" t="s">
        <v>19</v>
      </c>
      <c r="D134" s="16" t="s">
        <v>20</v>
      </c>
      <c r="E134" s="16" t="s">
        <v>21</v>
      </c>
      <c r="F134" s="16" t="s">
        <v>22</v>
      </c>
      <c r="G134" s="16" t="s">
        <v>23</v>
      </c>
      <c r="H134" s="17" t="s">
        <v>24</v>
      </c>
      <c r="I134" s="16" t="s">
        <v>25</v>
      </c>
      <c r="J134" s="16" t="s">
        <v>26</v>
      </c>
      <c r="K134" s="18" t="s">
        <v>27</v>
      </c>
      <c r="L134" s="18" t="s">
        <v>28</v>
      </c>
      <c r="M134" s="18" t="s">
        <v>29</v>
      </c>
      <c r="N134" s="18" t="s">
        <v>30</v>
      </c>
      <c r="O134" s="18" t="s">
        <v>31</v>
      </c>
      <c r="P134" s="18" t="s">
        <v>32</v>
      </c>
      <c r="Q134" s="17" t="s">
        <v>33</v>
      </c>
      <c r="R134" s="18" t="s">
        <v>34</v>
      </c>
      <c r="S134" s="18" t="s">
        <v>35</v>
      </c>
    </row>
    <row r="135" spans="1:19" x14ac:dyDescent="0.25">
      <c r="A135" s="19" t="s">
        <v>641</v>
      </c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</row>
    <row r="136" spans="1:19" x14ac:dyDescent="0.25">
      <c r="A136" s="27" t="s">
        <v>75</v>
      </c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</row>
    <row r="137" spans="1:19" x14ac:dyDescent="0.25">
      <c r="A137" s="27" t="s">
        <v>119</v>
      </c>
      <c r="B137" s="215">
        <f>'Transmission Line Construct SD'!B41</f>
        <v>3.5589512607176088</v>
      </c>
      <c r="C137" s="215">
        <f>'Transmission Line Construct SD'!C41</f>
        <v>21.597916032493195</v>
      </c>
      <c r="D137" s="215">
        <f>'Transmission Line Construct SD'!D41</f>
        <v>21.120742486831212</v>
      </c>
      <c r="E137" s="215">
        <f>'Transmission Line Construct SD'!E41</f>
        <v>8.4035866515002916E-2</v>
      </c>
      <c r="F137" s="215">
        <f>'Transmission Line Construct SD'!F41</f>
        <v>0.82081983203201414</v>
      </c>
      <c r="G137" s="215">
        <f>'Transmission Line Construct SD'!G41</f>
        <v>0.7305296505084925</v>
      </c>
      <c r="H137" s="215">
        <f>'Transmission Line Construct SD'!H41</f>
        <v>7856.7046063420185</v>
      </c>
      <c r="I137" s="215">
        <f>'Transmission Line Construct SD'!I41</f>
        <v>0.45933176311137702</v>
      </c>
      <c r="J137" s="215">
        <f>'Transmission Line Construct SD'!J41</f>
        <v>2.0064705362489654</v>
      </c>
      <c r="K137" s="215">
        <f>'Transmission Line Construct SD'!K41</f>
        <v>6.6257132361475179E-2</v>
      </c>
      <c r="L137" s="215">
        <f>'Transmission Line Construct SD'!L41</f>
        <v>0.38387398009548213</v>
      </c>
      <c r="M137" s="215">
        <f>'Transmission Line Construct SD'!M41</f>
        <v>0.39093280587374224</v>
      </c>
      <c r="N137" s="215">
        <f>'Transmission Line Construct SD'!N41</f>
        <v>1.5936205653336193E-3</v>
      </c>
      <c r="O137" s="215">
        <f>'Transmission Line Construct SD'!O41</f>
        <v>1.4814027396784335E-2</v>
      </c>
      <c r="P137" s="215">
        <f>'Transmission Line Construct SD'!P41</f>
        <v>1.3184484383138058E-2</v>
      </c>
      <c r="Q137" s="215">
        <f>'Transmission Line Construct SD'!Q41</f>
        <v>148.72311023087366</v>
      </c>
      <c r="R137" s="215">
        <f>'Transmission Line Construct SD'!R41</f>
        <v>8.5532745408812838E-3</v>
      </c>
      <c r="S137" s="215">
        <f>'Transmission Line Construct SD'!S41</f>
        <v>3.7138616558005509E-2</v>
      </c>
    </row>
    <row r="138" spans="1:19" x14ac:dyDescent="0.25">
      <c r="A138" s="27" t="s">
        <v>120</v>
      </c>
      <c r="B138" s="215">
        <f>'Transmission Line Construct SD'!B42</f>
        <v>1.4735574111839502E-2</v>
      </c>
      <c r="C138" s="215">
        <f>'Transmission Line Construct SD'!C42</f>
        <v>0.12574694044104182</v>
      </c>
      <c r="D138" s="215">
        <f>'Transmission Line Construct SD'!D42</f>
        <v>1.1253629992564273E-2</v>
      </c>
      <c r="E138" s="215">
        <f>'Transmission Line Construct SD'!E42</f>
        <v>2.3145597191537442E-4</v>
      </c>
      <c r="F138" s="215">
        <f>'Transmission Line Construct SD'!F42</f>
        <v>5.2592680536753134E-3</v>
      </c>
      <c r="G138" s="215">
        <f>'Transmission Line Construct SD'!G42</f>
        <v>2.2210742376704501E-3</v>
      </c>
      <c r="H138" s="215">
        <f>'Transmission Line Construct SD'!H42</f>
        <v>15.191688625152761</v>
      </c>
      <c r="I138" s="215">
        <f>'Transmission Line Construct SD'!I42</f>
        <v>9.8234577808725904E-4</v>
      </c>
      <c r="J138" s="215">
        <f>'Transmission Line Construct SD'!J42</f>
        <v>1.7910145211794085E-3</v>
      </c>
      <c r="K138" s="215">
        <f>'Transmission Line Construct SD'!K42</f>
        <v>4.862739456907036E-4</v>
      </c>
      <c r="L138" s="215">
        <f>'Transmission Line Construct SD'!L42</f>
        <v>4.1496490345543802E-3</v>
      </c>
      <c r="M138" s="215">
        <f>'Transmission Line Construct SD'!M42</f>
        <v>3.7136978975462105E-4</v>
      </c>
      <c r="N138" s="215">
        <f>'Transmission Line Construct SD'!N42</f>
        <v>7.6380470732073557E-6</v>
      </c>
      <c r="O138" s="215">
        <f>'Transmission Line Construct SD'!O42</f>
        <v>1.7355584577128535E-4</v>
      </c>
      <c r="P138" s="215">
        <f>'Transmission Line Construct SD'!P42</f>
        <v>7.3295449843124863E-5</v>
      </c>
      <c r="Q138" s="215">
        <f>'Transmission Line Construct SD'!Q42</f>
        <v>0.5013257246300411</v>
      </c>
      <c r="R138" s="215">
        <f>'Transmission Line Construct SD'!R42</f>
        <v>3.2417410676879545E-5</v>
      </c>
      <c r="S138" s="215">
        <f>'Transmission Line Construct SD'!S42</f>
        <v>5.910347919892048E-5</v>
      </c>
    </row>
    <row r="139" spans="1:19" x14ac:dyDescent="0.25">
      <c r="A139" s="27" t="s">
        <v>121</v>
      </c>
      <c r="B139" s="215">
        <f>'Transmission Line Construct SD'!B43</f>
        <v>1.0840015668015592E-2</v>
      </c>
      <c r="C139" s="215">
        <f>'Transmission Line Construct SD'!C43</f>
        <v>4.5662969989472203E-2</v>
      </c>
      <c r="D139" s="215">
        <f>'Transmission Line Construct SD'!D43</f>
        <v>0.13462249501801762</v>
      </c>
      <c r="E139" s="215">
        <f>'Transmission Line Construct SD'!E43</f>
        <v>4.9260473583143051E-4</v>
      </c>
      <c r="F139" s="215">
        <f>'Transmission Line Construct SD'!F43</f>
        <v>1.0527624480224752E-2</v>
      </c>
      <c r="G139" s="215">
        <f>'Transmission Line Construct SD'!G43</f>
        <v>5.3920497227666056E-3</v>
      </c>
      <c r="H139" s="215">
        <f>'Transmission Line Construct SD'!H43</f>
        <v>72.072407641135413</v>
      </c>
      <c r="I139" s="215">
        <f>'Transmission Line Construct SD'!I43</f>
        <v>4.1184335898374006E-3</v>
      </c>
      <c r="J139" s="215">
        <f>'Transmission Line Construct SD'!J43</f>
        <v>1.8462067941353247E-3</v>
      </c>
      <c r="K139" s="215">
        <f>'Transmission Line Construct SD'!K43</f>
        <v>2.1248149115114906E-4</v>
      </c>
      <c r="L139" s="215">
        <f>'Transmission Line Construct SD'!L43</f>
        <v>9.3947738447579384E-4</v>
      </c>
      <c r="M139" s="215">
        <f>'Transmission Line Construct SD'!M43</f>
        <v>2.3630660939680569E-3</v>
      </c>
      <c r="N139" s="215">
        <f>'Transmission Line Construct SD'!N43</f>
        <v>9.1689899577103139E-6</v>
      </c>
      <c r="O139" s="215">
        <f>'Transmission Line Construct SD'!O43</f>
        <v>2.4004063113823189E-4</v>
      </c>
      <c r="P139" s="215">
        <f>'Transmission Line Construct SD'!P43</f>
        <v>1.2870957133019487E-4</v>
      </c>
      <c r="Q139" s="215">
        <f>'Transmission Line Construct SD'!Q43</f>
        <v>1.2551701864064253</v>
      </c>
      <c r="R139" s="215">
        <f>'Transmission Line Construct SD'!R43</f>
        <v>7.1724189961822348E-5</v>
      </c>
      <c r="S139" s="215">
        <f>'Transmission Line Construct SD'!S43</f>
        <v>3.2152439494986993E-5</v>
      </c>
    </row>
    <row r="140" spans="1:19" x14ac:dyDescent="0.25">
      <c r="A140" s="27" t="s">
        <v>122</v>
      </c>
      <c r="B140" s="215">
        <f>'Transmission Line Construct SD'!B44</f>
        <v>0</v>
      </c>
      <c r="C140" s="215">
        <f>'Transmission Line Construct SD'!C44</f>
        <v>0</v>
      </c>
      <c r="D140" s="215">
        <f>'Transmission Line Construct SD'!D44</f>
        <v>0</v>
      </c>
      <c r="E140" s="215">
        <f>'Transmission Line Construct SD'!E44</f>
        <v>0</v>
      </c>
      <c r="F140" s="215">
        <f>'Transmission Line Construct SD'!F44</f>
        <v>33.664200789237682</v>
      </c>
      <c r="G140" s="215">
        <f>'Transmission Line Construct SD'!G44</f>
        <v>10.045708467717198</v>
      </c>
      <c r="H140" s="215">
        <f>'Transmission Line Construct SD'!H44</f>
        <v>0</v>
      </c>
      <c r="I140" s="215">
        <f>'Transmission Line Construct SD'!I44</f>
        <v>0</v>
      </c>
      <c r="J140" s="215">
        <f>'Transmission Line Construct SD'!J44</f>
        <v>0</v>
      </c>
      <c r="K140" s="215">
        <f>'Transmission Line Construct SD'!K44</f>
        <v>0</v>
      </c>
      <c r="L140" s="215">
        <f>'Transmission Line Construct SD'!L44</f>
        <v>0</v>
      </c>
      <c r="M140" s="215">
        <f>'Transmission Line Construct SD'!M44</f>
        <v>0</v>
      </c>
      <c r="N140" s="215">
        <f>'Transmission Line Construct SD'!N44</f>
        <v>0</v>
      </c>
      <c r="O140" s="215">
        <f>'Transmission Line Construct SD'!O44</f>
        <v>2.5921434607713016</v>
      </c>
      <c r="P140" s="215">
        <f>'Transmission Line Construct SD'!P44</f>
        <v>0.77351955201422418</v>
      </c>
      <c r="Q140" s="215">
        <f>'Transmission Line Construct SD'!Q44</f>
        <v>0</v>
      </c>
      <c r="R140" s="215">
        <f>'Transmission Line Construct SD'!R44</f>
        <v>0</v>
      </c>
      <c r="S140" s="215">
        <f>'Transmission Line Construct SD'!S44</f>
        <v>0</v>
      </c>
    </row>
    <row r="141" spans="1:19" x14ac:dyDescent="0.25">
      <c r="A141" s="19" t="s">
        <v>123</v>
      </c>
      <c r="B141" s="22">
        <f>SUM(B137:B140)</f>
        <v>3.5845268504974639</v>
      </c>
      <c r="C141" s="22">
        <f t="shared" ref="C141:S141" si="11">SUM(C137:C140)</f>
        <v>21.769325942923707</v>
      </c>
      <c r="D141" s="22">
        <f t="shared" si="11"/>
        <v>21.266618611841793</v>
      </c>
      <c r="E141" s="22">
        <f t="shared" si="11"/>
        <v>8.475992722274972E-2</v>
      </c>
      <c r="F141" s="22">
        <f t="shared" si="11"/>
        <v>34.500807513803593</v>
      </c>
      <c r="G141" s="22">
        <f t="shared" si="11"/>
        <v>10.783851242186127</v>
      </c>
      <c r="H141" s="22">
        <f t="shared" si="11"/>
        <v>7943.9687026083066</v>
      </c>
      <c r="I141" s="22">
        <f t="shared" si="11"/>
        <v>0.46443254247930166</v>
      </c>
      <c r="J141" s="22">
        <f t="shared" si="11"/>
        <v>2.0101077575642798</v>
      </c>
      <c r="K141" s="22">
        <f t="shared" si="11"/>
        <v>6.6955887798317029E-2</v>
      </c>
      <c r="L141" s="22">
        <f t="shared" si="11"/>
        <v>0.38896310651451232</v>
      </c>
      <c r="M141" s="22">
        <f t="shared" si="11"/>
        <v>0.39366724175746493</v>
      </c>
      <c r="N141" s="22">
        <f t="shared" si="11"/>
        <v>1.6104276023645372E-3</v>
      </c>
      <c r="O141" s="22">
        <f t="shared" si="11"/>
        <v>2.6073710846449956</v>
      </c>
      <c r="P141" s="22">
        <f t="shared" si="11"/>
        <v>0.7869060414185356</v>
      </c>
      <c r="Q141" s="22">
        <f t="shared" si="11"/>
        <v>150.47960614191012</v>
      </c>
      <c r="R141" s="22">
        <f t="shared" si="11"/>
        <v>8.6574161415199861E-3</v>
      </c>
      <c r="S141" s="22">
        <f t="shared" si="11"/>
        <v>3.722987247669942E-2</v>
      </c>
    </row>
    <row r="142" spans="1:19" x14ac:dyDescent="0.25">
      <c r="A142" s="19" t="s">
        <v>652</v>
      </c>
      <c r="B142" s="22">
        <f>B141</f>
        <v>3.5845268504974639</v>
      </c>
      <c r="C142" s="22">
        <f t="shared" ref="C142:S142" si="12">C141</f>
        <v>21.769325942923707</v>
      </c>
      <c r="D142" s="22">
        <f t="shared" si="12"/>
        <v>21.266618611841793</v>
      </c>
      <c r="E142" s="22">
        <f t="shared" si="12"/>
        <v>8.475992722274972E-2</v>
      </c>
      <c r="F142" s="22">
        <f t="shared" si="12"/>
        <v>34.500807513803593</v>
      </c>
      <c r="G142" s="22">
        <f t="shared" si="12"/>
        <v>10.783851242186127</v>
      </c>
      <c r="H142" s="22">
        <f t="shared" si="12"/>
        <v>7943.9687026083066</v>
      </c>
      <c r="I142" s="22">
        <f t="shared" si="12"/>
        <v>0.46443254247930166</v>
      </c>
      <c r="J142" s="22">
        <f t="shared" si="12"/>
        <v>2.0101077575642798</v>
      </c>
      <c r="K142" s="22">
        <f t="shared" si="12"/>
        <v>6.6955887798317029E-2</v>
      </c>
      <c r="L142" s="22">
        <f t="shared" si="12"/>
        <v>0.38896310651451232</v>
      </c>
      <c r="M142" s="22">
        <f t="shared" si="12"/>
        <v>0.39366724175746493</v>
      </c>
      <c r="N142" s="22">
        <f t="shared" si="12"/>
        <v>1.6104276023645372E-3</v>
      </c>
      <c r="O142" s="22">
        <f t="shared" si="12"/>
        <v>2.6073710846449956</v>
      </c>
      <c r="P142" s="22">
        <f t="shared" si="12"/>
        <v>0.7869060414185356</v>
      </c>
      <c r="Q142" s="22">
        <f t="shared" si="12"/>
        <v>150.47960614191012</v>
      </c>
      <c r="R142" s="22">
        <f t="shared" si="12"/>
        <v>8.6574161415199861E-3</v>
      </c>
      <c r="S142" s="22">
        <f t="shared" si="12"/>
        <v>3.722987247669942E-2</v>
      </c>
    </row>
    <row r="143" spans="1:19" x14ac:dyDescent="0.25">
      <c r="A143" s="27" t="s">
        <v>344</v>
      </c>
      <c r="B143" s="213">
        <v>75</v>
      </c>
      <c r="C143" s="213">
        <v>550</v>
      </c>
      <c r="D143" s="213">
        <v>250</v>
      </c>
      <c r="E143" s="213">
        <v>150</v>
      </c>
      <c r="F143" s="213">
        <v>150</v>
      </c>
      <c r="G143" s="213">
        <v>55</v>
      </c>
      <c r="H143" s="27" t="s">
        <v>345</v>
      </c>
      <c r="I143" s="27" t="s">
        <v>345</v>
      </c>
      <c r="J143" s="27" t="s">
        <v>345</v>
      </c>
      <c r="K143" s="27" t="s">
        <v>345</v>
      </c>
      <c r="L143" s="27" t="s">
        <v>345</v>
      </c>
      <c r="M143" s="27" t="s">
        <v>345</v>
      </c>
      <c r="N143" s="27" t="s">
        <v>345</v>
      </c>
      <c r="O143" s="27" t="s">
        <v>345</v>
      </c>
      <c r="P143" s="27" t="s">
        <v>345</v>
      </c>
      <c r="Q143" s="27" t="s">
        <v>345</v>
      </c>
      <c r="R143" s="27" t="s">
        <v>345</v>
      </c>
      <c r="S143" s="27" t="s">
        <v>345</v>
      </c>
    </row>
    <row r="146" spans="1:19" x14ac:dyDescent="0.25">
      <c r="A146" s="585">
        <v>2020</v>
      </c>
    </row>
    <row r="147" spans="1:19" ht="39.6" x14ac:dyDescent="0.25">
      <c r="A147" s="19" t="s">
        <v>132</v>
      </c>
      <c r="B147" s="16" t="s">
        <v>18</v>
      </c>
      <c r="C147" s="16" t="s">
        <v>19</v>
      </c>
      <c r="D147" s="16" t="s">
        <v>20</v>
      </c>
      <c r="E147" s="16" t="s">
        <v>21</v>
      </c>
      <c r="F147" s="16" t="s">
        <v>22</v>
      </c>
      <c r="G147" s="16" t="s">
        <v>23</v>
      </c>
      <c r="H147" s="17" t="s">
        <v>24</v>
      </c>
      <c r="I147" s="16" t="s">
        <v>25</v>
      </c>
      <c r="J147" s="16" t="s">
        <v>26</v>
      </c>
      <c r="K147" s="18" t="s">
        <v>27</v>
      </c>
      <c r="L147" s="18" t="s">
        <v>28</v>
      </c>
      <c r="M147" s="18" t="s">
        <v>29</v>
      </c>
      <c r="N147" s="18" t="s">
        <v>30</v>
      </c>
      <c r="O147" s="18" t="s">
        <v>31</v>
      </c>
      <c r="P147" s="18" t="s">
        <v>32</v>
      </c>
      <c r="Q147" s="17" t="s">
        <v>33</v>
      </c>
      <c r="R147" s="18" t="s">
        <v>34</v>
      </c>
      <c r="S147" s="18" t="s">
        <v>35</v>
      </c>
    </row>
    <row r="148" spans="1:19" x14ac:dyDescent="0.25">
      <c r="A148" s="19" t="s">
        <v>641</v>
      </c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</row>
    <row r="149" spans="1:19" x14ac:dyDescent="0.25">
      <c r="A149" s="27" t="s">
        <v>75</v>
      </c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</row>
    <row r="150" spans="1:19" x14ac:dyDescent="0.25">
      <c r="A150" s="27" t="s">
        <v>119</v>
      </c>
      <c r="B150" s="215">
        <f>'Transmission Line Construct SD'!B53</f>
        <v>2.0184804043187983</v>
      </c>
      <c r="C150" s="215">
        <f>'Transmission Line Construct SD'!C53</f>
        <v>18.864365755536284</v>
      </c>
      <c r="D150" s="215">
        <f>'Transmission Line Construct SD'!D53</f>
        <v>12.279065719820116</v>
      </c>
      <c r="E150" s="215">
        <f>'Transmission Line Construct SD'!E53</f>
        <v>6.0850372706660202E-2</v>
      </c>
      <c r="F150" s="215">
        <f>'Transmission Line Construct SD'!F53</f>
        <v>0.46299773870706645</v>
      </c>
      <c r="G150" s="215">
        <f>'Transmission Line Construct SD'!G53</f>
        <v>0.41206798744928919</v>
      </c>
      <c r="H150" s="215">
        <f>'Transmission Line Construct SD'!H53</f>
        <v>5766.1199419160785</v>
      </c>
      <c r="I150" s="215">
        <f>'Transmission Line Construct SD'!I53</f>
        <v>0.28091425749139015</v>
      </c>
      <c r="J150" s="215">
        <f>'Transmission Line Construct SD'!J53</f>
        <v>1.166511243382911</v>
      </c>
      <c r="K150" s="215">
        <f>'Transmission Line Construct SD'!K53</f>
        <v>8.0582689301002874E-2</v>
      </c>
      <c r="L150" s="215">
        <f>'Transmission Line Construct SD'!L53</f>
        <v>0.77162676771885808</v>
      </c>
      <c r="M150" s="215">
        <f>'Transmission Line Construct SD'!M53</f>
        <v>0.51665533399924124</v>
      </c>
      <c r="N150" s="215">
        <f>'Transmission Line Construct SD'!N53</f>
        <v>2.3307906019399559E-3</v>
      </c>
      <c r="O150" s="215">
        <f>'Transmission Line Construct SD'!O53</f>
        <v>1.9207104959316854E-2</v>
      </c>
      <c r="P150" s="215">
        <f>'Transmission Line Construct SD'!P53</f>
        <v>1.7094323413792002E-2</v>
      </c>
      <c r="Q150" s="215">
        <f>'Transmission Line Construct SD'!Q53</f>
        <v>219.26311975600825</v>
      </c>
      <c r="R150" s="215">
        <f>'Transmission Line Construct SD'!R53</f>
        <v>1.1368027250977575E-2</v>
      </c>
      <c r="S150" s="215">
        <f>'Transmission Line Construct SD'!S53</f>
        <v>4.9082256729927928E-2</v>
      </c>
    </row>
    <row r="151" spans="1:19" x14ac:dyDescent="0.25">
      <c r="A151" s="27" t="s">
        <v>120</v>
      </c>
      <c r="B151" s="215">
        <f>'Transmission Line Construct SD'!B54</f>
        <v>1.4735574111839502E-2</v>
      </c>
      <c r="C151" s="215">
        <f>'Transmission Line Construct SD'!C54</f>
        <v>0.12574694044104182</v>
      </c>
      <c r="D151" s="215">
        <f>'Transmission Line Construct SD'!D54</f>
        <v>1.1253629992564273E-2</v>
      </c>
      <c r="E151" s="215">
        <f>'Transmission Line Construct SD'!E54</f>
        <v>2.3145597191537442E-4</v>
      </c>
      <c r="F151" s="215">
        <f>'Transmission Line Construct SD'!F54</f>
        <v>5.2592680536753134E-3</v>
      </c>
      <c r="G151" s="215">
        <f>'Transmission Line Construct SD'!G54</f>
        <v>2.2210742376704501E-3</v>
      </c>
      <c r="H151" s="215">
        <f>'Transmission Line Construct SD'!H54</f>
        <v>15.191688625152761</v>
      </c>
      <c r="I151" s="215">
        <f>'Transmission Line Construct SD'!I54</f>
        <v>9.8234577808725904E-4</v>
      </c>
      <c r="J151" s="215">
        <f>'Transmission Line Construct SD'!J54</f>
        <v>1.7910145211794085E-3</v>
      </c>
      <c r="K151" s="215">
        <f>'Transmission Line Construct SD'!K54</f>
        <v>4.862739456907036E-4</v>
      </c>
      <c r="L151" s="215">
        <f>'Transmission Line Construct SD'!L54</f>
        <v>4.1496490345543802E-3</v>
      </c>
      <c r="M151" s="215">
        <f>'Transmission Line Construct SD'!M54</f>
        <v>3.7136978975462105E-4</v>
      </c>
      <c r="N151" s="215">
        <f>'Transmission Line Construct SD'!N54</f>
        <v>7.6380470732073557E-6</v>
      </c>
      <c r="O151" s="215">
        <f>'Transmission Line Construct SD'!O54</f>
        <v>1.7355584577128535E-4</v>
      </c>
      <c r="P151" s="215">
        <f>'Transmission Line Construct SD'!P54</f>
        <v>7.3295449843124863E-5</v>
      </c>
      <c r="Q151" s="215">
        <f>'Transmission Line Construct SD'!Q54</f>
        <v>0.5013257246300411</v>
      </c>
      <c r="R151" s="215">
        <f>'Transmission Line Construct SD'!R54</f>
        <v>3.2417410676879545E-5</v>
      </c>
      <c r="S151" s="215">
        <f>'Transmission Line Construct SD'!S54</f>
        <v>5.910347919892048E-5</v>
      </c>
    </row>
    <row r="152" spans="1:19" x14ac:dyDescent="0.25">
      <c r="A152" s="27" t="s">
        <v>121</v>
      </c>
      <c r="B152" s="215">
        <f>'Transmission Line Construct SD'!B55</f>
        <v>1.0518714683508637E-2</v>
      </c>
      <c r="C152" s="215">
        <f>'Transmission Line Construct SD'!C55</f>
        <v>4.4212427212940004E-2</v>
      </c>
      <c r="D152" s="215">
        <f>'Transmission Line Construct SD'!D55</f>
        <v>0.11984505421690808</v>
      </c>
      <c r="E152" s="215">
        <f>'Transmission Line Construct SD'!E55</f>
        <v>4.9260473583143051E-4</v>
      </c>
      <c r="F152" s="215">
        <f>'Transmission Line Construct SD'!F55</f>
        <v>1.0372639237528358E-2</v>
      </c>
      <c r="G152" s="215">
        <f>'Transmission Line Construct SD'!G55</f>
        <v>5.249463313161595E-3</v>
      </c>
      <c r="H152" s="215">
        <f>'Transmission Line Construct SD'!H55</f>
        <v>70.373260204596448</v>
      </c>
      <c r="I152" s="215">
        <f>'Transmission Line Construct SD'!I55</f>
        <v>4.0213392078712554E-3</v>
      </c>
      <c r="J152" s="215">
        <f>'Transmission Line Construct SD'!J55</f>
        <v>1.8026814334009427E-3</v>
      </c>
      <c r="K152" s="215">
        <f>'Transmission Line Construct SD'!K55</f>
        <v>2.0288795641570091E-4</v>
      </c>
      <c r="L152" s="215">
        <f>'Transmission Line Construct SD'!L55</f>
        <v>8.9476587515450263E-4</v>
      </c>
      <c r="M152" s="215">
        <f>'Transmission Line Construct SD'!M55</f>
        <v>2.1157494301835443E-3</v>
      </c>
      <c r="N152" s="215">
        <f>'Transmission Line Construct SD'!N55</f>
        <v>9.1689899577103139E-6</v>
      </c>
      <c r="O152" s="215">
        <f>'Transmission Line Construct SD'!O55</f>
        <v>2.3345182599444786E-4</v>
      </c>
      <c r="P152" s="215">
        <f>'Transmission Line Construct SD'!P55</f>
        <v>1.2264787135007535E-4</v>
      </c>
      <c r="Q152" s="215">
        <f>'Transmission Line Construct SD'!Q55</f>
        <v>1.2237903568044448</v>
      </c>
      <c r="R152" s="215">
        <f>'Transmission Line Construct SD'!R55</f>
        <v>6.9931052358876409E-5</v>
      </c>
      <c r="S152" s="215">
        <f>'Transmission Line Construct SD'!S55</f>
        <v>3.1348613779902654E-5</v>
      </c>
    </row>
    <row r="153" spans="1:19" s="612" customFormat="1" x14ac:dyDescent="0.25">
      <c r="A153" s="27" t="s">
        <v>656</v>
      </c>
      <c r="B153" s="215">
        <f>'Transmission Line Construct SD'!B56</f>
        <v>12.830799050242181</v>
      </c>
      <c r="C153" s="215">
        <f>'Transmission Line Construct SD'!C56</f>
        <v>66.887438003316817</v>
      </c>
      <c r="D153" s="215">
        <f>'Transmission Line Construct SD'!D56</f>
        <v>66.887438003316817</v>
      </c>
      <c r="E153" s="215">
        <f>'Transmission Line Construct SD'!E56</f>
        <v>12.314722567340549</v>
      </c>
      <c r="F153" s="215">
        <f>'Transmission Line Construct SD'!F56</f>
        <v>22.109244879957675</v>
      </c>
      <c r="G153" s="215">
        <f>'Transmission Line Construct SD'!G56</f>
        <v>22.109244879957675</v>
      </c>
      <c r="H153" s="215">
        <f>'Transmission Line Construct SD'!H56</f>
        <v>30084.642801206399</v>
      </c>
      <c r="I153" s="215">
        <f>'Transmission Line Construct SD'!I56</f>
        <v>0</v>
      </c>
      <c r="J153" s="215">
        <f>'Transmission Line Construct SD'!J56</f>
        <v>0</v>
      </c>
      <c r="K153" s="215">
        <f>'Transmission Line Construct SD'!K56</f>
        <v>0.12830799050242181</v>
      </c>
      <c r="L153" s="215">
        <f>'Transmission Line Construct SD'!L56</f>
        <v>0.66887438003316801</v>
      </c>
      <c r="M153" s="215">
        <f>'Transmission Line Construct SD'!M56</f>
        <v>0.66887438003316801</v>
      </c>
      <c r="N153" s="215">
        <f>'Transmission Line Construct SD'!N56</f>
        <v>0.1231472256734055</v>
      </c>
      <c r="O153" s="215">
        <f>'Transmission Line Construct SD'!O56</f>
        <v>0.22109244879957674</v>
      </c>
      <c r="P153" s="215">
        <f>'Transmission Line Construct SD'!P56</f>
        <v>0.22109244879957674</v>
      </c>
      <c r="Q153" s="215">
        <f>'Transmission Line Construct SD'!Q56</f>
        <v>300.846428012064</v>
      </c>
      <c r="R153" s="215">
        <f>'Transmission Line Construct SD'!R56</f>
        <v>0</v>
      </c>
      <c r="S153" s="215">
        <f>'Transmission Line Construct SD'!S56</f>
        <v>0</v>
      </c>
    </row>
    <row r="154" spans="1:19" x14ac:dyDescent="0.25">
      <c r="A154" s="27" t="s">
        <v>122</v>
      </c>
      <c r="B154" s="215">
        <f>'Transmission Line Construct SD'!B57</f>
        <v>0</v>
      </c>
      <c r="C154" s="215">
        <f>'Transmission Line Construct SD'!C57</f>
        <v>0</v>
      </c>
      <c r="D154" s="215">
        <f>'Transmission Line Construct SD'!D57</f>
        <v>0</v>
      </c>
      <c r="E154" s="215">
        <f>'Transmission Line Construct SD'!E57</f>
        <v>0</v>
      </c>
      <c r="F154" s="215">
        <f>'Transmission Line Construct SD'!F57</f>
        <v>33.93351439555159</v>
      </c>
      <c r="G154" s="215">
        <f>'Transmission Line Construct SD'!G57</f>
        <v>10.126074135458936</v>
      </c>
      <c r="H154" s="215">
        <f>'Transmission Line Construct SD'!H57</f>
        <v>0</v>
      </c>
      <c r="I154" s="215">
        <f>'Transmission Line Construct SD'!I57</f>
        <v>0</v>
      </c>
      <c r="J154" s="215">
        <f>'Transmission Line Construct SD'!J57</f>
        <v>0</v>
      </c>
      <c r="K154" s="215">
        <f>'Transmission Line Construct SD'!K57</f>
        <v>0</v>
      </c>
      <c r="L154" s="215">
        <f>'Transmission Line Construct SD'!L57</f>
        <v>0</v>
      </c>
      <c r="M154" s="215">
        <f>'Transmission Line Construct SD'!M57</f>
        <v>0</v>
      </c>
      <c r="N154" s="215">
        <f>'Transmission Line Construct SD'!N57</f>
        <v>0</v>
      </c>
      <c r="O154" s="215">
        <f>'Transmission Line Construct SD'!O57</f>
        <v>2.6128806084574721</v>
      </c>
      <c r="P154" s="215">
        <f>'Transmission Line Construct SD'!P57</f>
        <v>0.77970770843033799</v>
      </c>
      <c r="Q154" s="215">
        <f>'Transmission Line Construct SD'!Q57</f>
        <v>0</v>
      </c>
      <c r="R154" s="215">
        <f>'Transmission Line Construct SD'!R57</f>
        <v>0</v>
      </c>
      <c r="S154" s="215">
        <f>'Transmission Line Construct SD'!S57</f>
        <v>0</v>
      </c>
    </row>
    <row r="155" spans="1:19" x14ac:dyDescent="0.25">
      <c r="A155" s="19" t="s">
        <v>123</v>
      </c>
      <c r="B155" s="22">
        <f>SUM(B150:B154)</f>
        <v>14.874533743356327</v>
      </c>
      <c r="C155" s="22">
        <f t="shared" ref="C155:S155" si="13">SUM(C150:C154)</f>
        <v>85.921763126507074</v>
      </c>
      <c r="D155" s="22">
        <f t="shared" si="13"/>
        <v>79.297602407346403</v>
      </c>
      <c r="E155" s="22">
        <f t="shared" si="13"/>
        <v>12.376297000754956</v>
      </c>
      <c r="F155" s="22">
        <f t="shared" si="13"/>
        <v>56.521388921507537</v>
      </c>
      <c r="G155" s="22">
        <f t="shared" si="13"/>
        <v>32.654857540416728</v>
      </c>
      <c r="H155" s="22">
        <f t="shared" si="13"/>
        <v>35936.327691952225</v>
      </c>
      <c r="I155" s="22">
        <f t="shared" si="13"/>
        <v>0.28591794247734864</v>
      </c>
      <c r="J155" s="22">
        <f t="shared" si="13"/>
        <v>1.1701049393374914</v>
      </c>
      <c r="K155" s="22">
        <f t="shared" si="13"/>
        <v>0.20957984170553107</v>
      </c>
      <c r="L155" s="22">
        <f t="shared" si="13"/>
        <v>1.4455455626617351</v>
      </c>
      <c r="M155" s="22">
        <f t="shared" si="13"/>
        <v>1.1880168332523473</v>
      </c>
      <c r="N155" s="22">
        <f t="shared" si="13"/>
        <v>0.12549482331237638</v>
      </c>
      <c r="O155" s="22">
        <f t="shared" si="13"/>
        <v>2.8535871698881312</v>
      </c>
      <c r="P155" s="22">
        <f t="shared" si="13"/>
        <v>1.0180904239649</v>
      </c>
      <c r="Q155" s="22">
        <f t="shared" si="13"/>
        <v>521.8346638495068</v>
      </c>
      <c r="R155" s="22">
        <f t="shared" si="13"/>
        <v>1.1470375714013331E-2</v>
      </c>
      <c r="S155" s="22">
        <f t="shared" si="13"/>
        <v>4.9172708822906752E-2</v>
      </c>
    </row>
    <row r="156" spans="1:19" x14ac:dyDescent="0.25">
      <c r="A156" s="19" t="s">
        <v>653</v>
      </c>
      <c r="B156" s="22">
        <f>B155</f>
        <v>14.874533743356327</v>
      </c>
      <c r="C156" s="22">
        <f t="shared" ref="C156:S156" si="14">C155</f>
        <v>85.921763126507074</v>
      </c>
      <c r="D156" s="22">
        <f t="shared" si="14"/>
        <v>79.297602407346403</v>
      </c>
      <c r="E156" s="22">
        <f t="shared" si="14"/>
        <v>12.376297000754956</v>
      </c>
      <c r="F156" s="22">
        <f t="shared" si="14"/>
        <v>56.521388921507537</v>
      </c>
      <c r="G156" s="22">
        <f t="shared" si="14"/>
        <v>32.654857540416728</v>
      </c>
      <c r="H156" s="22">
        <f t="shared" si="14"/>
        <v>35936.327691952225</v>
      </c>
      <c r="I156" s="22">
        <f t="shared" si="14"/>
        <v>0.28591794247734864</v>
      </c>
      <c r="J156" s="22">
        <f t="shared" si="14"/>
        <v>1.1701049393374914</v>
      </c>
      <c r="K156" s="22">
        <f t="shared" si="14"/>
        <v>0.20957984170553107</v>
      </c>
      <c r="L156" s="22">
        <f t="shared" si="14"/>
        <v>1.4455455626617351</v>
      </c>
      <c r="M156" s="22">
        <f t="shared" si="14"/>
        <v>1.1880168332523473</v>
      </c>
      <c r="N156" s="22">
        <f t="shared" si="14"/>
        <v>0.12549482331237638</v>
      </c>
      <c r="O156" s="22">
        <f t="shared" si="14"/>
        <v>2.8535871698881312</v>
      </c>
      <c r="P156" s="22">
        <f t="shared" si="14"/>
        <v>1.0180904239649</v>
      </c>
      <c r="Q156" s="22">
        <f t="shared" si="14"/>
        <v>521.8346638495068</v>
      </c>
      <c r="R156" s="22">
        <f t="shared" si="14"/>
        <v>1.1470375714013331E-2</v>
      </c>
      <c r="S156" s="22">
        <f t="shared" si="14"/>
        <v>4.9172708822906752E-2</v>
      </c>
    </row>
    <row r="157" spans="1:19" x14ac:dyDescent="0.25">
      <c r="A157" s="27" t="s">
        <v>344</v>
      </c>
      <c r="B157" s="213">
        <v>75</v>
      </c>
      <c r="C157" s="213">
        <v>550</v>
      </c>
      <c r="D157" s="213">
        <v>250</v>
      </c>
      <c r="E157" s="213">
        <v>150</v>
      </c>
      <c r="F157" s="213">
        <v>150</v>
      </c>
      <c r="G157" s="213">
        <v>55</v>
      </c>
      <c r="H157" s="27" t="s">
        <v>345</v>
      </c>
      <c r="I157" s="27" t="s">
        <v>345</v>
      </c>
      <c r="J157" s="27" t="s">
        <v>345</v>
      </c>
      <c r="K157" s="27" t="s">
        <v>345</v>
      </c>
      <c r="L157" s="27" t="s">
        <v>345</v>
      </c>
      <c r="M157" s="27" t="s">
        <v>345</v>
      </c>
      <c r="N157" s="27" t="s">
        <v>345</v>
      </c>
      <c r="O157" s="27" t="s">
        <v>345</v>
      </c>
      <c r="P157" s="27" t="s">
        <v>345</v>
      </c>
      <c r="Q157" s="27" t="s">
        <v>345</v>
      </c>
      <c r="R157" s="27" t="s">
        <v>345</v>
      </c>
      <c r="S157" s="27" t="s">
        <v>345</v>
      </c>
    </row>
    <row r="159" spans="1:19" x14ac:dyDescent="0.25">
      <c r="M159" s="612" t="s">
        <v>347</v>
      </c>
      <c r="N159" s="612"/>
      <c r="O159" s="612"/>
      <c r="P159" s="612"/>
      <c r="Q159" s="98">
        <f>Q142+Q156</f>
        <v>672.31426999141695</v>
      </c>
      <c r="R159" s="98">
        <f>R142+R156</f>
        <v>2.0127791855533317E-2</v>
      </c>
      <c r="S159" s="98">
        <f>S142+S156</f>
        <v>8.6402581299606179E-2</v>
      </c>
    </row>
    <row r="160" spans="1:19" x14ac:dyDescent="0.25">
      <c r="M160" s="612" t="s">
        <v>657</v>
      </c>
      <c r="N160" s="612"/>
      <c r="O160" s="612"/>
      <c r="P160" s="612"/>
      <c r="Q160" s="98">
        <f>Q159</f>
        <v>672.31426999141695</v>
      </c>
      <c r="R160" s="612">
        <f>21*R159</f>
        <v>0.42268362896619965</v>
      </c>
      <c r="S160" s="612">
        <f>310*S159</f>
        <v>26.784800202877914</v>
      </c>
    </row>
    <row r="161" spans="13:19" x14ac:dyDescent="0.25">
      <c r="M161" s="616" t="s">
        <v>657</v>
      </c>
      <c r="N161" s="612"/>
      <c r="O161" s="612"/>
      <c r="P161" s="612"/>
      <c r="Q161" s="98">
        <f>SUM(Q160:S160)</f>
        <v>699.52175382326107</v>
      </c>
      <c r="R161" s="612"/>
      <c r="S161" s="612"/>
    </row>
  </sheetData>
  <pageMargins left="0.7" right="0.7" top="0.75" bottom="0.75" header="0.3" footer="0.3"/>
  <pageSetup scale="60" orientation="landscape" r:id="rId1"/>
  <headerFooter>
    <oddHeader>&amp;CTable A-19
Maximum Simultaneous Construction Emissions
South Orange County Reliability Project</oddHeader>
    <oddFooter>&amp;CA-19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98"/>
  <sheetViews>
    <sheetView topLeftCell="A64" zoomScale="75" zoomScaleNormal="75" workbookViewId="0">
      <selection activeCell="F101" sqref="F101"/>
    </sheetView>
  </sheetViews>
  <sheetFormatPr defaultRowHeight="13.2" x14ac:dyDescent="0.25"/>
  <cols>
    <col min="1" max="1" width="61.66406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613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251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193</v>
      </c>
      <c r="B8" s="34">
        <v>2015</v>
      </c>
      <c r="C8" s="25">
        <v>350</v>
      </c>
      <c r="D8" s="134">
        <v>0.4</v>
      </c>
      <c r="E8" s="546">
        <f>VLOOKUP($A8,EFROGS!$A$1:$J$44,(IF($B8=2015,4,IF($B8=2016,5,IF($B8=2017,6,IF($B8=2018,7,IF($B8=2019,8,IF($B8=2020,9,0))))))),FALSE)</f>
        <v>0.28066021184881418</v>
      </c>
      <c r="F8" s="546">
        <f>VLOOKUP($A8,EFCOS!$A$1:$J$44,(IF($B8=2015,4,IF($B8=2016,5,IF($B8=2017,6,IF($B8=2018,7,IF($B8=2019,8,IF($B8=2020,9,0))))))),FALSE)</f>
        <v>1.2234716378508228</v>
      </c>
      <c r="G8" s="546">
        <f>VLOOKUP($A8,EFNOXS!$A$1:$J$44,(IF($B8=2015,4,IF($B8=2016,5,IF($B8=2017,6,IF($B8=2018,7,IF($B8=2019,8,IF($B8=2020,9,0))))))),FALSE)</f>
        <v>2.2984677151643464</v>
      </c>
      <c r="H8" s="546">
        <f>VLOOKUP($A8,EFSOXS!$A$1:$J$44,(IF($B8=2015,4,IF($B8=2016,5,IF($B8=2017,6,IF($B8=2018,7,IF($B8=2019,8,IF($B8=2020,9,0))))))),FALSE)</f>
        <v>2.5998102444893035E-3</v>
      </c>
      <c r="I8" s="546">
        <f>VLOOKUP($A8,EFPMS!$A$1:$J$44,(IF($B8=2015,4,IF($B8=2016,5,IF($B8=2017,6,IF($B8=2018,7,IF($B8=2019,8,IF($B8=2020,9,0))))))),FALSE)</f>
        <v>9.3824024160305358E-2</v>
      </c>
      <c r="J8" s="536">
        <f t="shared" ref="J8:J18" si="0">0.89*I8</f>
        <v>8.3503381502671767E-2</v>
      </c>
      <c r="K8" s="549">
        <f>VLOOKUP($A8,EFCO2S!$A$1:$J$44,(IF($B8=2015,4,IF($B8=2016,5,IF($B8=2017,6,IF($B8=2018,7,IF($B8=2019,8,IF($B8=2020,9,0))))))),FALSE)</f>
        <v>264.8725636721183</v>
      </c>
      <c r="L8" s="546">
        <f>VLOOKUP($A8,EFCH4S!$A$1:$J$44,(IF($B8=2015,4,IF($B8=2016,5,IF($B8=2017,6,IF($B8=2018,7,IF($B8=2019,8,IF($B8=2020,9,0))))))),FALSE)</f>
        <v>2.6451144743432839E-2</v>
      </c>
      <c r="M8" s="540">
        <f t="shared" ref="M8:M18" si="1">0.095*G8</f>
        <v>0.21835443294061291</v>
      </c>
      <c r="N8" s="135">
        <v>1</v>
      </c>
      <c r="O8" s="135">
        <v>6</v>
      </c>
      <c r="P8" s="136">
        <f>2*22</f>
        <v>44</v>
      </c>
      <c r="Q8" s="39">
        <f t="shared" ref="Q8:Y18" si="2">(E8*$N8*$O8)</f>
        <v>1.6839612710928851</v>
      </c>
      <c r="R8" s="29">
        <f t="shared" si="2"/>
        <v>7.3408298271049368</v>
      </c>
      <c r="S8" s="29">
        <f t="shared" si="2"/>
        <v>13.79080629098608</v>
      </c>
      <c r="T8" s="29">
        <f t="shared" si="2"/>
        <v>1.5598861466935822E-2</v>
      </c>
      <c r="U8" s="29">
        <f t="shared" si="2"/>
        <v>0.5629441449618322</v>
      </c>
      <c r="V8" s="29">
        <f t="shared" si="2"/>
        <v>0.50102028901603057</v>
      </c>
      <c r="W8" s="29">
        <f t="shared" si="2"/>
        <v>1589.2353820327098</v>
      </c>
      <c r="X8" s="29">
        <f t="shared" si="2"/>
        <v>0.15870686846059703</v>
      </c>
      <c r="Y8" s="29">
        <f t="shared" si="2"/>
        <v>1.3101265976436776</v>
      </c>
    </row>
    <row r="9" spans="1:25" s="3" customFormat="1" x14ac:dyDescent="0.25">
      <c r="A9" s="27" t="s">
        <v>194</v>
      </c>
      <c r="B9" s="34">
        <v>2015</v>
      </c>
      <c r="C9" s="25">
        <v>350</v>
      </c>
      <c r="D9" s="134">
        <v>0.41</v>
      </c>
      <c r="E9" s="546">
        <f>VLOOKUP($A9,EFROGS!$A$1:$J$44,(IF($B9=2015,4,IF($B9=2016,5,IF($B9=2017,6,IF($B9=2018,7,IF($B9=2019,8,IF($B9=2020,9,0))))))),FALSE)</f>
        <v>0.16050268261922351</v>
      </c>
      <c r="F9" s="546">
        <f>VLOOKUP($A9,EFCOS!$A$1:$J$44,(IF($B9=2015,4,IF($B9=2016,5,IF($B9=2017,6,IF($B9=2018,7,IF($B9=2019,8,IF($B9=2020,9,0))))))),FALSE)</f>
        <v>0.58634095857918989</v>
      </c>
      <c r="G9" s="546">
        <f>VLOOKUP($A9,EFNOXS!$A$1:$J$44,(IF($B9=2015,4,IF($B9=2016,5,IF($B9=2017,6,IF($B9=2018,7,IF($B9=2019,8,IF($B9=2020,9,0))))))),FALSE)</f>
        <v>1.3309478779062127</v>
      </c>
      <c r="H9" s="546">
        <f>VLOOKUP($A9,EFSOXS!$A$1:$J$44,(IF($B9=2015,4,IF($B9=2016,5,IF($B9=2017,6,IF($B9=2018,7,IF($B9=2019,8,IF($B9=2020,9,0))))))),FALSE)</f>
        <v>2.2524633622208845E-3</v>
      </c>
      <c r="I9" s="546">
        <f>VLOOKUP($A9,EFPMS!$A$1:$J$44,(IF($B9=2015,4,IF($B9=2016,5,IF($B9=2017,6,IF($B9=2018,7,IF($B9=2019,8,IF($B9=2020,9,0))))))),FALSE)</f>
        <v>4.7321529971864722E-2</v>
      </c>
      <c r="J9" s="536">
        <f t="shared" si="0"/>
        <v>4.2116161674959601E-2</v>
      </c>
      <c r="K9" s="549">
        <f>VLOOKUP($A9,EFCO2S!$A$1:$J$44,(IF($B9=2015,4,IF($B9=2016,5,IF($B9=2017,6,IF($B9=2018,7,IF($B9=2019,8,IF($B9=2020,9,0))))))),FALSE)</f>
        <v>229.48430404511782</v>
      </c>
      <c r="L9" s="546">
        <f>VLOOKUP($A9,EFCH4S!$A$1:$J$44,(IF($B9=2015,4,IF($B9=2016,5,IF($B9=2017,6,IF($B9=2018,7,IF($B9=2019,8,IF($B9=2020,9,0))))))),FALSE)</f>
        <v>1.5033778692192376E-2</v>
      </c>
      <c r="M9" s="540">
        <f t="shared" si="1"/>
        <v>0.12644004840109022</v>
      </c>
      <c r="N9" s="135">
        <v>1</v>
      </c>
      <c r="O9" s="135">
        <v>8</v>
      </c>
      <c r="P9" s="136">
        <f>1*22</f>
        <v>22</v>
      </c>
      <c r="Q9" s="39">
        <f t="shared" si="2"/>
        <v>1.2840214609537881</v>
      </c>
      <c r="R9" s="29">
        <f t="shared" si="2"/>
        <v>4.6907276686335191</v>
      </c>
      <c r="S9" s="29">
        <f t="shared" si="2"/>
        <v>10.647583023249702</v>
      </c>
      <c r="T9" s="29">
        <f t="shared" si="2"/>
        <v>1.8019706897767076E-2</v>
      </c>
      <c r="U9" s="29">
        <f t="shared" si="2"/>
        <v>0.37857223977491777</v>
      </c>
      <c r="V9" s="29">
        <f t="shared" si="2"/>
        <v>0.33692929339967681</v>
      </c>
      <c r="W9" s="29">
        <f t="shared" si="2"/>
        <v>1835.8744323609426</v>
      </c>
      <c r="X9" s="29">
        <f t="shared" si="2"/>
        <v>0.12027022953753901</v>
      </c>
      <c r="Y9" s="29">
        <f t="shared" si="2"/>
        <v>1.0115203872087217</v>
      </c>
    </row>
    <row r="10" spans="1:25" s="3" customFormat="1" x14ac:dyDescent="0.25">
      <c r="A10" s="27" t="s">
        <v>195</v>
      </c>
      <c r="B10" s="34">
        <v>2015</v>
      </c>
      <c r="C10" s="25">
        <v>350</v>
      </c>
      <c r="D10" s="134">
        <v>0.48</v>
      </c>
      <c r="E10" s="546">
        <f>VLOOKUP($A10,EFROGS!$A$1:$J$44,(IF($B10=2015,4,IF($B10=2016,5,IF($B10=2017,6,IF($B10=2018,7,IF($B10=2019,8,IF($B10=2020,9,0))))))),FALSE)</f>
        <v>0.27645201730360836</v>
      </c>
      <c r="F10" s="546">
        <f>VLOOKUP($A10,EFCOS!$A$1:$J$44,(IF($B10=2015,4,IF($B10=2016,5,IF($B10=2017,6,IF($B10=2018,7,IF($B10=2019,8,IF($B10=2020,9,0))))))),FALSE)</f>
        <v>1.0635193230957918</v>
      </c>
      <c r="G10" s="546">
        <f>VLOOKUP($A10,EFNOXS!$A$1:$J$44,(IF($B10=2015,4,IF($B10=2016,5,IF($B10=2017,6,IF($B10=2018,7,IF($B10=2019,8,IF($B10=2020,9,0))))))),FALSE)</f>
        <v>2.3176715449187282</v>
      </c>
      <c r="H10" s="546">
        <f>VLOOKUP($A10,EFSOXS!$A$1:$J$44,(IF($B10=2015,4,IF($B10=2016,5,IF($B10=2017,6,IF($B10=2018,7,IF($B10=2019,8,IF($B10=2020,9,0))))))),FALSE)</f>
        <v>3.1549252143876689E-3</v>
      </c>
      <c r="I10" s="546">
        <f>VLOOKUP($A10,EFPMS!$A$1:$J$44,(IF($B10=2015,4,IF($B10=2016,5,IF($B10=2017,6,IF($B10=2018,7,IF($B10=2019,8,IF($B10=2020,9,0))))))),FALSE)</f>
        <v>8.8586968740131236E-2</v>
      </c>
      <c r="J10" s="536">
        <f t="shared" si="0"/>
        <v>7.8842402178716797E-2</v>
      </c>
      <c r="K10" s="549">
        <f>VLOOKUP($A10,EFCO2S!$A$1:$J$44,(IF($B10=2015,4,IF($B10=2016,5,IF($B10=2017,6,IF($B10=2018,7,IF($B10=2019,8,IF($B10=2020,9,0))))))),FALSE)</f>
        <v>321.42846035935588</v>
      </c>
      <c r="L10" s="546">
        <f>VLOOKUP($A10,EFCH4S!$A$1:$J$44,(IF($B10=2015,4,IF($B10=2016,5,IF($B10=2017,6,IF($B10=2018,7,IF($B10=2019,8,IF($B10=2020,9,0))))))),FALSE)</f>
        <v>2.6010420981454316E-2</v>
      </c>
      <c r="M10" s="540">
        <f t="shared" si="1"/>
        <v>0.22017879676727917</v>
      </c>
      <c r="N10" s="135">
        <v>1</v>
      </c>
      <c r="O10" s="135">
        <v>8</v>
      </c>
      <c r="P10" s="136">
        <f>1*22</f>
        <v>22</v>
      </c>
      <c r="Q10" s="39">
        <f t="shared" si="2"/>
        <v>2.2116161384288668</v>
      </c>
      <c r="R10" s="29">
        <f t="shared" si="2"/>
        <v>8.5081545847663342</v>
      </c>
      <c r="S10" s="29">
        <f t="shared" si="2"/>
        <v>18.541372359349825</v>
      </c>
      <c r="T10" s="29">
        <f t="shared" si="2"/>
        <v>2.5239401715101351E-2</v>
      </c>
      <c r="U10" s="29">
        <f t="shared" si="2"/>
        <v>0.70869574992104989</v>
      </c>
      <c r="V10" s="29">
        <f t="shared" si="2"/>
        <v>0.63073921742973438</v>
      </c>
      <c r="W10" s="29">
        <f t="shared" si="2"/>
        <v>2571.4276828748471</v>
      </c>
      <c r="X10" s="29">
        <f t="shared" si="2"/>
        <v>0.20808336785163453</v>
      </c>
      <c r="Y10" s="29">
        <f t="shared" si="2"/>
        <v>1.7614303741382333</v>
      </c>
    </row>
    <row r="11" spans="1:25" s="3" customFormat="1" x14ac:dyDescent="0.25">
      <c r="A11" s="27" t="s">
        <v>196</v>
      </c>
      <c r="B11" s="34">
        <v>2015</v>
      </c>
      <c r="C11" s="25">
        <v>250</v>
      </c>
      <c r="D11" s="134">
        <v>0.38</v>
      </c>
      <c r="E11" s="546">
        <f>VLOOKUP($A11,EFROGS!$A$1:$J$44,(IF($B11=2015,4,IF($B11=2016,5,IF($B11=2017,6,IF($B11=2018,7,IF($B11=2019,8,IF($B11=2020,9,0))))))),FALSE)</f>
        <v>0.10659360197116201</v>
      </c>
      <c r="F11" s="546">
        <f>VLOOKUP($A11,EFCOS!$A$1:$J$44,(IF($B11=2015,4,IF($B11=2016,5,IF($B11=2017,6,IF($B11=2018,7,IF($B11=2019,8,IF($B11=2020,9,0))))))),FALSE)</f>
        <v>0.36686319474726009</v>
      </c>
      <c r="G11" s="546">
        <f>VLOOKUP($A11,EFNOXS!$A$1:$J$44,(IF($B11=2015,4,IF($B11=2016,5,IF($B11=2017,6,IF($B11=2018,7,IF($B11=2019,8,IF($B11=2020,9,0))))))),FALSE)</f>
        <v>1.0557516810303123</v>
      </c>
      <c r="H11" s="546">
        <f>VLOOKUP($A11,EFSOXS!$A$1:$J$44,(IF($B11=2015,4,IF($B11=2016,5,IF($B11=2017,6,IF($B11=2018,7,IF($B11=2019,8,IF($B11=2020,9,0))))))),FALSE)</f>
        <v>1.7225234988951081E-3</v>
      </c>
      <c r="I11" s="546">
        <f>VLOOKUP($A11,EFPMS!$A$1:$J$44,(IF($B11=2015,4,IF($B11=2016,5,IF($B11=2017,6,IF($B11=2018,7,IF($B11=2019,8,IF($B11=2020,9,0))))))),FALSE)</f>
        <v>3.5131941225937512E-2</v>
      </c>
      <c r="J11" s="536">
        <f t="shared" si="0"/>
        <v>3.1267427691084385E-2</v>
      </c>
      <c r="K11" s="549">
        <f>VLOOKUP($A11,EFCO2S!$A$1:$J$44,(IF($B11=2015,4,IF($B11=2016,5,IF($B11=2017,6,IF($B11=2018,7,IF($B11=2019,8,IF($B11=2020,9,0))))))),FALSE)</f>
        <v>153.0897857268109</v>
      </c>
      <c r="L11" s="546">
        <f>VLOOKUP($A11,EFCH4S!$A$1:$J$44,(IF($B11=2015,4,IF($B11=2016,5,IF($B11=2017,6,IF($B11=2018,7,IF($B11=2019,8,IF($B11=2020,9,0))))))),FALSE)</f>
        <v>9.9847277011502044E-3</v>
      </c>
      <c r="M11" s="540">
        <f t="shared" si="1"/>
        <v>0.10029640969787966</v>
      </c>
      <c r="N11" s="135">
        <v>1</v>
      </c>
      <c r="O11" s="135">
        <v>6</v>
      </c>
      <c r="P11" s="136">
        <f>2*22</f>
        <v>44</v>
      </c>
      <c r="Q11" s="39">
        <f t="shared" si="2"/>
        <v>0.63956161182697202</v>
      </c>
      <c r="R11" s="29">
        <f t="shared" si="2"/>
        <v>2.2011791684835607</v>
      </c>
      <c r="S11" s="29">
        <f t="shared" si="2"/>
        <v>6.3345100861818739</v>
      </c>
      <c r="T11" s="29">
        <f t="shared" si="2"/>
        <v>1.0335140993370649E-2</v>
      </c>
      <c r="U11" s="29">
        <f t="shared" si="2"/>
        <v>0.21079164735562506</v>
      </c>
      <c r="V11" s="29">
        <f t="shared" si="2"/>
        <v>0.18760456614650631</v>
      </c>
      <c r="W11" s="29">
        <f t="shared" si="2"/>
        <v>918.53871436086547</v>
      </c>
      <c r="X11" s="29">
        <f t="shared" si="2"/>
        <v>5.9908366206901223E-2</v>
      </c>
      <c r="Y11" s="29">
        <f t="shared" si="2"/>
        <v>0.60177845818727793</v>
      </c>
    </row>
    <row r="12" spans="1:25" s="3" customFormat="1" x14ac:dyDescent="0.25">
      <c r="A12" s="27" t="s">
        <v>197</v>
      </c>
      <c r="B12" s="34">
        <v>2015</v>
      </c>
      <c r="C12" s="134">
        <v>200</v>
      </c>
      <c r="D12" s="134">
        <v>0.36</v>
      </c>
      <c r="E12" s="546">
        <f>VLOOKUP($A12,EFROGS!$A$1:$J$44,(IF($B12=2015,4,IF($B12=2016,5,IF($B12=2017,6,IF($B12=2018,7,IF($B12=2019,8,IF($B12=2020,9,0))))))),FALSE)</f>
        <v>0.10736823912786365</v>
      </c>
      <c r="F12" s="546">
        <f>VLOOKUP($A12,EFCOS!$A$1:$J$44,(IF($B12=2015,4,IF($B12=2016,5,IF($B12=2017,6,IF($B12=2018,7,IF($B12=2019,8,IF($B12=2020,9,0))))))),FALSE)</f>
        <v>0.34779590495709528</v>
      </c>
      <c r="G12" s="546">
        <f>VLOOKUP($A12,EFNOXS!$A$1:$J$44,(IF($B12=2015,4,IF($B12=2016,5,IF($B12=2017,6,IF($B12=2018,7,IF($B12=2019,8,IF($B12=2020,9,0))))))),FALSE)</f>
        <v>0.95148079591778234</v>
      </c>
      <c r="H12" s="546">
        <f>VLOOKUP($A12,EFSOXS!$A$1:$J$44,(IF($B12=2015,4,IF($B12=2016,5,IF($B12=2017,6,IF($B12=2018,7,IF($B12=2019,8,IF($B12=2020,9,0))))))),FALSE)</f>
        <v>1.676243123421701E-3</v>
      </c>
      <c r="I12" s="546">
        <f>VLOOKUP($A12,EFPMS!$A$1:$J$44,(IF($B12=2015,4,IF($B12=2016,5,IF($B12=2017,6,IF($B12=2018,7,IF($B12=2019,8,IF($B12=2020,9,0))))))),FALSE)</f>
        <v>3.2120532550839874E-2</v>
      </c>
      <c r="J12" s="536">
        <f t="shared" si="0"/>
        <v>2.858727397024749E-2</v>
      </c>
      <c r="K12" s="549">
        <f>VLOOKUP($A12,EFCO2S!$A$1:$J$44,(IF($B12=2015,4,IF($B12=2016,5,IF($B12=2017,6,IF($B12=2018,7,IF($B12=2019,8,IF($B12=2020,9,0))))))),FALSE)</f>
        <v>148.97664453593197</v>
      </c>
      <c r="L12" s="546">
        <f>VLOOKUP($A12,EFCH4S!$A$1:$J$44,(IF($B12=2015,4,IF($B12=2016,5,IF($B12=2017,6,IF($B12=2018,7,IF($B12=2019,8,IF($B12=2020,9,0))))))),FALSE)</f>
        <v>1.0092011106863865E-2</v>
      </c>
      <c r="M12" s="540">
        <f t="shared" si="1"/>
        <v>9.0390675612189317E-2</v>
      </c>
      <c r="N12" s="135">
        <v>2</v>
      </c>
      <c r="O12" s="135">
        <v>6</v>
      </c>
      <c r="P12" s="136">
        <f>3*22</f>
        <v>66</v>
      </c>
      <c r="Q12" s="39">
        <f t="shared" si="2"/>
        <v>1.2884188695343639</v>
      </c>
      <c r="R12" s="29">
        <f t="shared" si="2"/>
        <v>4.1735508594851431</v>
      </c>
      <c r="S12" s="29">
        <f t="shared" si="2"/>
        <v>11.417769551013388</v>
      </c>
      <c r="T12" s="29">
        <f t="shared" si="2"/>
        <v>2.0114917481060413E-2</v>
      </c>
      <c r="U12" s="29">
        <f t="shared" si="2"/>
        <v>0.38544639061007846</v>
      </c>
      <c r="V12" s="29">
        <f t="shared" si="2"/>
        <v>0.34304728764296988</v>
      </c>
      <c r="W12" s="29">
        <f t="shared" si="2"/>
        <v>1787.7197344311835</v>
      </c>
      <c r="X12" s="29">
        <f t="shared" si="2"/>
        <v>0.12110413328236638</v>
      </c>
      <c r="Y12" s="29">
        <f t="shared" si="2"/>
        <v>1.0846881073462717</v>
      </c>
    </row>
    <row r="13" spans="1:25" s="3" customFormat="1" x14ac:dyDescent="0.25">
      <c r="A13" s="27" t="s">
        <v>199</v>
      </c>
      <c r="B13" s="34">
        <v>2015</v>
      </c>
      <c r="C13" s="25">
        <v>175</v>
      </c>
      <c r="D13" s="134">
        <v>0.38</v>
      </c>
      <c r="E13" s="546">
        <f>VLOOKUP($A13,EFROGS!$A$1:$J$44,(IF($B13=2015,4,IF($B13=2016,5,IF($B13=2017,6,IF($B13=2018,7,IF($B13=2019,8,IF($B13=2020,9,0))))))),FALSE)</f>
        <v>0.11992127080629632</v>
      </c>
      <c r="F13" s="546">
        <f>VLOOKUP($A13,EFCOS!$A$1:$J$44,(IF($B13=2015,4,IF($B13=2016,5,IF($B13=2017,6,IF($B13=2018,7,IF($B13=2019,8,IF($B13=2020,9,0))))))),FALSE)</f>
        <v>0.37073007054215767</v>
      </c>
      <c r="G13" s="546">
        <f>VLOOKUP($A13,EFNOXS!$A$1:$J$44,(IF($B13=2015,4,IF($B13=2016,5,IF($B13=2017,6,IF($B13=2018,7,IF($B13=2019,8,IF($B13=2020,9,0))))))),FALSE)</f>
        <v>0.94368289767104196</v>
      </c>
      <c r="H13" s="546">
        <f>VLOOKUP($A13,EFSOXS!$A$1:$J$44,(IF($B13=2015,4,IF($B13=2016,5,IF($B13=2017,6,IF($B13=2018,7,IF($B13=2019,8,IF($B13=2020,9,0))))))),FALSE)</f>
        <v>1.8739213528134147E-3</v>
      </c>
      <c r="I13" s="546">
        <f>VLOOKUP($A13,EFPMS!$A$1:$J$44,(IF($B13=2015,4,IF($B13=2016,5,IF($B13=2017,6,IF($B13=2018,7,IF($B13=2019,8,IF($B13=2020,9,0))))))),FALSE)</f>
        <v>3.1241039634901123E-2</v>
      </c>
      <c r="J13" s="536">
        <f t="shared" si="0"/>
        <v>2.7804525275062001E-2</v>
      </c>
      <c r="K13" s="549">
        <f>VLOOKUP($A13,EFCO2S!$A$1:$J$44,(IF($B13=2015,4,IF($B13=2016,5,IF($B13=2017,6,IF($B13=2018,7,IF($B13=2019,8,IF($B13=2020,9,0))))))),FALSE)</f>
        <v>166.54539483446186</v>
      </c>
      <c r="L13" s="546">
        <f>VLOOKUP($A13,EFCH4S!$A$1:$J$44,(IF($B13=2015,4,IF($B13=2016,5,IF($B13=2017,6,IF($B13=2018,7,IF($B13=2019,8,IF($B13=2020,9,0))))))),FALSE)</f>
        <v>1.1292325418869483E-2</v>
      </c>
      <c r="M13" s="540">
        <f t="shared" si="1"/>
        <v>8.9649875278748986E-2</v>
      </c>
      <c r="N13" s="135">
        <v>2</v>
      </c>
      <c r="O13" s="135">
        <v>5</v>
      </c>
      <c r="P13" s="136">
        <f>3*22</f>
        <v>66</v>
      </c>
      <c r="Q13" s="39">
        <f t="shared" si="2"/>
        <v>1.1992127080629631</v>
      </c>
      <c r="R13" s="29">
        <f t="shared" si="2"/>
        <v>3.7073007054215767</v>
      </c>
      <c r="S13" s="29">
        <f t="shared" si="2"/>
        <v>9.4368289767104194</v>
      </c>
      <c r="T13" s="29">
        <f t="shared" si="2"/>
        <v>1.8739213528134149E-2</v>
      </c>
      <c r="U13" s="29">
        <f t="shared" si="2"/>
        <v>0.31241039634901124</v>
      </c>
      <c r="V13" s="29">
        <f t="shared" si="2"/>
        <v>0.27804525275062003</v>
      </c>
      <c r="W13" s="29">
        <f t="shared" si="2"/>
        <v>1665.4539483446185</v>
      </c>
      <c r="X13" s="29">
        <f t="shared" si="2"/>
        <v>0.11292325418869484</v>
      </c>
      <c r="Y13" s="29">
        <f t="shared" si="2"/>
        <v>0.89649875278748992</v>
      </c>
    </row>
    <row r="14" spans="1:25" s="3" customFormat="1" x14ac:dyDescent="0.25">
      <c r="A14" s="27" t="s">
        <v>200</v>
      </c>
      <c r="B14" s="34">
        <v>2015</v>
      </c>
      <c r="C14" s="25">
        <v>235</v>
      </c>
      <c r="D14" s="134">
        <v>0.38</v>
      </c>
      <c r="E14" s="546">
        <f>VLOOKUP($A14,EFROGS!$A$1:$J$44,(IF($B14=2015,4,IF($B14=2016,5,IF($B14=2017,6,IF($B14=2018,7,IF($B14=2019,8,IF($B14=2020,9,0))))))),FALSE)</f>
        <v>0.12027312265814816</v>
      </c>
      <c r="F14" s="546">
        <f>VLOOKUP($A14,EFCOS!$A$1:$J$44,(IF($B14=2015,4,IF($B14=2016,5,IF($B14=2017,6,IF($B14=2018,7,IF($B14=2019,8,IF($B14=2020,9,0))))))),FALSE)</f>
        <v>0.37726446207654918</v>
      </c>
      <c r="G14" s="546">
        <f>VLOOKUP($A14,EFNOXS!$A$1:$J$44,(IF($B14=2015,4,IF($B14=2016,5,IF($B14=2017,6,IF($B14=2018,7,IF($B14=2019,8,IF($B14=2020,9,0))))))),FALSE)</f>
        <v>0.94745273894088322</v>
      </c>
      <c r="H14" s="546">
        <f>VLOOKUP($A14,EFSOXS!$A$1:$J$44,(IF($B14=2015,4,IF($B14=2016,5,IF($B14=2017,6,IF($B14=2018,7,IF($B14=2019,8,IF($B14=2020,9,0))))))),FALSE)</f>
        <v>1.8739213528134147E-3</v>
      </c>
      <c r="I14" s="546">
        <f>VLOOKUP($A14,EFPMS!$A$1:$J$44,(IF($B14=2015,4,IF($B14=2016,5,IF($B14=2017,6,IF($B14=2018,7,IF($B14=2019,8,IF($B14=2020,9,0))))))),FALSE)</f>
        <v>3.1278738047599536E-2</v>
      </c>
      <c r="J14" s="536">
        <f t="shared" si="0"/>
        <v>2.7838076862363587E-2</v>
      </c>
      <c r="K14" s="549">
        <f>VLOOKUP($A14,EFCO2S!$A$1:$J$44,(IF($B14=2015,4,IF($B14=2016,5,IF($B14=2017,6,IF($B14=2018,7,IF($B14=2019,8,IF($B14=2020,9,0))))))),FALSE)</f>
        <v>166.54539483446186</v>
      </c>
      <c r="L14" s="546">
        <f>VLOOKUP($A14,EFCH4S!$A$1:$J$44,(IF($B14=2015,4,IF($B14=2016,5,IF($B14=2017,6,IF($B14=2018,7,IF($B14=2019,8,IF($B14=2020,9,0))))))),FALSE)</f>
        <v>1.1292325418869483E-2</v>
      </c>
      <c r="M14" s="540">
        <f t="shared" si="1"/>
        <v>9.0008010199383912E-2</v>
      </c>
      <c r="N14" s="135">
        <v>2</v>
      </c>
      <c r="O14" s="135">
        <v>4</v>
      </c>
      <c r="P14" s="136">
        <f>2*22</f>
        <v>44</v>
      </c>
      <c r="Q14" s="39">
        <f t="shared" si="2"/>
        <v>0.96218498126518526</v>
      </c>
      <c r="R14" s="29">
        <f t="shared" si="2"/>
        <v>3.0181156966123934</v>
      </c>
      <c r="S14" s="29">
        <f t="shared" si="2"/>
        <v>7.5796219115270658</v>
      </c>
      <c r="T14" s="29">
        <f t="shared" si="2"/>
        <v>1.4991370822507318E-2</v>
      </c>
      <c r="U14" s="29">
        <f t="shared" si="2"/>
        <v>0.25022990438079629</v>
      </c>
      <c r="V14" s="29">
        <f t="shared" si="2"/>
        <v>0.22270461489890869</v>
      </c>
      <c r="W14" s="29">
        <f t="shared" si="2"/>
        <v>1332.3631586756949</v>
      </c>
      <c r="X14" s="29">
        <f t="shared" si="2"/>
        <v>9.0338603350955865E-2</v>
      </c>
      <c r="Y14" s="29">
        <f t="shared" si="2"/>
        <v>0.72006408159507129</v>
      </c>
    </row>
    <row r="15" spans="1:25" s="3" customFormat="1" x14ac:dyDescent="0.25">
      <c r="A15" s="27" t="s">
        <v>201</v>
      </c>
      <c r="B15" s="34">
        <v>2015</v>
      </c>
      <c r="C15" s="25">
        <v>300</v>
      </c>
      <c r="D15" s="134">
        <v>0.38</v>
      </c>
      <c r="E15" s="546">
        <f>VLOOKUP($A15,EFROGS!$A$1:$J$44,(IF($B15=2015,4,IF($B15=2016,5,IF($B15=2017,6,IF($B15=2018,7,IF($B15=2019,8,IF($B15=2020,9,0))))))),FALSE)</f>
        <v>0.15156273531486869</v>
      </c>
      <c r="F15" s="546">
        <f>VLOOKUP($A15,EFCOS!$A$1:$J$44,(IF($B15=2015,4,IF($B15=2016,5,IF($B15=2017,6,IF($B15=2018,7,IF($B15=2019,8,IF($B15=2020,9,0))))))),FALSE)</f>
        <v>0.5042955535817204</v>
      </c>
      <c r="G15" s="546">
        <f>VLOOKUP($A15,EFNOXS!$A$1:$J$44,(IF($B15=2015,4,IF($B15=2016,5,IF($B15=2017,6,IF($B15=2018,7,IF($B15=2019,8,IF($B15=2020,9,0))))))),FALSE)</f>
        <v>1.1226784907797649</v>
      </c>
      <c r="H15" s="546">
        <f>VLOOKUP($A15,EFSOXS!$A$1:$J$44,(IF($B15=2015,4,IF($B15=2016,5,IF($B15=2017,6,IF($B15=2018,7,IF($B15=2019,8,IF($B15=2020,9,0))))))),FALSE)</f>
        <v>2.2941891037024571E-3</v>
      </c>
      <c r="I15" s="546">
        <f>VLOOKUP($A15,EFPMS!$A$1:$J$44,(IF($B15=2015,4,IF($B15=2016,5,IF($B15=2017,6,IF($B15=2018,7,IF($B15=2019,8,IF($B15=2020,9,0))))))),FALSE)</f>
        <v>3.945202890717215E-2</v>
      </c>
      <c r="J15" s="536">
        <f t="shared" si="0"/>
        <v>3.5112305727383213E-2</v>
      </c>
      <c r="K15" s="549">
        <f>VLOOKUP($A15,EFCO2S!$A$1:$J$44,(IF($B15=2015,4,IF($B15=2016,5,IF($B15=2017,6,IF($B15=2018,7,IF($B15=2019,8,IF($B15=2020,9,0))))))),FALSE)</f>
        <v>233.73532966705815</v>
      </c>
      <c r="L15" s="546">
        <f>VLOOKUP($A15,EFCH4S!$A$1:$J$44,(IF($B15=2015,4,IF($B15=2016,5,IF($B15=2017,6,IF($B15=2018,7,IF($B15=2019,8,IF($B15=2020,9,0))))))),FALSE)</f>
        <v>1.4227923455147638E-2</v>
      </c>
      <c r="M15" s="540">
        <f t="shared" si="1"/>
        <v>0.10665445662407766</v>
      </c>
      <c r="N15" s="135">
        <v>2</v>
      </c>
      <c r="O15" s="135">
        <v>6</v>
      </c>
      <c r="P15" s="136">
        <f>2*22</f>
        <v>44</v>
      </c>
      <c r="Q15" s="39">
        <f t="shared" si="2"/>
        <v>1.8187528237784243</v>
      </c>
      <c r="R15" s="29">
        <f t="shared" si="2"/>
        <v>6.0515466429806448</v>
      </c>
      <c r="S15" s="29">
        <f t="shared" si="2"/>
        <v>13.472141889357179</v>
      </c>
      <c r="T15" s="29">
        <f t="shared" si="2"/>
        <v>2.7530269244429487E-2</v>
      </c>
      <c r="U15" s="29">
        <f t="shared" si="2"/>
        <v>0.47342434688606583</v>
      </c>
      <c r="V15" s="29">
        <f t="shared" si="2"/>
        <v>0.42134766872859852</v>
      </c>
      <c r="W15" s="29">
        <f t="shared" si="2"/>
        <v>2804.8239560046977</v>
      </c>
      <c r="X15" s="29">
        <f t="shared" si="2"/>
        <v>0.17073508146177166</v>
      </c>
      <c r="Y15" s="29">
        <f t="shared" si="2"/>
        <v>1.2798534794889318</v>
      </c>
    </row>
    <row r="16" spans="1:25" s="3" customFormat="1" x14ac:dyDescent="0.25">
      <c r="A16" s="27" t="s">
        <v>155</v>
      </c>
      <c r="B16" s="34">
        <v>2015</v>
      </c>
      <c r="C16" s="134">
        <v>82</v>
      </c>
      <c r="D16" s="134">
        <v>0.5</v>
      </c>
      <c r="E16" s="546">
        <f>VLOOKUP($A16,EFROGS!$A$1:$J$44,(IF($B16=2015,4,IF($B16=2016,5,IF($B16=2017,6,IF($B16=2018,7,IF($B16=2019,8,IF($B16=2020,9,0))))))),FALSE)</f>
        <v>3.6309327217992599E-2</v>
      </c>
      <c r="F16" s="546">
        <f>VLOOKUP($A16,EFCOS!$A$1:$J$44,(IF($B16=2015,4,IF($B16=2016,5,IF($B16=2017,6,IF($B16=2018,7,IF($B16=2019,8,IF($B16=2020,9,0))))))),FALSE)</f>
        <v>0.46093801457747435</v>
      </c>
      <c r="G16" s="546">
        <f>VLOOKUP($A16,EFNOXS!$A$1:$J$44,(IF($B16=2015,4,IF($B16=2016,5,IF($B16=2017,6,IF($B16=2018,7,IF($B16=2019,8,IF($B16=2020,9,0))))))),FALSE)</f>
        <v>0.36619894798559588</v>
      </c>
      <c r="H16" s="546">
        <f>VLOOKUP($A16,EFSOXS!$A$1:$J$44,(IF($B16=2015,4,IF($B16=2016,5,IF($B16=2017,6,IF($B16=2018,7,IF($B16=2019,8,IF($B16=2020,9,0))))))),FALSE)</f>
        <v>9.0467796015684726E-4</v>
      </c>
      <c r="I16" s="546">
        <f>VLOOKUP($A16,EFPMS!$A$1:$J$44,(IF($B16=2015,4,IF($B16=2016,5,IF($B16=2017,6,IF($B16=2018,7,IF($B16=2019,8,IF($B16=2020,9,0))))))),FALSE)</f>
        <v>1.5314374699910852E-2</v>
      </c>
      <c r="J16" s="536">
        <f t="shared" si="0"/>
        <v>1.3629793482920658E-2</v>
      </c>
      <c r="K16" s="549">
        <f>VLOOKUP($A16,EFCO2S!$A$1:$J$44,(IF($B16=2015,4,IF($B16=2016,5,IF($B16=2017,6,IF($B16=2018,7,IF($B16=2019,8,IF($B16=2020,9,0))))))),FALSE)</f>
        <v>77.121767330485099</v>
      </c>
      <c r="L16" s="546">
        <f>VLOOKUP($A16,EFCH4S!$A$1:$J$44,(IF($B16=2015,4,IF($B16=2016,5,IF($B16=2017,6,IF($B16=2018,7,IF($B16=2019,8,IF($B16=2020,9,0))))))),FALSE)</f>
        <v>3.3884664579035585E-3</v>
      </c>
      <c r="M16" s="540">
        <f t="shared" si="1"/>
        <v>3.4788900058631611E-2</v>
      </c>
      <c r="N16" s="108">
        <v>1</v>
      </c>
      <c r="O16" s="108">
        <v>8</v>
      </c>
      <c r="P16" s="109">
        <v>22</v>
      </c>
      <c r="Q16" s="39">
        <f t="shared" si="2"/>
        <v>0.29047461774394079</v>
      </c>
      <c r="R16" s="29">
        <f t="shared" si="2"/>
        <v>3.6875041166197948</v>
      </c>
      <c r="S16" s="29">
        <f t="shared" si="2"/>
        <v>2.929591583884767</v>
      </c>
      <c r="T16" s="29">
        <f t="shared" si="2"/>
        <v>7.2374236812547781E-3</v>
      </c>
      <c r="U16" s="29">
        <f t="shared" si="2"/>
        <v>0.12251499759928682</v>
      </c>
      <c r="V16" s="29">
        <f t="shared" si="2"/>
        <v>0.10903834786336526</v>
      </c>
      <c r="W16" s="29">
        <f t="shared" si="2"/>
        <v>616.97413864388079</v>
      </c>
      <c r="X16" s="29">
        <f t="shared" si="2"/>
        <v>2.7107731663228468E-2</v>
      </c>
      <c r="Y16" s="29">
        <f t="shared" si="2"/>
        <v>0.27831120046905289</v>
      </c>
    </row>
    <row r="17" spans="1:25" s="3" customFormat="1" x14ac:dyDescent="0.25">
      <c r="A17" s="27" t="s">
        <v>204</v>
      </c>
      <c r="B17" s="34">
        <v>2015</v>
      </c>
      <c r="C17" s="25">
        <v>75</v>
      </c>
      <c r="D17" s="134">
        <v>0.28999999999999998</v>
      </c>
      <c r="E17" s="546">
        <f>VLOOKUP($A17,EFROGS!$A$1:$J$44,(IF($B17=2015,4,IF($B17=2016,5,IF($B17=2017,6,IF($B17=2018,7,IF($B17=2019,8,IF($B17=2020,9,0))))))),FALSE)</f>
        <v>7.6361523310359322E-2</v>
      </c>
      <c r="F17" s="546">
        <f>VLOOKUP($A17,EFCOS!$A$1:$J$44,(IF($B17=2015,4,IF($B17=2016,5,IF($B17=2017,6,IF($B17=2018,7,IF($B17=2019,8,IF($B17=2020,9,0))))))),FALSE)</f>
        <v>0.34700607793748495</v>
      </c>
      <c r="G17" s="546">
        <f>VLOOKUP($A17,EFNOXS!$A$1:$J$44,(IF($B17=2015,4,IF($B17=2016,5,IF($B17=2017,6,IF($B17=2018,7,IF($B17=2019,8,IF($B17=2020,9,0))))))),FALSE)</f>
        <v>0.46405567062959902</v>
      </c>
      <c r="H17" s="546">
        <f>VLOOKUP($A17,EFSOXS!$A$1:$J$44,(IF($B17=2015,4,IF($B17=2016,5,IF($B17=2017,6,IF($B17=2018,7,IF($B17=2019,8,IF($B17=2020,9,0))))))),FALSE)</f>
        <v>5.8826133700071506E-4</v>
      </c>
      <c r="I17" s="546">
        <f>VLOOKUP($A17,EFPMS!$A$1:$J$44,(IF($B17=2015,4,IF($B17=2016,5,IF($B17=2017,6,IF($B17=2018,7,IF($B17=2019,8,IF($B17=2020,9,0))))))),FALSE)</f>
        <v>3.9464685082802008E-2</v>
      </c>
      <c r="J17" s="536">
        <f t="shared" si="0"/>
        <v>3.5123569723693786E-2</v>
      </c>
      <c r="K17" s="549">
        <f>VLOOKUP($A17,EFCO2S!$A$1:$J$44,(IF($B17=2015,4,IF($B17=2016,5,IF($B17=2017,6,IF($B17=2018,7,IF($B17=2019,8,IF($B17=2020,9,0))))))),FALSE)</f>
        <v>50.147957636658056</v>
      </c>
      <c r="L17" s="546">
        <f>VLOOKUP($A17,EFCH4S!$A$1:$J$44,(IF($B17=2015,4,IF($B17=2016,5,IF($B17=2017,6,IF($B17=2018,7,IF($B17=2019,8,IF($B17=2020,9,0))))))),FALSE)</f>
        <v>7.2207285788506471E-3</v>
      </c>
      <c r="M17" s="540">
        <f t="shared" si="1"/>
        <v>4.4085288709811904E-2</v>
      </c>
      <c r="N17" s="108">
        <v>1</v>
      </c>
      <c r="O17" s="108">
        <v>4</v>
      </c>
      <c r="P17" s="136">
        <f>2*22</f>
        <v>44</v>
      </c>
      <c r="Q17" s="39">
        <f t="shared" si="2"/>
        <v>0.30544609324143729</v>
      </c>
      <c r="R17" s="29">
        <f t="shared" si="2"/>
        <v>1.3880243117499398</v>
      </c>
      <c r="S17" s="29">
        <f t="shared" si="2"/>
        <v>1.8562226825183961</v>
      </c>
      <c r="T17" s="29">
        <f t="shared" si="2"/>
        <v>2.3530453480028603E-3</v>
      </c>
      <c r="U17" s="29">
        <f t="shared" si="2"/>
        <v>0.15785874033120803</v>
      </c>
      <c r="V17" s="29">
        <f t="shared" si="2"/>
        <v>0.14049427889477514</v>
      </c>
      <c r="W17" s="29">
        <f t="shared" si="2"/>
        <v>200.59183054663222</v>
      </c>
      <c r="X17" s="29">
        <f t="shared" si="2"/>
        <v>2.8882914315402589E-2</v>
      </c>
      <c r="Y17" s="29">
        <f t="shared" si="2"/>
        <v>0.17634115483924762</v>
      </c>
    </row>
    <row r="18" spans="1:25" s="3" customFormat="1" x14ac:dyDescent="0.25">
      <c r="A18" s="37" t="s">
        <v>157</v>
      </c>
      <c r="B18" s="34">
        <v>2015</v>
      </c>
      <c r="C18" s="25">
        <v>235</v>
      </c>
      <c r="D18" s="134">
        <v>0.38</v>
      </c>
      <c r="E18" s="546">
        <f>VLOOKUP($A18,EFROGS!$A$1:$J$44,(IF($B18=2015,4,IF($B18=2016,5,IF($B18=2017,6,IF($B18=2018,7,IF($B18=2019,8,IF($B18=2020,9,0))))))),FALSE)</f>
        <v>0.12027312265814816</v>
      </c>
      <c r="F18" s="546">
        <f>VLOOKUP($A18,EFCOS!$A$1:$J$44,(IF($B18=2015,4,IF($B18=2016,5,IF($B18=2017,6,IF($B18=2018,7,IF($B18=2019,8,IF($B18=2020,9,0))))))),FALSE)</f>
        <v>0.37726446207654918</v>
      </c>
      <c r="G18" s="546">
        <f>VLOOKUP($A18,EFNOXS!$A$1:$J$44,(IF($B18=2015,4,IF($B18=2016,5,IF($B18=2017,6,IF($B18=2018,7,IF($B18=2019,8,IF($B18=2020,9,0))))))),FALSE)</f>
        <v>0.94745273894088322</v>
      </c>
      <c r="H18" s="546">
        <f>VLOOKUP($A18,EFSOXS!$A$1:$J$44,(IF($B18=2015,4,IF($B18=2016,5,IF($B18=2017,6,IF($B18=2018,7,IF($B18=2019,8,IF($B18=2020,9,0))))))),FALSE)</f>
        <v>1.8739213528134147E-3</v>
      </c>
      <c r="I18" s="546">
        <f>VLOOKUP($A18,EFPMS!$A$1:$J$44,(IF($B18=2015,4,IF($B18=2016,5,IF($B18=2017,6,IF($B18=2018,7,IF($B18=2019,8,IF($B18=2020,9,0))))))),FALSE)</f>
        <v>3.1278738047599536E-2</v>
      </c>
      <c r="J18" s="536">
        <f t="shared" si="0"/>
        <v>2.7838076862363587E-2</v>
      </c>
      <c r="K18" s="549">
        <f>VLOOKUP($A18,EFCO2S!$A$1:$J$44,(IF($B18=2015,4,IF($B18=2016,5,IF($B18=2017,6,IF($B18=2018,7,IF($B18=2019,8,IF($B18=2020,9,0))))))),FALSE)</f>
        <v>166.54539483446186</v>
      </c>
      <c r="L18" s="546">
        <f>VLOOKUP($A18,EFCH4S!$A$1:$J$44,(IF($B18=2015,4,IF($B18=2016,5,IF($B18=2017,6,IF($B18=2018,7,IF($B18=2019,8,IF($B18=2020,9,0))))))),FALSE)</f>
        <v>1.1292325418869483E-2</v>
      </c>
      <c r="M18" s="540">
        <f t="shared" si="1"/>
        <v>9.0008010199383912E-2</v>
      </c>
      <c r="N18" s="108">
        <v>1</v>
      </c>
      <c r="O18" s="108">
        <v>4</v>
      </c>
      <c r="P18" s="109">
        <v>22</v>
      </c>
      <c r="Q18" s="39">
        <f t="shared" si="2"/>
        <v>0.48109249063259263</v>
      </c>
      <c r="R18" s="29">
        <f t="shared" si="2"/>
        <v>1.5090578483061967</v>
      </c>
      <c r="S18" s="29">
        <f t="shared" si="2"/>
        <v>3.7898109557635329</v>
      </c>
      <c r="T18" s="29">
        <f t="shared" si="2"/>
        <v>7.4956854112536589E-3</v>
      </c>
      <c r="U18" s="29">
        <f t="shared" si="2"/>
        <v>0.12511495219039814</v>
      </c>
      <c r="V18" s="29">
        <f t="shared" si="2"/>
        <v>0.11135230744945435</v>
      </c>
      <c r="W18" s="29">
        <f t="shared" si="2"/>
        <v>666.18157933784744</v>
      </c>
      <c r="X18" s="29">
        <f t="shared" si="2"/>
        <v>4.5169301675477933E-2</v>
      </c>
      <c r="Y18" s="29">
        <f t="shared" si="2"/>
        <v>0.36003204079753565</v>
      </c>
    </row>
    <row r="19" spans="1:25" s="3" customFormat="1" x14ac:dyDescent="0.25">
      <c r="A19" s="19" t="s">
        <v>38</v>
      </c>
      <c r="B19" s="34"/>
      <c r="C19" s="25"/>
      <c r="D19" s="13"/>
      <c r="E19" s="26"/>
      <c r="F19" s="26"/>
      <c r="G19" s="26"/>
      <c r="H19" s="26"/>
      <c r="I19" s="26"/>
      <c r="J19" s="27"/>
      <c r="K19" s="28"/>
      <c r="L19" s="26"/>
      <c r="M19" s="38"/>
      <c r="N19" s="135"/>
      <c r="O19" s="135"/>
      <c r="P19" s="136"/>
      <c r="Q19" s="138">
        <f>SUM(Q8:Q18)</f>
        <v>12.164743066561419</v>
      </c>
      <c r="R19" s="138">
        <f t="shared" ref="R19:Y19" si="3">SUM(R8:R18)</f>
        <v>46.275991430164041</v>
      </c>
      <c r="S19" s="138">
        <f t="shared" si="3"/>
        <v>99.796259310542226</v>
      </c>
      <c r="T19" s="138">
        <f t="shared" si="3"/>
        <v>0.16765503658981754</v>
      </c>
      <c r="U19" s="138">
        <f t="shared" si="3"/>
        <v>3.6880035103602693</v>
      </c>
      <c r="V19" s="138">
        <f t="shared" si="3"/>
        <v>3.2823231242206403</v>
      </c>
      <c r="W19" s="138">
        <f t="shared" si="3"/>
        <v>15989.18455761392</v>
      </c>
      <c r="X19" s="138">
        <f t="shared" si="3"/>
        <v>1.1432298519945696</v>
      </c>
      <c r="Y19" s="138">
        <f t="shared" si="3"/>
        <v>9.4806446345015125</v>
      </c>
    </row>
    <row r="20" spans="1:25" s="3" customFormat="1" x14ac:dyDescent="0.25">
      <c r="A20" s="27"/>
      <c r="B20" s="34"/>
      <c r="C20" s="25"/>
      <c r="D20" s="13"/>
      <c r="E20" s="26"/>
      <c r="F20" s="26"/>
      <c r="G20" s="26"/>
      <c r="H20" s="26"/>
      <c r="I20" s="26"/>
      <c r="J20" s="27"/>
      <c r="K20" s="28"/>
      <c r="L20" s="26"/>
      <c r="M20" s="38"/>
      <c r="N20" s="135"/>
      <c r="O20" s="135"/>
      <c r="P20" s="136"/>
      <c r="Q20" s="39"/>
      <c r="R20" s="29"/>
      <c r="S20" s="29"/>
      <c r="T20" s="29"/>
      <c r="U20" s="29"/>
      <c r="V20" s="29"/>
      <c r="W20" s="29"/>
      <c r="X20" s="29"/>
      <c r="Y20" s="29"/>
    </row>
    <row r="21" spans="1:25" s="3" customFormat="1" x14ac:dyDescent="0.25">
      <c r="A21" s="19" t="s">
        <v>252</v>
      </c>
      <c r="B21" s="34">
        <v>2015</v>
      </c>
      <c r="C21" s="25"/>
      <c r="D21" s="13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37" t="s">
        <v>157</v>
      </c>
      <c r="B22" s="34">
        <v>2015</v>
      </c>
      <c r="C22" s="25">
        <v>235</v>
      </c>
      <c r="D22" s="134">
        <v>0.38</v>
      </c>
      <c r="E22" s="546">
        <f>VLOOKUP($A22,EFROGS!$A$1:$J$44,(IF($B22=2015,4,IF($B22=2016,5,IF($B22=2017,6,IF($B22=2018,7,IF($B22=2019,8,IF($B22=2020,9,0))))))),FALSE)</f>
        <v>0.12027312265814816</v>
      </c>
      <c r="F22" s="546">
        <f>VLOOKUP($A22,EFCOS!$A$1:$J$44,(IF($B22=2015,4,IF($B22=2016,5,IF($B22=2017,6,IF($B22=2018,7,IF($B22=2019,8,IF($B22=2020,9,0))))))),FALSE)</f>
        <v>0.37726446207654918</v>
      </c>
      <c r="G22" s="546">
        <f>VLOOKUP($A22,EFNOXS!$A$1:$J$44,(IF($B22=2015,4,IF($B22=2016,5,IF($B22=2017,6,IF($B22=2018,7,IF($B22=2019,8,IF($B22=2020,9,0))))))),FALSE)</f>
        <v>0.94745273894088322</v>
      </c>
      <c r="H22" s="546">
        <f>VLOOKUP($A22,EFSOXS!$A$1:$J$44,(IF($B22=2015,4,IF($B22=2016,5,IF($B22=2017,6,IF($B22=2018,7,IF($B22=2019,8,IF($B22=2020,9,0))))))),FALSE)</f>
        <v>1.8739213528134147E-3</v>
      </c>
      <c r="I22" s="546">
        <f>VLOOKUP($A22,EFPMS!$A$1:$J$44,(IF($B22=2015,4,IF($B22=2016,5,IF($B22=2017,6,IF($B22=2018,7,IF($B22=2019,8,IF($B22=2020,9,0))))))),FALSE)</f>
        <v>3.1278738047599536E-2</v>
      </c>
      <c r="J22" s="536">
        <f t="shared" ref="J22:J25" si="4">0.89*I22</f>
        <v>2.7838076862363587E-2</v>
      </c>
      <c r="K22" s="549">
        <f>VLOOKUP($A22,EFCO2S!$A$1:$J$44,(IF($B22=2015,4,IF($B22=2016,5,IF($B22=2017,6,IF($B22=2018,7,IF($B22=2019,8,IF($B22=2020,9,0))))))),FALSE)</f>
        <v>166.54539483446186</v>
      </c>
      <c r="L22" s="546">
        <f>VLOOKUP($A22,EFCH4S!$A$1:$J$44,(IF($B22=2015,4,IF($B22=2016,5,IF($B22=2017,6,IF($B22=2018,7,IF($B22=2019,8,IF($B22=2020,9,0))))))),FALSE)</f>
        <v>1.1292325418869483E-2</v>
      </c>
      <c r="M22" s="540">
        <f t="shared" ref="M22:M25" si="5">0.095*G22</f>
        <v>9.0008010199383912E-2</v>
      </c>
      <c r="N22" s="108">
        <v>2</v>
      </c>
      <c r="O22" s="108">
        <v>2</v>
      </c>
      <c r="P22" s="109">
        <f>6*22</f>
        <v>132</v>
      </c>
      <c r="Q22" s="39">
        <f t="shared" ref="Q22:Y25" si="6">(E22*$N22*$O22)</f>
        <v>0.48109249063259263</v>
      </c>
      <c r="R22" s="29">
        <f t="shared" si="6"/>
        <v>1.5090578483061967</v>
      </c>
      <c r="S22" s="29">
        <f t="shared" si="6"/>
        <v>3.7898109557635329</v>
      </c>
      <c r="T22" s="29">
        <f t="shared" si="6"/>
        <v>7.4956854112536589E-3</v>
      </c>
      <c r="U22" s="29">
        <f t="shared" si="6"/>
        <v>0.12511495219039814</v>
      </c>
      <c r="V22" s="29">
        <f t="shared" si="6"/>
        <v>0.11135230744945435</v>
      </c>
      <c r="W22" s="29">
        <f t="shared" si="6"/>
        <v>666.18157933784744</v>
      </c>
      <c r="X22" s="29">
        <f t="shared" si="6"/>
        <v>4.5169301675477933E-2</v>
      </c>
      <c r="Y22" s="29">
        <f t="shared" si="6"/>
        <v>0.36003204079753565</v>
      </c>
    </row>
    <row r="23" spans="1:25" s="3" customFormat="1" x14ac:dyDescent="0.25">
      <c r="A23" s="27" t="s">
        <v>155</v>
      </c>
      <c r="B23" s="34">
        <v>2015</v>
      </c>
      <c r="C23" s="134">
        <v>82</v>
      </c>
      <c r="D23" s="134">
        <v>0.5</v>
      </c>
      <c r="E23" s="546">
        <f>VLOOKUP($A23,EFROGS!$A$1:$J$44,(IF($B23=2015,4,IF($B23=2016,5,IF($B23=2017,6,IF($B23=2018,7,IF($B23=2019,8,IF($B23=2020,9,0))))))),FALSE)</f>
        <v>3.6309327217992599E-2</v>
      </c>
      <c r="F23" s="546">
        <f>VLOOKUP($A23,EFCOS!$A$1:$J$44,(IF($B23=2015,4,IF($B23=2016,5,IF($B23=2017,6,IF($B23=2018,7,IF($B23=2019,8,IF($B23=2020,9,0))))))),FALSE)</f>
        <v>0.46093801457747435</v>
      </c>
      <c r="G23" s="546">
        <f>VLOOKUP($A23,EFNOXS!$A$1:$J$44,(IF($B23=2015,4,IF($B23=2016,5,IF($B23=2017,6,IF($B23=2018,7,IF($B23=2019,8,IF($B23=2020,9,0))))))),FALSE)</f>
        <v>0.36619894798559588</v>
      </c>
      <c r="H23" s="546">
        <f>VLOOKUP($A23,EFSOXS!$A$1:$J$44,(IF($B23=2015,4,IF($B23=2016,5,IF($B23=2017,6,IF($B23=2018,7,IF($B23=2019,8,IF($B23=2020,9,0))))))),FALSE)</f>
        <v>9.0467796015684726E-4</v>
      </c>
      <c r="I23" s="546">
        <f>VLOOKUP($A23,EFPMS!$A$1:$J$44,(IF($B23=2015,4,IF($B23=2016,5,IF($B23=2017,6,IF($B23=2018,7,IF($B23=2019,8,IF($B23=2020,9,0))))))),FALSE)</f>
        <v>1.5314374699910852E-2</v>
      </c>
      <c r="J23" s="536">
        <f t="shared" si="4"/>
        <v>1.3629793482920658E-2</v>
      </c>
      <c r="K23" s="549">
        <f>VLOOKUP($A23,EFCO2S!$A$1:$J$44,(IF($B23=2015,4,IF($B23=2016,5,IF($B23=2017,6,IF($B23=2018,7,IF($B23=2019,8,IF($B23=2020,9,0))))))),FALSE)</f>
        <v>77.121767330485099</v>
      </c>
      <c r="L23" s="546">
        <f>VLOOKUP($A23,EFCH4S!$A$1:$J$44,(IF($B23=2015,4,IF($B23=2016,5,IF($B23=2017,6,IF($B23=2018,7,IF($B23=2019,8,IF($B23=2020,9,0))))))),FALSE)</f>
        <v>3.3884664579035585E-3</v>
      </c>
      <c r="M23" s="540">
        <f t="shared" si="5"/>
        <v>3.4788900058631611E-2</v>
      </c>
      <c r="N23" s="108">
        <v>2</v>
      </c>
      <c r="O23" s="108">
        <v>4</v>
      </c>
      <c r="P23" s="109">
        <f>6*22</f>
        <v>132</v>
      </c>
      <c r="Q23" s="39">
        <f t="shared" si="6"/>
        <v>0.29047461774394079</v>
      </c>
      <c r="R23" s="29">
        <f t="shared" si="6"/>
        <v>3.6875041166197948</v>
      </c>
      <c r="S23" s="29">
        <f t="shared" si="6"/>
        <v>2.929591583884767</v>
      </c>
      <c r="T23" s="29">
        <f t="shared" si="6"/>
        <v>7.2374236812547781E-3</v>
      </c>
      <c r="U23" s="29">
        <f t="shared" si="6"/>
        <v>0.12251499759928682</v>
      </c>
      <c r="V23" s="29">
        <f t="shared" si="6"/>
        <v>0.10903834786336526</v>
      </c>
      <c r="W23" s="29">
        <f t="shared" si="6"/>
        <v>616.97413864388079</v>
      </c>
      <c r="X23" s="29">
        <f t="shared" si="6"/>
        <v>2.7107731663228468E-2</v>
      </c>
      <c r="Y23" s="29">
        <f t="shared" si="6"/>
        <v>0.27831120046905289</v>
      </c>
    </row>
    <row r="24" spans="1:25" s="3" customFormat="1" x14ac:dyDescent="0.25">
      <c r="A24" s="37" t="s">
        <v>62</v>
      </c>
      <c r="B24" s="34">
        <v>2015</v>
      </c>
      <c r="C24" s="25">
        <v>85</v>
      </c>
      <c r="D24" s="134">
        <v>0.36</v>
      </c>
      <c r="E24" s="546">
        <f>VLOOKUP($A24,EFROGS!$A$1:$J$44,(IF($B24=2015,4,IF($B24=2016,5,IF($B24=2017,6,IF($B24=2018,7,IF($B24=2019,8,IF($B24=2020,9,0))))))),FALSE)</f>
        <v>7.9801484832556724E-2</v>
      </c>
      <c r="F24" s="546">
        <f>VLOOKUP($A24,EFCOS!$A$1:$J$44,(IF($B24=2015,4,IF($B24=2016,5,IF($B24=2017,6,IF($B24=2018,7,IF($B24=2019,8,IF($B24=2020,9,0))))))),FALSE)</f>
        <v>0.40100742191945721</v>
      </c>
      <c r="G24" s="546">
        <f>VLOOKUP($A24,EFNOXS!$A$1:$J$44,(IF($B24=2015,4,IF($B24=2016,5,IF($B24=2017,6,IF($B24=2018,7,IF($B24=2019,8,IF($B24=2020,9,0))))))),FALSE)</f>
        <v>0.50491905800089187</v>
      </c>
      <c r="H24" s="546">
        <f>VLOOKUP($A24,EFSOXS!$A$1:$J$44,(IF($B24=2015,4,IF($B24=2016,5,IF($B24=2017,6,IF($B24=2018,7,IF($B24=2019,8,IF($B24=2020,9,0))))))),FALSE)</f>
        <v>6.9108572612879135E-4</v>
      </c>
      <c r="I24" s="546">
        <f>VLOOKUP($A24,EFPMS!$A$1:$J$44,(IF($B24=2015,4,IF($B24=2016,5,IF($B24=2017,6,IF($B24=2018,7,IF($B24=2019,8,IF($B24=2020,9,0))))))),FALSE)</f>
        <v>4.0955217982968535E-2</v>
      </c>
      <c r="J24" s="536">
        <f t="shared" si="4"/>
        <v>3.6450144004841999E-2</v>
      </c>
      <c r="K24" s="549">
        <f>VLOOKUP($A24,EFCO2S!$A$1:$J$44,(IF($B24=2015,4,IF($B24=2016,5,IF($B24=2017,6,IF($B24=2018,7,IF($B24=2019,8,IF($B24=2020,9,0))))))),FALSE)</f>
        <v>58.913512015277149</v>
      </c>
      <c r="L24" s="546">
        <f>VLOOKUP($A24,EFCH4S!$A$1:$J$44,(IF($B24=2015,4,IF($B24=2016,5,IF($B24=2017,6,IF($B24=2018,7,IF($B24=2019,8,IF($B24=2020,9,0))))))),FALSE)</f>
        <v>7.5344751889799754E-3</v>
      </c>
      <c r="M24" s="540">
        <f t="shared" si="5"/>
        <v>4.7967310510084731E-2</v>
      </c>
      <c r="N24" s="108">
        <v>2</v>
      </c>
      <c r="O24" s="108">
        <v>6</v>
      </c>
      <c r="P24" s="109">
        <f>6*22</f>
        <v>132</v>
      </c>
      <c r="Q24" s="39">
        <f t="shared" si="6"/>
        <v>0.95761781799068069</v>
      </c>
      <c r="R24" s="29">
        <f t="shared" si="6"/>
        <v>4.8120890630334863</v>
      </c>
      <c r="S24" s="29">
        <f t="shared" si="6"/>
        <v>6.0590286960107029</v>
      </c>
      <c r="T24" s="29">
        <f t="shared" si="6"/>
        <v>8.2930287135454962E-3</v>
      </c>
      <c r="U24" s="29">
        <f t="shared" si="6"/>
        <v>0.49146261579562245</v>
      </c>
      <c r="V24" s="29">
        <f t="shared" si="6"/>
        <v>0.43740172805810396</v>
      </c>
      <c r="W24" s="29">
        <f t="shared" si="6"/>
        <v>706.96214418332579</v>
      </c>
      <c r="X24" s="29">
        <f t="shared" si="6"/>
        <v>9.0413702267759702E-2</v>
      </c>
      <c r="Y24" s="29">
        <f t="shared" si="6"/>
        <v>0.57560772612101674</v>
      </c>
    </row>
    <row r="25" spans="1:25" s="3" customFormat="1" x14ac:dyDescent="0.25">
      <c r="A25" s="37" t="s">
        <v>61</v>
      </c>
      <c r="B25" s="34">
        <v>2015</v>
      </c>
      <c r="C25" s="25">
        <v>235</v>
      </c>
      <c r="D25" s="134">
        <v>0.38</v>
      </c>
      <c r="E25" s="546">
        <f>VLOOKUP($A25,EFROGS!$A$1:$J$44,(IF($B25=2015,4,IF($B25=2016,5,IF($B25=2017,6,IF($B25=2018,7,IF($B25=2019,8,IF($B25=2020,9,0))))))),FALSE)</f>
        <v>0.12027312265814816</v>
      </c>
      <c r="F25" s="546">
        <f>VLOOKUP($A25,EFCOS!$A$1:$J$44,(IF($B25=2015,4,IF($B25=2016,5,IF($B25=2017,6,IF($B25=2018,7,IF($B25=2019,8,IF($B25=2020,9,0))))))),FALSE)</f>
        <v>0.37726446207654918</v>
      </c>
      <c r="G25" s="546">
        <f>VLOOKUP($A25,EFNOXS!$A$1:$J$44,(IF($B25=2015,4,IF($B25=2016,5,IF($B25=2017,6,IF($B25=2018,7,IF($B25=2019,8,IF($B25=2020,9,0))))))),FALSE)</f>
        <v>0.94745273894088322</v>
      </c>
      <c r="H25" s="546">
        <f>VLOOKUP($A25,EFSOXS!$A$1:$J$44,(IF($B25=2015,4,IF($B25=2016,5,IF($B25=2017,6,IF($B25=2018,7,IF($B25=2019,8,IF($B25=2020,9,0))))))),FALSE)</f>
        <v>1.8739213528134147E-3</v>
      </c>
      <c r="I25" s="546">
        <f>VLOOKUP($A25,EFPMS!$A$1:$J$44,(IF($B25=2015,4,IF($B25=2016,5,IF($B25=2017,6,IF($B25=2018,7,IF($B25=2019,8,IF($B25=2020,9,0))))))),FALSE)</f>
        <v>3.1278738047599536E-2</v>
      </c>
      <c r="J25" s="536">
        <f t="shared" si="4"/>
        <v>2.7838076862363587E-2</v>
      </c>
      <c r="K25" s="549">
        <f>VLOOKUP($A25,EFCO2S!$A$1:$J$44,(IF($B25=2015,4,IF($B25=2016,5,IF($B25=2017,6,IF($B25=2018,7,IF($B25=2019,8,IF($B25=2020,9,0))))))),FALSE)</f>
        <v>166.54539483446186</v>
      </c>
      <c r="L25" s="546">
        <f>VLOOKUP($A25,EFCH4S!$A$1:$J$44,(IF($B25=2015,4,IF($B25=2016,5,IF($B25=2017,6,IF($B25=2018,7,IF($B25=2019,8,IF($B25=2020,9,0))))))),FALSE)</f>
        <v>1.1292325418869483E-2</v>
      </c>
      <c r="M25" s="540">
        <f t="shared" si="5"/>
        <v>9.0008010199383912E-2</v>
      </c>
      <c r="N25" s="108">
        <v>2</v>
      </c>
      <c r="O25" s="108">
        <v>3</v>
      </c>
      <c r="P25" s="109">
        <f>6*22</f>
        <v>132</v>
      </c>
      <c r="Q25" s="39">
        <f t="shared" si="6"/>
        <v>0.72163873594888894</v>
      </c>
      <c r="R25" s="29">
        <f t="shared" si="6"/>
        <v>2.2635867724592948</v>
      </c>
      <c r="S25" s="29">
        <f t="shared" si="6"/>
        <v>5.6847164336452991</v>
      </c>
      <c r="T25" s="29">
        <f t="shared" si="6"/>
        <v>1.1243528116880489E-2</v>
      </c>
      <c r="U25" s="29">
        <f t="shared" si="6"/>
        <v>0.18767242828559721</v>
      </c>
      <c r="V25" s="29">
        <f t="shared" si="6"/>
        <v>0.16702846117418152</v>
      </c>
      <c r="W25" s="29">
        <f t="shared" si="6"/>
        <v>999.27236900677121</v>
      </c>
      <c r="X25" s="29">
        <f t="shared" si="6"/>
        <v>6.7753952513216892E-2</v>
      </c>
      <c r="Y25" s="29">
        <f t="shared" si="6"/>
        <v>0.54004806119630344</v>
      </c>
    </row>
    <row r="26" spans="1:25" s="3" customFormat="1" x14ac:dyDescent="0.25">
      <c r="A26" s="19" t="s">
        <v>38</v>
      </c>
      <c r="B26" s="34"/>
      <c r="C26" s="25"/>
      <c r="D26" s="134"/>
      <c r="E26" s="26"/>
      <c r="F26" s="26"/>
      <c r="G26" s="26"/>
      <c r="H26" s="26"/>
      <c r="I26" s="26"/>
      <c r="J26" s="27"/>
      <c r="K26" s="28"/>
      <c r="L26" s="26"/>
      <c r="M26" s="38"/>
      <c r="N26" s="135"/>
      <c r="O26" s="135"/>
      <c r="P26" s="136"/>
      <c r="Q26" s="138">
        <f>SUM(Q22:Q25)</f>
        <v>2.450823662316103</v>
      </c>
      <c r="R26" s="138">
        <f t="shared" ref="R26:Y26" si="7">SUM(R22:R25)</f>
        <v>12.272237800418772</v>
      </c>
      <c r="S26" s="138">
        <f t="shared" si="7"/>
        <v>18.463147669304302</v>
      </c>
      <c r="T26" s="138">
        <f t="shared" si="7"/>
        <v>3.4269665922934421E-2</v>
      </c>
      <c r="U26" s="138">
        <f t="shared" si="7"/>
        <v>0.92676499387090461</v>
      </c>
      <c r="V26" s="138">
        <f t="shared" si="7"/>
        <v>0.82482084454510507</v>
      </c>
      <c r="W26" s="138">
        <f t="shared" si="7"/>
        <v>2989.3902311718252</v>
      </c>
      <c r="X26" s="138">
        <f t="shared" si="7"/>
        <v>0.23044468811968299</v>
      </c>
      <c r="Y26" s="138">
        <f t="shared" si="7"/>
        <v>1.7539990285839087</v>
      </c>
    </row>
    <row r="27" spans="1:25" s="3" customFormat="1" x14ac:dyDescent="0.25">
      <c r="A27" s="19" t="s">
        <v>630</v>
      </c>
      <c r="B27" s="34"/>
      <c r="C27" s="25"/>
      <c r="D27" s="134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138">
        <f>Q19+Q26</f>
        <v>14.615566728877521</v>
      </c>
      <c r="R27" s="138">
        <f t="shared" ref="R27:Y27" si="8">R19+R26</f>
        <v>58.548229230582812</v>
      </c>
      <c r="S27" s="138">
        <f t="shared" si="8"/>
        <v>118.25940697984653</v>
      </c>
      <c r="T27" s="138">
        <f t="shared" si="8"/>
        <v>0.20192470251275196</v>
      </c>
      <c r="U27" s="138">
        <f t="shared" si="8"/>
        <v>4.6147685042311739</v>
      </c>
      <c r="V27" s="138">
        <f t="shared" si="8"/>
        <v>4.1071439687657456</v>
      </c>
      <c r="W27" s="138">
        <f t="shared" si="8"/>
        <v>18978.574788785747</v>
      </c>
      <c r="X27" s="138">
        <f t="shared" si="8"/>
        <v>1.3736745401142527</v>
      </c>
      <c r="Y27" s="138">
        <f t="shared" si="8"/>
        <v>11.234643663085421</v>
      </c>
    </row>
    <row r="28" spans="1:25" s="3" customFormat="1" x14ac:dyDescent="0.25">
      <c r="A28" s="27"/>
      <c r="B28" s="34"/>
      <c r="C28" s="25"/>
      <c r="D28" s="134"/>
      <c r="E28" s="26"/>
      <c r="F28" s="26"/>
      <c r="G28" s="26"/>
      <c r="H28" s="26"/>
      <c r="I28" s="26"/>
      <c r="J28" s="27"/>
      <c r="K28" s="28"/>
      <c r="L28" s="26"/>
      <c r="M28" s="38"/>
      <c r="N28" s="135"/>
      <c r="O28" s="135"/>
      <c r="P28" s="136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19" t="s">
        <v>253</v>
      </c>
      <c r="B29" s="34">
        <v>2016</v>
      </c>
      <c r="C29" s="25"/>
      <c r="D29" s="134"/>
      <c r="E29" s="26"/>
      <c r="F29" s="26"/>
      <c r="G29" s="26"/>
      <c r="H29" s="26"/>
      <c r="I29" s="26"/>
      <c r="J29" s="27"/>
      <c r="K29" s="28"/>
      <c r="L29" s="26"/>
      <c r="M29" s="38"/>
      <c r="N29" s="135"/>
      <c r="O29" s="135"/>
      <c r="P29" s="136"/>
      <c r="Q29" s="39"/>
      <c r="R29" s="29"/>
      <c r="S29" s="29"/>
      <c r="T29" s="29"/>
      <c r="U29" s="29"/>
      <c r="V29" s="29"/>
      <c r="W29" s="29"/>
      <c r="X29" s="29"/>
      <c r="Y29" s="29"/>
    </row>
    <row r="30" spans="1:25" s="3" customFormat="1" x14ac:dyDescent="0.25">
      <c r="A30" s="27" t="s">
        <v>205</v>
      </c>
      <c r="B30" s="34">
        <v>2016</v>
      </c>
      <c r="C30" s="25">
        <v>235</v>
      </c>
      <c r="D30" s="134">
        <v>0.38</v>
      </c>
      <c r="E30" s="546">
        <f>VLOOKUP($A30,EFROGS!$A$1:$J$44,(IF($B30=2015,4,IF($B30=2016,5,IF($B30=2017,6,IF($B30=2018,7,IF($B30=2019,8,IF($B30=2020,9,0))))))),FALSE)</f>
        <v>0.10888615948643803</v>
      </c>
      <c r="F30" s="546">
        <f>VLOOKUP($A30,EFCOS!$A$1:$J$44,(IF($B30=2015,4,IF($B30=2016,5,IF($B30=2017,6,IF($B30=2018,7,IF($B30=2019,8,IF($B30=2020,9,0))))))),FALSE)</f>
        <v>0.37192102764732693</v>
      </c>
      <c r="G30" s="546">
        <f>VLOOKUP($A30,EFNOXS!$A$1:$J$44,(IF($B30=2015,4,IF($B30=2016,5,IF($B30=2017,6,IF($B30=2018,7,IF($B30=2019,8,IF($B30=2020,9,0))))))),FALSE)</f>
        <v>0.78693926319648355</v>
      </c>
      <c r="H30" s="546">
        <f>VLOOKUP($A30,EFSOXS!$A$1:$J$44,(IF($B30=2015,4,IF($B30=2016,5,IF($B30=2017,6,IF($B30=2018,7,IF($B30=2019,8,IF($B30=2020,9,0))))))),FALSE)</f>
        <v>1.8739217498104396E-3</v>
      </c>
      <c r="I30" s="546">
        <f>VLOOKUP($A30,EFPMS!$A$1:$J$44,(IF($B30=2015,4,IF($B30=2016,5,IF($B30=2017,6,IF($B30=2018,7,IF($B30=2019,8,IF($B30=2020,9,0))))))),FALSE)</f>
        <v>2.6432845298835113E-2</v>
      </c>
      <c r="J30" s="536">
        <f t="shared" ref="J30:J33" si="9">0.89*I30</f>
        <v>2.3525232315963252E-2</v>
      </c>
      <c r="K30" s="549">
        <f>VLOOKUP($A30,EFCO2S!$A$1:$J$44,(IF($B30=2015,4,IF($B30=2016,5,IF($B30=2017,6,IF($B30=2018,7,IF($B30=2019,8,IF($B30=2020,9,0))))))),FALSE)</f>
        <v>166.54541562452522</v>
      </c>
      <c r="L30" s="546">
        <f>VLOOKUP($A30,EFCH4S!$A$1:$J$44,(IF($B30=2015,4,IF($B30=2016,5,IF($B30=2017,6,IF($B30=2018,7,IF($B30=2019,8,IF($B30=2020,9,0))))))),FALSE)</f>
        <v>1.063993297769634E-2</v>
      </c>
      <c r="M30" s="540">
        <f t="shared" ref="M30:M33" si="10">0.095*G30</f>
        <v>7.4759230003665939E-2</v>
      </c>
      <c r="N30" s="135">
        <v>2</v>
      </c>
      <c r="O30" s="135">
        <v>2</v>
      </c>
      <c r="P30" s="109">
        <f>6*22</f>
        <v>132</v>
      </c>
      <c r="Q30" s="39">
        <f t="shared" ref="Q30:Y33" si="11">(E30*$N30*$O30)</f>
        <v>0.4355446379457521</v>
      </c>
      <c r="R30" s="29">
        <f t="shared" si="11"/>
        <v>1.4876841105893077</v>
      </c>
      <c r="S30" s="29">
        <f t="shared" si="11"/>
        <v>3.1477570527859342</v>
      </c>
      <c r="T30" s="29">
        <f t="shared" si="11"/>
        <v>7.4956869992417584E-3</v>
      </c>
      <c r="U30" s="29">
        <f t="shared" si="11"/>
        <v>0.10573138119534045</v>
      </c>
      <c r="V30" s="29">
        <f t="shared" si="11"/>
        <v>9.4100929263853009E-2</v>
      </c>
      <c r="W30" s="29">
        <f t="shared" si="11"/>
        <v>666.18166249810088</v>
      </c>
      <c r="X30" s="29">
        <f t="shared" si="11"/>
        <v>4.255973191078536E-2</v>
      </c>
      <c r="Y30" s="29">
        <f t="shared" si="11"/>
        <v>0.29903692001466375</v>
      </c>
    </row>
    <row r="31" spans="1:25" s="3" customFormat="1" x14ac:dyDescent="0.25">
      <c r="A31" s="27" t="s">
        <v>202</v>
      </c>
      <c r="B31" s="34">
        <v>2016</v>
      </c>
      <c r="C31" s="25">
        <v>399</v>
      </c>
      <c r="D31" s="134">
        <v>0.28999999999999998</v>
      </c>
      <c r="E31" s="546">
        <f>VLOOKUP($A31,EFROGS!$A$1:$J$44,(IF($B31=2015,4,IF($B31=2016,5,IF($B31=2017,6,IF($B31=2018,7,IF($B31=2019,8,IF($B31=2020,9,0))))))),FALSE)</f>
        <v>0.1228188382407441</v>
      </c>
      <c r="F31" s="546">
        <f>VLOOKUP($A31,EFCOS!$A$1:$J$44,(IF($B31=2015,4,IF($B31=2016,5,IF($B31=2017,6,IF($B31=2018,7,IF($B31=2019,8,IF($B31=2020,9,0))))))),FALSE)</f>
        <v>0.45492412964990703</v>
      </c>
      <c r="G31" s="546">
        <f>VLOOKUP($A31,EFNOXS!$A$1:$J$44,(IF($B31=2015,4,IF($B31=2016,5,IF($B31=2017,6,IF($B31=2018,7,IF($B31=2019,8,IF($B31=2020,9,0))))))),FALSE)</f>
        <v>0.97275799069431301</v>
      </c>
      <c r="H31" s="546">
        <f>VLOOKUP($A31,EFSOXS!$A$1:$J$44,(IF($B31=2015,4,IF($B31=2016,5,IF($B31=2017,6,IF($B31=2018,7,IF($B31=2019,8,IF($B31=2020,9,0))))))),FALSE)</f>
        <v>1.7677532588218458E-3</v>
      </c>
      <c r="I31" s="546">
        <f>VLOOKUP($A31,EFPMS!$A$1:$J$44,(IF($B31=2015,4,IF($B31=2016,5,IF($B31=2017,6,IF($B31=2018,7,IF($B31=2019,8,IF($B31=2020,9,0))))))),FALSE)</f>
        <v>3.5216325713369134E-2</v>
      </c>
      <c r="J31" s="536">
        <f t="shared" si="9"/>
        <v>3.134252988489853E-2</v>
      </c>
      <c r="K31" s="549">
        <f>VLOOKUP($A31,EFCO2S!$A$1:$J$44,(IF($B31=2015,4,IF($B31=2016,5,IF($B31=2017,6,IF($B31=2018,7,IF($B31=2019,8,IF($B31=2020,9,0))))))),FALSE)</f>
        <v>180.10130637401463</v>
      </c>
      <c r="L31" s="546">
        <f>VLOOKUP($A31,EFCH4S!$A$1:$J$44,(IF($B31=2015,4,IF($B31=2016,5,IF($B31=2017,6,IF($B31=2018,7,IF($B31=2019,8,IF($B31=2020,9,0))))))),FALSE)</f>
        <v>1.1955016897318338E-2</v>
      </c>
      <c r="M31" s="540">
        <f t="shared" si="10"/>
        <v>9.2412009115959731E-2</v>
      </c>
      <c r="N31" s="108">
        <v>2</v>
      </c>
      <c r="O31" s="108">
        <v>3</v>
      </c>
      <c r="P31" s="109">
        <f>6*22</f>
        <v>132</v>
      </c>
      <c r="Q31" s="39">
        <f t="shared" si="11"/>
        <v>0.73691302944446457</v>
      </c>
      <c r="R31" s="29">
        <f t="shared" si="11"/>
        <v>2.7295447778994424</v>
      </c>
      <c r="S31" s="29">
        <f t="shared" si="11"/>
        <v>5.8365479441658783</v>
      </c>
      <c r="T31" s="29">
        <f t="shared" si="11"/>
        <v>1.0606519552931074E-2</v>
      </c>
      <c r="U31" s="29">
        <f t="shared" si="11"/>
        <v>0.21129795428021481</v>
      </c>
      <c r="V31" s="29">
        <f t="shared" si="11"/>
        <v>0.1880551793093912</v>
      </c>
      <c r="W31" s="29">
        <f t="shared" si="11"/>
        <v>1080.6078382440878</v>
      </c>
      <c r="X31" s="29">
        <f t="shared" si="11"/>
        <v>7.1730101383910033E-2</v>
      </c>
      <c r="Y31" s="29">
        <f t="shared" si="11"/>
        <v>0.55447205469575844</v>
      </c>
    </row>
    <row r="32" spans="1:25" s="3" customFormat="1" x14ac:dyDescent="0.25">
      <c r="A32" s="27" t="s">
        <v>163</v>
      </c>
      <c r="B32" s="34">
        <v>2016</v>
      </c>
      <c r="C32" s="25">
        <v>75</v>
      </c>
      <c r="D32" s="134">
        <v>0.31</v>
      </c>
      <c r="E32" s="546">
        <f>VLOOKUP($A32,EFROGS!$A$1:$J$44,(IF($B32=2015,4,IF($B32=2016,5,IF($B32=2017,6,IF($B32=2018,7,IF($B32=2019,8,IF($B32=2020,9,0))))))),FALSE)</f>
        <v>3.7848085547672369E-2</v>
      </c>
      <c r="F32" s="546">
        <f>VLOOKUP($A32,EFCOS!$A$1:$J$44,(IF($B32=2015,4,IF($B32=2016,5,IF($B32=2017,6,IF($B32=2018,7,IF($B32=2019,8,IF($B32=2020,9,0))))))),FALSE)</f>
        <v>0.23095739347567587</v>
      </c>
      <c r="G32" s="546">
        <f>VLOOKUP($A32,EFNOXS!$A$1:$J$44,(IF($B32=2015,4,IF($B32=2016,5,IF($B32=2017,6,IF($B32=2018,7,IF($B32=2019,8,IF($B32=2020,9,0))))))),FALSE)</f>
        <v>0.27347169152642881</v>
      </c>
      <c r="H32" s="546">
        <f>VLOOKUP($A32,EFSOXS!$A$1:$J$44,(IF($B32=2015,4,IF($B32=2016,5,IF($B32=2017,6,IF($B32=2018,7,IF($B32=2019,8,IF($B32=2020,9,0))))))),FALSE)</f>
        <v>4.4660184460307463E-4</v>
      </c>
      <c r="I32" s="546">
        <f>VLOOKUP($A32,EFPMS!$A$1:$J$44,(IF($B32=2015,4,IF($B32=2016,5,IF($B32=2017,6,IF($B32=2018,7,IF($B32=2019,8,IF($B32=2020,9,0))))))),FALSE)</f>
        <v>1.9787803716078484E-2</v>
      </c>
      <c r="J32" s="536">
        <f t="shared" si="9"/>
        <v>1.7611145307309853E-2</v>
      </c>
      <c r="K32" s="549">
        <f>VLOOKUP($A32,EFCO2S!$A$1:$J$44,(IF($B32=2015,4,IF($B32=2016,5,IF($B32=2017,6,IF($B32=2018,7,IF($B32=2019,8,IF($B32=2020,9,0))))))),FALSE)</f>
        <v>38.071823208441309</v>
      </c>
      <c r="L32" s="546">
        <f>VLOOKUP($A32,EFCH4S!$A$1:$J$44,(IF($B32=2015,4,IF($B32=2016,5,IF($B32=2017,6,IF($B32=2018,7,IF($B32=2019,8,IF($B32=2020,9,0))))))),FALSE)</f>
        <v>3.7224725625345937E-3</v>
      </c>
      <c r="M32" s="540">
        <f t="shared" si="10"/>
        <v>2.5979810695010735E-2</v>
      </c>
      <c r="N32" s="108">
        <v>4</v>
      </c>
      <c r="O32" s="108">
        <v>4</v>
      </c>
      <c r="P32" s="109">
        <f>6*22</f>
        <v>132</v>
      </c>
      <c r="Q32" s="39">
        <f t="shared" si="11"/>
        <v>0.60556936876275791</v>
      </c>
      <c r="R32" s="29">
        <f t="shared" si="11"/>
        <v>3.6953182956108139</v>
      </c>
      <c r="S32" s="29">
        <f t="shared" si="11"/>
        <v>4.3755470644228609</v>
      </c>
      <c r="T32" s="29">
        <f t="shared" si="11"/>
        <v>7.1456295136491941E-3</v>
      </c>
      <c r="U32" s="29">
        <f t="shared" si="11"/>
        <v>0.31660485945725575</v>
      </c>
      <c r="V32" s="29">
        <f t="shared" si="11"/>
        <v>0.28177832491695765</v>
      </c>
      <c r="W32" s="29">
        <f t="shared" si="11"/>
        <v>609.14917133506094</v>
      </c>
      <c r="X32" s="29">
        <f t="shared" si="11"/>
        <v>5.9559561000553499E-2</v>
      </c>
      <c r="Y32" s="29">
        <f t="shared" si="11"/>
        <v>0.41567697112017177</v>
      </c>
    </row>
    <row r="33" spans="1:25" s="3" customFormat="1" x14ac:dyDescent="0.25">
      <c r="A33" s="27" t="s">
        <v>192</v>
      </c>
      <c r="B33" s="34">
        <v>2016</v>
      </c>
      <c r="C33" s="25">
        <v>45</v>
      </c>
      <c r="D33" s="25">
        <v>1</v>
      </c>
      <c r="E33" s="546">
        <f>VLOOKUP($A33,EFROGS!$A$1:$J$44,(IF($B33=2015,4,IF($B33=2016,5,IF($B33=2017,6,IF($B33=2018,7,IF($B33=2019,8,IF($B33=2020,9,0))))))),FALSE)</f>
        <v>6.0031826185753062E-2</v>
      </c>
      <c r="F33" s="546">
        <f>VLOOKUP($A33,EFCOS!$A$1:$J$44,(IF($B33=2015,4,IF($B33=2016,5,IF($B33=2017,6,IF($B33=2018,7,IF($B33=2019,8,IF($B33=2020,9,0))))))),FALSE)</f>
        <v>0.24597366704095389</v>
      </c>
      <c r="G33" s="546">
        <f>VLOOKUP($A33,EFNOXS!$A$1:$J$44,(IF($B33=2015,4,IF($B33=2016,5,IF($B33=2017,6,IF($B33=2018,7,IF($B33=2019,8,IF($B33=2020,9,0))))))),FALSE)</f>
        <v>0.21311283631353706</v>
      </c>
      <c r="H33" s="546">
        <f>VLOOKUP($A33,EFSOXS!$A$1:$J$44,(IF($B33=2015,4,IF($B33=2016,5,IF($B33=2017,6,IF($B33=2018,7,IF($B33=2019,8,IF($B33=2020,9,0))))))),FALSE)</f>
        <v>2.8791175201714529E-4</v>
      </c>
      <c r="I33" s="546">
        <f>VLOOKUP($A33,EFPMS!$A$1:$J$44,(IF($B33=2015,4,IF($B33=2016,5,IF($B33=2017,6,IF($B33=2018,7,IF($B33=2019,8,IF($B33=2020,9,0))))))),FALSE)</f>
        <v>1.5037193593767375E-2</v>
      </c>
      <c r="J33" s="536">
        <f t="shared" si="9"/>
        <v>1.3383102298452963E-2</v>
      </c>
      <c r="K33" s="549">
        <f>VLOOKUP($A33,EFCO2S!$A$1:$J$44,(IF($B33=2015,4,IF($B33=2016,5,IF($B33=2017,6,IF($B33=2018,7,IF($B33=2019,8,IF($B33=2020,9,0))))))),FALSE)</f>
        <v>22.271256112007169</v>
      </c>
      <c r="L33" s="546">
        <f>VLOOKUP($A33,EFCH4S!$A$1:$J$44,(IF($B33=2015,4,IF($B33=2016,5,IF($B33=2017,6,IF($B33=2018,7,IF($B33=2019,8,IF($B33=2020,9,0))))))),FALSE)</f>
        <v>6.0184173846369749E-3</v>
      </c>
      <c r="M33" s="540">
        <f t="shared" si="10"/>
        <v>2.024571944978602E-2</v>
      </c>
      <c r="N33" s="135">
        <v>3</v>
      </c>
      <c r="O33" s="135">
        <v>8</v>
      </c>
      <c r="P33" s="109">
        <f>6*22</f>
        <v>132</v>
      </c>
      <c r="Q33" s="39">
        <f t="shared" si="11"/>
        <v>1.4407638284580735</v>
      </c>
      <c r="R33" s="29">
        <f t="shared" si="11"/>
        <v>5.903368008982893</v>
      </c>
      <c r="S33" s="29">
        <f t="shared" si="11"/>
        <v>5.1147080715248894</v>
      </c>
      <c r="T33" s="29">
        <f t="shared" si="11"/>
        <v>6.9098820484114875E-3</v>
      </c>
      <c r="U33" s="29">
        <f t="shared" si="11"/>
        <v>0.360892646250417</v>
      </c>
      <c r="V33" s="29">
        <f t="shared" si="11"/>
        <v>0.3211944551628711</v>
      </c>
      <c r="W33" s="29">
        <f t="shared" si="11"/>
        <v>534.51014668817209</v>
      </c>
      <c r="X33" s="29">
        <f t="shared" si="11"/>
        <v>0.14444201723128741</v>
      </c>
      <c r="Y33" s="29">
        <f t="shared" si="11"/>
        <v>0.48589726679486445</v>
      </c>
    </row>
    <row r="34" spans="1:25" s="3" customFormat="1" x14ac:dyDescent="0.25">
      <c r="A34" s="19" t="s">
        <v>38</v>
      </c>
      <c r="B34" s="34"/>
      <c r="C34" s="25"/>
      <c r="D34" s="25"/>
      <c r="E34" s="26"/>
      <c r="F34" s="26"/>
      <c r="G34" s="26"/>
      <c r="H34" s="26"/>
      <c r="I34" s="26"/>
      <c r="J34" s="27"/>
      <c r="K34" s="28"/>
      <c r="L34" s="26"/>
      <c r="M34" s="38"/>
      <c r="N34" s="135"/>
      <c r="O34" s="135"/>
      <c r="P34" s="136"/>
      <c r="Q34" s="138">
        <f>SUM(Q30:Q33)</f>
        <v>3.2187908646110479</v>
      </c>
      <c r="R34" s="138">
        <f t="shared" ref="R34:Y34" si="12">SUM(R30:R33)</f>
        <v>13.815915193082457</v>
      </c>
      <c r="S34" s="138">
        <f t="shared" si="12"/>
        <v>18.474560132899562</v>
      </c>
      <c r="T34" s="138">
        <f t="shared" si="12"/>
        <v>3.2157718114233513E-2</v>
      </c>
      <c r="U34" s="138">
        <f t="shared" si="12"/>
        <v>0.99452684118322798</v>
      </c>
      <c r="V34" s="138">
        <f t="shared" si="12"/>
        <v>0.88512888865307304</v>
      </c>
      <c r="W34" s="138">
        <f t="shared" si="12"/>
        <v>2890.4488187654215</v>
      </c>
      <c r="X34" s="138">
        <f t="shared" si="12"/>
        <v>0.31829141152653628</v>
      </c>
      <c r="Y34" s="138">
        <f t="shared" si="12"/>
        <v>1.7550832126254585</v>
      </c>
    </row>
    <row r="35" spans="1:25" s="3" customFormat="1" x14ac:dyDescent="0.25">
      <c r="A35" s="19" t="s">
        <v>631</v>
      </c>
      <c r="B35" s="34"/>
      <c r="C35" s="25"/>
      <c r="D35" s="13"/>
      <c r="E35" s="26"/>
      <c r="F35" s="26"/>
      <c r="G35" s="26"/>
      <c r="H35" s="26"/>
      <c r="I35" s="26"/>
      <c r="J35" s="27"/>
      <c r="K35" s="28"/>
      <c r="L35" s="26"/>
      <c r="M35" s="38"/>
      <c r="N35" s="135"/>
      <c r="O35" s="135"/>
      <c r="P35" s="136"/>
      <c r="Q35" s="138">
        <f>Q34</f>
        <v>3.2187908646110479</v>
      </c>
      <c r="R35" s="138">
        <f t="shared" ref="R35:Y35" si="13">R34</f>
        <v>13.815915193082457</v>
      </c>
      <c r="S35" s="138">
        <f t="shared" si="13"/>
        <v>18.474560132899562</v>
      </c>
      <c r="T35" s="138">
        <f t="shared" si="13"/>
        <v>3.2157718114233513E-2</v>
      </c>
      <c r="U35" s="138">
        <f t="shared" si="13"/>
        <v>0.99452684118322798</v>
      </c>
      <c r="V35" s="138">
        <f t="shared" si="13"/>
        <v>0.88512888865307304</v>
      </c>
      <c r="W35" s="138">
        <f t="shared" si="13"/>
        <v>2890.4488187654215</v>
      </c>
      <c r="X35" s="138">
        <f t="shared" si="13"/>
        <v>0.31829141152653628</v>
      </c>
      <c r="Y35" s="138">
        <f t="shared" si="13"/>
        <v>1.7550832126254585</v>
      </c>
    </row>
    <row r="36" spans="1:25" s="3" customFormat="1" x14ac:dyDescent="0.25">
      <c r="A36" s="27"/>
      <c r="B36" s="34"/>
      <c r="C36" s="25"/>
      <c r="D36" s="13"/>
      <c r="E36" s="26"/>
      <c r="F36" s="26"/>
      <c r="G36" s="26"/>
      <c r="H36" s="26"/>
      <c r="I36" s="26"/>
      <c r="J36" s="27"/>
      <c r="K36" s="28"/>
      <c r="L36" s="26"/>
      <c r="M36" s="38"/>
      <c r="N36" s="135"/>
      <c r="O36" s="135"/>
      <c r="P36" s="136"/>
      <c r="Q36" s="39"/>
      <c r="R36" s="29"/>
      <c r="S36" s="29"/>
      <c r="T36" s="29"/>
      <c r="U36" s="29"/>
      <c r="V36" s="29"/>
      <c r="W36" s="29"/>
      <c r="X36" s="29"/>
      <c r="Y36" s="29"/>
    </row>
    <row r="37" spans="1:25" s="3" customFormat="1" x14ac:dyDescent="0.25">
      <c r="A37" s="19" t="s">
        <v>254</v>
      </c>
      <c r="B37" s="34">
        <v>2018</v>
      </c>
      <c r="C37" s="25"/>
      <c r="D37" s="134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39"/>
      <c r="R37" s="29"/>
      <c r="S37" s="29"/>
      <c r="T37" s="29"/>
      <c r="U37" s="29"/>
      <c r="V37" s="29"/>
      <c r="W37" s="29"/>
      <c r="X37" s="29"/>
      <c r="Y37" s="29"/>
    </row>
    <row r="38" spans="1:25" s="3" customFormat="1" x14ac:dyDescent="0.25">
      <c r="A38" s="27" t="s">
        <v>163</v>
      </c>
      <c r="B38" s="34">
        <v>2018</v>
      </c>
      <c r="C38" s="25">
        <v>75</v>
      </c>
      <c r="D38" s="134">
        <v>0.31</v>
      </c>
      <c r="E38" s="546">
        <f>VLOOKUP($A38,EFROGS!$A$1:$J$44,(IF($B38=2015,4,IF($B38=2016,5,IF($B38=2017,6,IF($B38=2018,7,IF($B38=2019,8,IF($B38=2020,9,0))))))),FALSE)</f>
        <v>2.503304302758573E-2</v>
      </c>
      <c r="F38" s="546">
        <f>VLOOKUP($A38,EFCOS!$A$1:$J$44,(IF($B38=2015,4,IF($B38=2016,5,IF($B38=2017,6,IF($B38=2018,7,IF($B38=2019,8,IF($B38=2020,9,0))))))),FALSE)</f>
        <v>0.21923257911050123</v>
      </c>
      <c r="G38" s="546">
        <f>VLOOKUP($A38,EFNOXS!$A$1:$J$44,(IF($B38=2015,4,IF($B38=2016,5,IF($B38=2017,6,IF($B38=2018,7,IF($B38=2019,8,IF($B38=2020,9,0))))))),FALSE)</f>
        <v>0.18418335618414555</v>
      </c>
      <c r="H38" s="546">
        <f>VLOOKUP($A38,EFSOXS!$A$1:$J$44,(IF($B38=2015,4,IF($B38=2016,5,IF($B38=2017,6,IF($B38=2018,7,IF($B38=2019,8,IF($B38=2020,9,0))))))),FALSE)</f>
        <v>4.466019753080203E-4</v>
      </c>
      <c r="I38" s="546">
        <f>VLOOKUP($A38,EFPMS!$A$1:$J$44,(IF($B38=2015,4,IF($B38=2016,5,IF($B38=2017,6,IF($B38=2018,7,IF($B38=2019,8,IF($B38=2020,9,0))))))),FALSE)</f>
        <v>1.2096076420543793E-2</v>
      </c>
      <c r="J38" s="536">
        <f t="shared" ref="J38:J40" si="14">0.89*I38</f>
        <v>1.0765508014283977E-2</v>
      </c>
      <c r="K38" s="549">
        <f>VLOOKUP($A38,EFCO2S!$A$1:$J$44,(IF($B38=2015,4,IF($B38=2016,5,IF($B38=2017,6,IF($B38=2018,7,IF($B38=2019,8,IF($B38=2020,9,0))))))),FALSE)</f>
        <v>38.071830204285249</v>
      </c>
      <c r="L38" s="546">
        <f>VLOOKUP($A38,EFCH4S!$A$1:$J$44,(IF($B38=2015,4,IF($B38=2016,5,IF($B38=2017,6,IF($B38=2018,7,IF($B38=2019,8,IF($B38=2020,9,0))))))),FALSE)</f>
        <v>2.9492141591912126E-3</v>
      </c>
      <c r="M38" s="540">
        <f t="shared" ref="M38:M40" si="15">0.095*G38</f>
        <v>1.7497418837493828E-2</v>
      </c>
      <c r="N38" s="108">
        <v>4</v>
      </c>
      <c r="O38" s="108">
        <v>4</v>
      </c>
      <c r="P38" s="109">
        <f>3*22</f>
        <v>66</v>
      </c>
      <c r="Q38" s="39">
        <f t="shared" ref="Q38:Y40" si="16">(E38*$N38*$O38)</f>
        <v>0.40052868844137168</v>
      </c>
      <c r="R38" s="29">
        <f t="shared" si="16"/>
        <v>3.5077212657680197</v>
      </c>
      <c r="S38" s="29">
        <f t="shared" si="16"/>
        <v>2.9469336989463288</v>
      </c>
      <c r="T38" s="29">
        <f t="shared" si="16"/>
        <v>7.1456316049283248E-3</v>
      </c>
      <c r="U38" s="29">
        <f t="shared" si="16"/>
        <v>0.19353722272870069</v>
      </c>
      <c r="V38" s="29">
        <f t="shared" si="16"/>
        <v>0.17224812822854363</v>
      </c>
      <c r="W38" s="29">
        <f t="shared" si="16"/>
        <v>609.14928326856398</v>
      </c>
      <c r="X38" s="29">
        <f t="shared" si="16"/>
        <v>4.7187426547059402E-2</v>
      </c>
      <c r="Y38" s="29">
        <f t="shared" si="16"/>
        <v>0.27995870139990126</v>
      </c>
    </row>
    <row r="39" spans="1:25" s="3" customFormat="1" x14ac:dyDescent="0.25">
      <c r="A39" s="27" t="s">
        <v>206</v>
      </c>
      <c r="B39" s="34">
        <v>2018</v>
      </c>
      <c r="C39" s="25">
        <v>300</v>
      </c>
      <c r="D39" s="134">
        <v>0.42</v>
      </c>
      <c r="E39" s="546">
        <f>VLOOKUP($A39,EFROGS!$A$1:$J$44,(IF($B39=2015,4,IF($B39=2016,5,IF($B39=2017,6,IF($B39=2018,7,IF($B39=2019,8,IF($B39=2020,9,0))))))),FALSE)</f>
        <v>9.0225805917190885E-2</v>
      </c>
      <c r="F39" s="546">
        <f>VLOOKUP($A39,EFCOS!$A$1:$J$44,(IF($B39=2015,4,IF($B39=2016,5,IF($B39=2017,6,IF($B39=2018,7,IF($B39=2019,8,IF($B39=2020,9,0))))))),FALSE)</f>
        <v>0.51534614373640708</v>
      </c>
      <c r="G39" s="546">
        <f>VLOOKUP($A39,EFNOXS!$A$1:$J$44,(IF($B39=2015,4,IF($B39=2016,5,IF($B39=2017,6,IF($B39=2018,7,IF($B39=2019,8,IF($B39=2020,9,0))))))),FALSE)</f>
        <v>0.58526223609575434</v>
      </c>
      <c r="H39" s="546">
        <f>VLOOKUP($A39,EFSOXS!$A$1:$J$44,(IF($B39=2015,4,IF($B39=2016,5,IF($B39=2017,6,IF($B39=2018,7,IF($B39=2019,8,IF($B39=2020,9,0))))))),FALSE)</f>
        <v>2.4954338651265763E-3</v>
      </c>
      <c r="I39" s="546">
        <f>VLOOKUP($A39,EFPMS!$A$1:$J$44,(IF($B39=2015,4,IF($B39=2016,5,IF($B39=2017,6,IF($B39=2018,7,IF($B39=2019,8,IF($B39=2020,9,0))))))),FALSE)</f>
        <v>2.0522530022613474E-2</v>
      </c>
      <c r="J39" s="536">
        <f t="shared" si="14"/>
        <v>1.8265051720125991E-2</v>
      </c>
      <c r="K39" s="549">
        <f>VLOOKUP($A39,EFCO2S!$A$1:$J$44,(IF($B39=2015,4,IF($B39=2016,5,IF($B39=2017,6,IF($B39=2018,7,IF($B39=2019,8,IF($B39=2020,9,0))))))),FALSE)</f>
        <v>254.23847108919361</v>
      </c>
      <c r="L39" s="546">
        <f>VLOOKUP($A39,EFCH4S!$A$1:$J$44,(IF($B39=2015,4,IF($B39=2016,5,IF($B39=2017,6,IF($B39=2018,7,IF($B39=2019,8,IF($B39=2020,9,0))))))),FALSE)</f>
        <v>1.0126092850486785E-2</v>
      </c>
      <c r="M39" s="540">
        <f t="shared" si="15"/>
        <v>5.5599912429096662E-2</v>
      </c>
      <c r="N39" s="135">
        <v>2</v>
      </c>
      <c r="O39" s="135">
        <v>6</v>
      </c>
      <c r="P39" s="109">
        <f t="shared" ref="P39:P40" si="17">3*22</f>
        <v>66</v>
      </c>
      <c r="Q39" s="39">
        <f t="shared" si="16"/>
        <v>1.0827096710062907</v>
      </c>
      <c r="R39" s="29">
        <f t="shared" si="16"/>
        <v>6.184153724836885</v>
      </c>
      <c r="S39" s="29">
        <f t="shared" si="16"/>
        <v>7.0231468331490525</v>
      </c>
      <c r="T39" s="29">
        <f t="shared" si="16"/>
        <v>2.9945206381518916E-2</v>
      </c>
      <c r="U39" s="29">
        <f t="shared" si="16"/>
        <v>0.24627036027136168</v>
      </c>
      <c r="V39" s="29">
        <f t="shared" si="16"/>
        <v>0.21918062064151189</v>
      </c>
      <c r="W39" s="29">
        <f t="shared" si="16"/>
        <v>3050.8616530703234</v>
      </c>
      <c r="X39" s="29">
        <f t="shared" si="16"/>
        <v>0.12151311420584142</v>
      </c>
      <c r="Y39" s="29">
        <f t="shared" si="16"/>
        <v>0.66719894914915989</v>
      </c>
    </row>
    <row r="40" spans="1:25" s="3" customFormat="1" x14ac:dyDescent="0.25">
      <c r="A40" s="27" t="s">
        <v>207</v>
      </c>
      <c r="B40" s="34">
        <v>2018</v>
      </c>
      <c r="C40" s="25">
        <v>300</v>
      </c>
      <c r="D40" s="134">
        <v>0.42</v>
      </c>
      <c r="E40" s="546">
        <f>VLOOKUP($A40,EFROGS!$A$1:$J$44,(IF($B40=2015,4,IF($B40=2016,5,IF($B40=2017,6,IF($B40=2018,7,IF($B40=2019,8,IF($B40=2020,9,0))))))),FALSE)</f>
        <v>9.0225805917190885E-2</v>
      </c>
      <c r="F40" s="546">
        <f>VLOOKUP($A40,EFCOS!$A$1:$J$44,(IF($B40=2015,4,IF($B40=2016,5,IF($B40=2017,6,IF($B40=2018,7,IF($B40=2019,8,IF($B40=2020,9,0))))))),FALSE)</f>
        <v>0.51534614373640708</v>
      </c>
      <c r="G40" s="546">
        <f>VLOOKUP($A40,EFNOXS!$A$1:$J$44,(IF($B40=2015,4,IF($B40=2016,5,IF($B40=2017,6,IF($B40=2018,7,IF($B40=2019,8,IF($B40=2020,9,0))))))),FALSE)</f>
        <v>0.58526223609575434</v>
      </c>
      <c r="H40" s="546">
        <f>VLOOKUP($A40,EFSOXS!$A$1:$J$44,(IF($B40=2015,4,IF($B40=2016,5,IF($B40=2017,6,IF($B40=2018,7,IF($B40=2019,8,IF($B40=2020,9,0))))))),FALSE)</f>
        <v>2.4954338651265763E-3</v>
      </c>
      <c r="I40" s="546">
        <f>VLOOKUP($A40,EFPMS!$A$1:$J$44,(IF($B40=2015,4,IF($B40=2016,5,IF($B40=2017,6,IF($B40=2018,7,IF($B40=2019,8,IF($B40=2020,9,0))))))),FALSE)</f>
        <v>2.0522530022613474E-2</v>
      </c>
      <c r="J40" s="536">
        <f t="shared" si="14"/>
        <v>1.8265051720125991E-2</v>
      </c>
      <c r="K40" s="549">
        <f>VLOOKUP($A40,EFCO2S!$A$1:$J$44,(IF($B40=2015,4,IF($B40=2016,5,IF($B40=2017,6,IF($B40=2018,7,IF($B40=2019,8,IF($B40=2020,9,0))))))),FALSE)</f>
        <v>254.23847108919361</v>
      </c>
      <c r="L40" s="546">
        <f>VLOOKUP($A40,EFCH4S!$A$1:$J$44,(IF($B40=2015,4,IF($B40=2016,5,IF($B40=2017,6,IF($B40=2018,7,IF($B40=2019,8,IF($B40=2020,9,0))))))),FALSE)</f>
        <v>1.0126092850486785E-2</v>
      </c>
      <c r="M40" s="540">
        <f t="shared" si="15"/>
        <v>5.5599912429096662E-2</v>
      </c>
      <c r="N40" s="135">
        <v>2</v>
      </c>
      <c r="O40" s="135">
        <v>6</v>
      </c>
      <c r="P40" s="109">
        <f t="shared" si="17"/>
        <v>66</v>
      </c>
      <c r="Q40" s="39">
        <f t="shared" si="16"/>
        <v>1.0827096710062907</v>
      </c>
      <c r="R40" s="29">
        <f t="shared" si="16"/>
        <v>6.184153724836885</v>
      </c>
      <c r="S40" s="29">
        <f t="shared" si="16"/>
        <v>7.0231468331490525</v>
      </c>
      <c r="T40" s="29">
        <f t="shared" si="16"/>
        <v>2.9945206381518916E-2</v>
      </c>
      <c r="U40" s="29">
        <f t="shared" si="16"/>
        <v>0.24627036027136168</v>
      </c>
      <c r="V40" s="29">
        <f t="shared" si="16"/>
        <v>0.21918062064151189</v>
      </c>
      <c r="W40" s="29">
        <f t="shared" si="16"/>
        <v>3050.8616530703234</v>
      </c>
      <c r="X40" s="29">
        <f t="shared" si="16"/>
        <v>0.12151311420584142</v>
      </c>
      <c r="Y40" s="29">
        <f t="shared" si="16"/>
        <v>0.66719894914915989</v>
      </c>
    </row>
    <row r="41" spans="1:25" s="3" customFormat="1" x14ac:dyDescent="0.25">
      <c r="A41" s="19" t="s">
        <v>38</v>
      </c>
      <c r="B41" s="34"/>
      <c r="C41" s="25"/>
      <c r="D41" s="134"/>
      <c r="E41" s="26"/>
      <c r="F41" s="26"/>
      <c r="G41" s="26"/>
      <c r="H41" s="26"/>
      <c r="I41" s="26"/>
      <c r="J41" s="27"/>
      <c r="K41" s="28"/>
      <c r="L41" s="26"/>
      <c r="M41" s="38"/>
      <c r="N41" s="135"/>
      <c r="O41" s="135"/>
      <c r="P41" s="136"/>
      <c r="Q41" s="138">
        <f t="shared" ref="Q41:Y41" si="18">SUM(Q38:Q40)</f>
        <v>2.5659480304539528</v>
      </c>
      <c r="R41" s="138">
        <f t="shared" si="18"/>
        <v>15.876028715441791</v>
      </c>
      <c r="S41" s="138">
        <f t="shared" si="18"/>
        <v>16.993227365244433</v>
      </c>
      <c r="T41" s="138">
        <f t="shared" si="18"/>
        <v>6.7036044367966147E-2</v>
      </c>
      <c r="U41" s="138">
        <f t="shared" si="18"/>
        <v>0.68607794327142413</v>
      </c>
      <c r="V41" s="138">
        <f t="shared" si="18"/>
        <v>0.61060936951156741</v>
      </c>
      <c r="W41" s="138">
        <f t="shared" si="18"/>
        <v>6710.8725894092113</v>
      </c>
      <c r="X41" s="138">
        <f t="shared" si="18"/>
        <v>0.29021365495874224</v>
      </c>
      <c r="Y41" s="138">
        <f t="shared" si="18"/>
        <v>1.614356599698221</v>
      </c>
    </row>
    <row r="42" spans="1:25" s="3" customFormat="1" x14ac:dyDescent="0.25">
      <c r="A42" s="27"/>
      <c r="B42" s="34"/>
      <c r="C42" s="25"/>
      <c r="D42" s="134"/>
      <c r="E42" s="26"/>
      <c r="F42" s="26"/>
      <c r="G42" s="26"/>
      <c r="H42" s="26"/>
      <c r="I42" s="26"/>
      <c r="J42" s="27"/>
      <c r="K42" s="28"/>
      <c r="L42" s="26"/>
      <c r="M42" s="38"/>
      <c r="N42" s="135"/>
      <c r="O42" s="135"/>
      <c r="P42" s="136"/>
      <c r="Q42" s="39"/>
      <c r="R42" s="29"/>
      <c r="S42" s="29"/>
      <c r="T42" s="29"/>
      <c r="U42" s="29"/>
      <c r="V42" s="29"/>
      <c r="W42" s="29"/>
      <c r="X42" s="29"/>
      <c r="Y42" s="29"/>
    </row>
    <row r="43" spans="1:25" s="3" customFormat="1" x14ac:dyDescent="0.25">
      <c r="A43" s="19" t="s">
        <v>255</v>
      </c>
      <c r="B43" s="34">
        <v>2018</v>
      </c>
      <c r="C43" s="25"/>
      <c r="D43" s="134"/>
      <c r="E43" s="26"/>
      <c r="F43" s="26"/>
      <c r="G43" s="26"/>
      <c r="H43" s="26"/>
      <c r="I43" s="26"/>
      <c r="J43" s="27"/>
      <c r="K43" s="28"/>
      <c r="L43" s="26"/>
      <c r="M43" s="38"/>
      <c r="N43" s="135"/>
      <c r="O43" s="135"/>
      <c r="P43" s="136"/>
      <c r="Q43" s="39"/>
      <c r="R43" s="29"/>
      <c r="S43" s="29"/>
      <c r="T43" s="29"/>
      <c r="U43" s="29"/>
      <c r="V43" s="29"/>
      <c r="W43" s="29"/>
      <c r="X43" s="29"/>
      <c r="Y43" s="29"/>
    </row>
    <row r="44" spans="1:25" s="3" customFormat="1" x14ac:dyDescent="0.25">
      <c r="A44" s="27" t="s">
        <v>205</v>
      </c>
      <c r="B44" s="34">
        <v>2018</v>
      </c>
      <c r="C44" s="25">
        <v>235</v>
      </c>
      <c r="D44" s="134">
        <v>0.38</v>
      </c>
      <c r="E44" s="546">
        <f>VLOOKUP($A44,EFROGS!$A$1:$J$44,(IF($B44=2015,4,IF($B44=2016,5,IF($B44=2017,6,IF($B44=2018,7,IF($B44=2019,8,IF($B44=2020,9,0))))))),FALSE)</f>
        <v>8.119224107646289E-2</v>
      </c>
      <c r="F44" s="546">
        <f>VLOOKUP($A44,EFCOS!$A$1:$J$44,(IF($B44=2015,4,IF($B44=2016,5,IF($B44=2017,6,IF($B44=2018,7,IF($B44=2019,8,IF($B44=2020,9,0))))))),FALSE)</f>
        <v>0.37994200133931877</v>
      </c>
      <c r="G44" s="546">
        <f>VLOOKUP($A44,EFNOXS!$A$1:$J$44,(IF($B44=2015,4,IF($B44=2016,5,IF($B44=2017,6,IF($B44=2018,7,IF($B44=2019,8,IF($B44=2020,9,0))))))),FALSE)</f>
        <v>0.48394485675138055</v>
      </c>
      <c r="H44" s="546">
        <f>VLOOKUP($A44,EFSOXS!$A$1:$J$44,(IF($B44=2015,4,IF($B44=2016,5,IF($B44=2017,6,IF($B44=2018,7,IF($B44=2019,8,IF($B44=2020,9,0))))))),FALSE)</f>
        <v>1.873921930245647E-3</v>
      </c>
      <c r="I44" s="546">
        <f>VLOOKUP($A44,EFPMS!$A$1:$J$44,(IF($B44=2015,4,IF($B44=2016,5,IF($B44=2017,6,IF($B44=2018,7,IF($B44=2019,8,IF($B44=2020,9,0))))))),FALSE)</f>
        <v>1.6665559588840455E-2</v>
      </c>
      <c r="J44" s="536">
        <f t="shared" ref="J44:J49" si="19">0.89*I44</f>
        <v>1.4832348034068006E-2</v>
      </c>
      <c r="K44" s="549">
        <f>VLOOKUP($A44,EFCO2S!$A$1:$J$44,(IF($B44=2015,4,IF($B44=2016,5,IF($B44=2017,6,IF($B44=2018,7,IF($B44=2019,8,IF($B44=2020,9,0))))))),FALSE)</f>
        <v>166.54543379579488</v>
      </c>
      <c r="L44" s="546">
        <f>VLOOKUP($A44,EFCH4S!$A$1:$J$44,(IF($B44=2015,4,IF($B44=2016,5,IF($B44=2017,6,IF($B44=2018,7,IF($B44=2019,8,IF($B44=2020,9,0))))))),FALSE)</f>
        <v>9.3996999235005617E-3</v>
      </c>
      <c r="M44" s="540">
        <f t="shared" ref="M44:M49" si="20">0.095*G44</f>
        <v>4.5974761391381153E-2</v>
      </c>
      <c r="N44" s="135">
        <v>2</v>
      </c>
      <c r="O44" s="135">
        <v>2</v>
      </c>
      <c r="P44" s="136">
        <f>6*22</f>
        <v>132</v>
      </c>
      <c r="Q44" s="39">
        <f t="shared" ref="Q44:Y49" si="21">(E44*$N44*$O44)</f>
        <v>0.32476896430585156</v>
      </c>
      <c r="R44" s="29">
        <f t="shared" si="21"/>
        <v>1.5197680053572751</v>
      </c>
      <c r="S44" s="29">
        <f t="shared" si="21"/>
        <v>1.9357794270055222</v>
      </c>
      <c r="T44" s="29">
        <f t="shared" si="21"/>
        <v>7.4956877209825879E-3</v>
      </c>
      <c r="U44" s="29">
        <f t="shared" si="21"/>
        <v>6.6662238355361822E-2</v>
      </c>
      <c r="V44" s="29">
        <f t="shared" si="21"/>
        <v>5.9329392136272023E-2</v>
      </c>
      <c r="W44" s="29">
        <f t="shared" si="21"/>
        <v>666.18173518317951</v>
      </c>
      <c r="X44" s="29">
        <f t="shared" si="21"/>
        <v>3.7598799694002247E-2</v>
      </c>
      <c r="Y44" s="29">
        <f t="shared" si="21"/>
        <v>0.18389904556552461</v>
      </c>
    </row>
    <row r="45" spans="1:25" s="3" customFormat="1" x14ac:dyDescent="0.25">
      <c r="A45" s="27" t="s">
        <v>163</v>
      </c>
      <c r="B45" s="34">
        <v>2018</v>
      </c>
      <c r="C45" s="25">
        <v>75</v>
      </c>
      <c r="D45" s="134">
        <v>0.31</v>
      </c>
      <c r="E45" s="546">
        <f>VLOOKUP($A45,EFROGS!$A$1:$J$44,(IF($B45=2015,4,IF($B45=2016,5,IF($B45=2017,6,IF($B45=2018,7,IF($B45=2019,8,IF($B45=2020,9,0))))))),FALSE)</f>
        <v>2.503304302758573E-2</v>
      </c>
      <c r="F45" s="546">
        <f>VLOOKUP($A45,EFCOS!$A$1:$J$44,(IF($B45=2015,4,IF($B45=2016,5,IF($B45=2017,6,IF($B45=2018,7,IF($B45=2019,8,IF($B45=2020,9,0))))))),FALSE)</f>
        <v>0.21923257911050123</v>
      </c>
      <c r="G45" s="546">
        <f>VLOOKUP($A45,EFNOXS!$A$1:$J$44,(IF($B45=2015,4,IF($B45=2016,5,IF($B45=2017,6,IF($B45=2018,7,IF($B45=2019,8,IF($B45=2020,9,0))))))),FALSE)</f>
        <v>0.18418335618414555</v>
      </c>
      <c r="H45" s="546">
        <f>VLOOKUP($A45,EFSOXS!$A$1:$J$44,(IF($B45=2015,4,IF($B45=2016,5,IF($B45=2017,6,IF($B45=2018,7,IF($B45=2019,8,IF($B45=2020,9,0))))))),FALSE)</f>
        <v>4.466019753080203E-4</v>
      </c>
      <c r="I45" s="546">
        <f>VLOOKUP($A45,EFPMS!$A$1:$J$44,(IF($B45=2015,4,IF($B45=2016,5,IF($B45=2017,6,IF($B45=2018,7,IF($B45=2019,8,IF($B45=2020,9,0))))))),FALSE)</f>
        <v>1.2096076420543793E-2</v>
      </c>
      <c r="J45" s="536">
        <f t="shared" si="19"/>
        <v>1.0765508014283977E-2</v>
      </c>
      <c r="K45" s="549">
        <f>VLOOKUP($A45,EFCO2S!$A$1:$J$44,(IF($B45=2015,4,IF($B45=2016,5,IF($B45=2017,6,IF($B45=2018,7,IF($B45=2019,8,IF($B45=2020,9,0))))))),FALSE)</f>
        <v>38.071830204285249</v>
      </c>
      <c r="L45" s="546">
        <f>VLOOKUP($A45,EFCH4S!$A$1:$J$44,(IF($B45=2015,4,IF($B45=2016,5,IF($B45=2017,6,IF($B45=2018,7,IF($B45=2019,8,IF($B45=2020,9,0))))))),FALSE)</f>
        <v>2.9492141591912126E-3</v>
      </c>
      <c r="M45" s="540">
        <f t="shared" si="20"/>
        <v>1.7497418837493828E-2</v>
      </c>
      <c r="N45" s="108">
        <v>4</v>
      </c>
      <c r="O45" s="108">
        <v>4</v>
      </c>
      <c r="P45" s="136">
        <f t="shared" ref="P45:P49" si="22">6*22</f>
        <v>132</v>
      </c>
      <c r="Q45" s="39">
        <f t="shared" si="21"/>
        <v>0.40052868844137168</v>
      </c>
      <c r="R45" s="29">
        <f t="shared" si="21"/>
        <v>3.5077212657680197</v>
      </c>
      <c r="S45" s="29">
        <f t="shared" si="21"/>
        <v>2.9469336989463288</v>
      </c>
      <c r="T45" s="29">
        <f t="shared" si="21"/>
        <v>7.1456316049283248E-3</v>
      </c>
      <c r="U45" s="29">
        <f t="shared" si="21"/>
        <v>0.19353722272870069</v>
      </c>
      <c r="V45" s="29">
        <f t="shared" si="21"/>
        <v>0.17224812822854363</v>
      </c>
      <c r="W45" s="29">
        <f t="shared" si="21"/>
        <v>609.14928326856398</v>
      </c>
      <c r="X45" s="29">
        <f t="shared" si="21"/>
        <v>4.7187426547059402E-2</v>
      </c>
      <c r="Y45" s="29">
        <f t="shared" si="21"/>
        <v>0.27995870139990126</v>
      </c>
    </row>
    <row r="46" spans="1:25" s="3" customFormat="1" x14ac:dyDescent="0.25">
      <c r="A46" s="27" t="s">
        <v>197</v>
      </c>
      <c r="B46" s="34">
        <v>2018</v>
      </c>
      <c r="C46" s="134">
        <v>200</v>
      </c>
      <c r="D46" s="134">
        <v>0.36</v>
      </c>
      <c r="E46" s="546">
        <f>VLOOKUP($A46,EFROGS!$A$1:$J$44,(IF($B46=2015,4,IF($B46=2016,5,IF($B46=2017,6,IF($B46=2018,7,IF($B46=2019,8,IF($B46=2020,9,0))))))),FALSE)</f>
        <v>7.2887346010641285E-2</v>
      </c>
      <c r="F46" s="546">
        <f>VLOOKUP($A46,EFCOS!$A$1:$J$44,(IF($B46=2015,4,IF($B46=2016,5,IF($B46=2017,6,IF($B46=2018,7,IF($B46=2019,8,IF($B46=2020,9,0))))))),FALSE)</f>
        <v>0.33135948621040862</v>
      </c>
      <c r="G46" s="546">
        <f>VLOOKUP($A46,EFNOXS!$A$1:$J$44,(IF($B46=2015,4,IF($B46=2016,5,IF($B46=2017,6,IF($B46=2018,7,IF($B46=2019,8,IF($B46=2020,9,0))))))),FALSE)</f>
        <v>0.51421364396110203</v>
      </c>
      <c r="H46" s="546">
        <f>VLOOKUP($A46,EFSOXS!$A$1:$J$44,(IF($B46=2015,4,IF($B46=2016,5,IF($B46=2017,6,IF($B46=2018,7,IF($B46=2019,8,IF($B46=2020,9,0))))))),FALSE)</f>
        <v>1.6762429502385828E-3</v>
      </c>
      <c r="I46" s="546">
        <f>VLOOKUP($A46,EFPMS!$A$1:$J$44,(IF($B46=2015,4,IF($B46=2016,5,IF($B46=2017,6,IF($B46=2018,7,IF($B46=2019,8,IF($B46=2020,9,0))))))),FALSE)</f>
        <v>1.7760280708673921E-2</v>
      </c>
      <c r="J46" s="536">
        <f t="shared" si="19"/>
        <v>1.5806649830719791E-2</v>
      </c>
      <c r="K46" s="549">
        <f>VLOOKUP($A46,EFCO2S!$A$1:$J$44,(IF($B46=2015,4,IF($B46=2016,5,IF($B46=2017,6,IF($B46=2018,7,IF($B46=2019,8,IF($B46=2020,9,0))))))),FALSE)</f>
        <v>148.97670143852574</v>
      </c>
      <c r="L46" s="546">
        <f>VLOOKUP($A46,EFCH4S!$A$1:$J$44,(IF($B46=2015,4,IF($B46=2016,5,IF($B46=2017,6,IF($B46=2018,7,IF($B46=2019,8,IF($B46=2020,9,0))))))),FALSE)</f>
        <v>8.5356955520187617E-3</v>
      </c>
      <c r="M46" s="540">
        <f t="shared" si="20"/>
        <v>4.8850296176304694E-2</v>
      </c>
      <c r="N46" s="135">
        <v>2</v>
      </c>
      <c r="O46" s="135">
        <v>3</v>
      </c>
      <c r="P46" s="136">
        <f t="shared" si="22"/>
        <v>132</v>
      </c>
      <c r="Q46" s="39">
        <f t="shared" si="21"/>
        <v>0.43732407606384771</v>
      </c>
      <c r="R46" s="29">
        <f t="shared" si="21"/>
        <v>1.9881569172624518</v>
      </c>
      <c r="S46" s="29">
        <f t="shared" si="21"/>
        <v>3.0852818637666122</v>
      </c>
      <c r="T46" s="29">
        <f t="shared" si="21"/>
        <v>1.0057457701431497E-2</v>
      </c>
      <c r="U46" s="29">
        <f t="shared" si="21"/>
        <v>0.10656168425204353</v>
      </c>
      <c r="V46" s="29">
        <f t="shared" si="21"/>
        <v>9.4839898984318743E-2</v>
      </c>
      <c r="W46" s="29">
        <f t="shared" si="21"/>
        <v>893.86020863115436</v>
      </c>
      <c r="X46" s="29">
        <f t="shared" si="21"/>
        <v>5.1214173312112574E-2</v>
      </c>
      <c r="Y46" s="29">
        <f t="shared" si="21"/>
        <v>0.29310177705782814</v>
      </c>
    </row>
    <row r="47" spans="1:25" s="3" customFormat="1" x14ac:dyDescent="0.25">
      <c r="A47" s="27" t="s">
        <v>209</v>
      </c>
      <c r="B47" s="34">
        <v>2018</v>
      </c>
      <c r="C47" s="25">
        <v>25</v>
      </c>
      <c r="D47" s="134">
        <v>1</v>
      </c>
      <c r="E47" s="546">
        <f>VLOOKUP($A47,EFROGS!$A$1:$J$44,(IF($B47=2015,4,IF($B47=2016,5,IF($B47=2017,6,IF($B47=2018,7,IF($B47=2019,8,IF($B47=2020,9,0))))))),FALSE)</f>
        <v>1.5945098772087649E-2</v>
      </c>
      <c r="F47" s="546">
        <f>VLOOKUP($A47,EFCOS!$A$1:$J$44,(IF($B47=2015,4,IF($B47=2016,5,IF($B47=2017,6,IF($B47=2018,7,IF($B47=2019,8,IF($B47=2020,9,0))))))),FALSE)</f>
        <v>0.10588694014040713</v>
      </c>
      <c r="G47" s="546">
        <f>VLOOKUP($A47,EFNOXS!$A$1:$J$44,(IF($B47=2015,4,IF($B47=2016,5,IF($B47=2017,6,IF($B47=2018,7,IF($B47=2019,8,IF($B47=2020,9,0))))))),FALSE)</f>
        <v>0.12840254691102099</v>
      </c>
      <c r="H47" s="546">
        <f>VLOOKUP($A47,EFSOXS!$A$1:$J$44,(IF($B47=2015,4,IF($B47=2016,5,IF($B47=2017,6,IF($B47=2018,7,IF($B47=2019,8,IF($B47=2020,9,0))))))),FALSE)</f>
        <v>1.6770235588901616E-4</v>
      </c>
      <c r="I47" s="546">
        <f>VLOOKUP($A47,EFPMS!$A$1:$J$44,(IF($B47=2015,4,IF($B47=2016,5,IF($B47=2017,6,IF($B47=2018,7,IF($B47=2019,8,IF($B47=2020,9,0))))))),FALSE)</f>
        <v>2.9641300934263879E-3</v>
      </c>
      <c r="J47" s="536">
        <f t="shared" si="19"/>
        <v>2.6380757831494851E-3</v>
      </c>
      <c r="K47" s="549">
        <f>VLOOKUP($A47,EFCO2S!$A$1:$J$44,(IF($B47=2015,4,IF($B47=2016,5,IF($B47=2017,6,IF($B47=2018,7,IF($B47=2019,8,IF($B47=2020,9,0))))))),FALSE)</f>
        <v>13.217291495541826</v>
      </c>
      <c r="L47" s="546">
        <f>VLOOKUP($A47,EFCH4S!$A$1:$J$44,(IF($B47=2015,4,IF($B47=2016,5,IF($B47=2017,6,IF($B47=2018,7,IF($B47=2019,8,IF($B47=2020,9,0))))))),FALSE)</f>
        <v>1.4387011113433123E-3</v>
      </c>
      <c r="M47" s="540">
        <f t="shared" si="20"/>
        <v>1.2198241956546995E-2</v>
      </c>
      <c r="N47" s="135">
        <v>1</v>
      </c>
      <c r="O47" s="135">
        <v>3</v>
      </c>
      <c r="P47" s="136">
        <f t="shared" si="22"/>
        <v>132</v>
      </c>
      <c r="Q47" s="39">
        <f t="shared" si="21"/>
        <v>4.7835296316262946E-2</v>
      </c>
      <c r="R47" s="29">
        <f t="shared" si="21"/>
        <v>0.3176608204212214</v>
      </c>
      <c r="S47" s="29">
        <f t="shared" si="21"/>
        <v>0.38520764073306296</v>
      </c>
      <c r="T47" s="29">
        <f t="shared" si="21"/>
        <v>5.0310706766704843E-4</v>
      </c>
      <c r="U47" s="29">
        <f t="shared" si="21"/>
        <v>8.8923902802791645E-3</v>
      </c>
      <c r="V47" s="29">
        <f t="shared" si="21"/>
        <v>7.9142273494484557E-3</v>
      </c>
      <c r="W47" s="29">
        <f t="shared" si="21"/>
        <v>39.651874486625474</v>
      </c>
      <c r="X47" s="29">
        <f t="shared" si="21"/>
        <v>4.3161033340299373E-3</v>
      </c>
      <c r="Y47" s="29">
        <f t="shared" si="21"/>
        <v>3.6594725869640986E-2</v>
      </c>
    </row>
    <row r="48" spans="1:25" s="3" customFormat="1" x14ac:dyDescent="0.25">
      <c r="A48" s="27" t="s">
        <v>200</v>
      </c>
      <c r="B48" s="34">
        <v>2018</v>
      </c>
      <c r="C48" s="25">
        <v>235</v>
      </c>
      <c r="D48" s="25">
        <v>0.38</v>
      </c>
      <c r="E48" s="546">
        <f>VLOOKUP($A48,EFROGS!$A$1:$J$44,(IF($B48=2015,4,IF($B48=2016,5,IF($B48=2017,6,IF($B48=2018,7,IF($B48=2019,8,IF($B48=2020,9,0))))))),FALSE)</f>
        <v>8.119224107646289E-2</v>
      </c>
      <c r="F48" s="546">
        <f>VLOOKUP($A48,EFCOS!$A$1:$J$44,(IF($B48=2015,4,IF($B48=2016,5,IF($B48=2017,6,IF($B48=2018,7,IF($B48=2019,8,IF($B48=2020,9,0))))))),FALSE)</f>
        <v>0.37994200133931877</v>
      </c>
      <c r="G48" s="546">
        <f>VLOOKUP($A48,EFNOXS!$A$1:$J$44,(IF($B48=2015,4,IF($B48=2016,5,IF($B48=2017,6,IF($B48=2018,7,IF($B48=2019,8,IF($B48=2020,9,0))))))),FALSE)</f>
        <v>0.48394485675138055</v>
      </c>
      <c r="H48" s="546">
        <f>VLOOKUP($A48,EFSOXS!$A$1:$J$44,(IF($B48=2015,4,IF($B48=2016,5,IF($B48=2017,6,IF($B48=2018,7,IF($B48=2019,8,IF($B48=2020,9,0))))))),FALSE)</f>
        <v>1.873921930245647E-3</v>
      </c>
      <c r="I48" s="546">
        <f>VLOOKUP($A48,EFPMS!$A$1:$J$44,(IF($B48=2015,4,IF($B48=2016,5,IF($B48=2017,6,IF($B48=2018,7,IF($B48=2019,8,IF($B48=2020,9,0))))))),FALSE)</f>
        <v>1.6665559588840455E-2</v>
      </c>
      <c r="J48" s="536">
        <f t="shared" si="19"/>
        <v>1.4832348034068006E-2</v>
      </c>
      <c r="K48" s="549">
        <f>VLOOKUP($A48,EFCO2S!$A$1:$J$44,(IF($B48=2015,4,IF($B48=2016,5,IF($B48=2017,6,IF($B48=2018,7,IF($B48=2019,8,IF($B48=2020,9,0))))))),FALSE)</f>
        <v>166.54543379579488</v>
      </c>
      <c r="L48" s="546">
        <f>VLOOKUP($A48,EFCH4S!$A$1:$J$44,(IF($B48=2015,4,IF($B48=2016,5,IF($B48=2017,6,IF($B48=2018,7,IF($B48=2019,8,IF($B48=2020,9,0))))))),FALSE)</f>
        <v>9.3996999235005617E-3</v>
      </c>
      <c r="M48" s="540">
        <f t="shared" si="20"/>
        <v>4.5974761391381153E-2</v>
      </c>
      <c r="N48" s="135">
        <v>1</v>
      </c>
      <c r="O48" s="135">
        <v>2</v>
      </c>
      <c r="P48" s="136">
        <f t="shared" si="22"/>
        <v>132</v>
      </c>
      <c r="Q48" s="39">
        <f t="shared" si="21"/>
        <v>0.16238448215292578</v>
      </c>
      <c r="R48" s="29">
        <f t="shared" si="21"/>
        <v>0.75988400267863754</v>
      </c>
      <c r="S48" s="29">
        <f t="shared" si="21"/>
        <v>0.9678897135027611</v>
      </c>
      <c r="T48" s="29">
        <f t="shared" si="21"/>
        <v>3.7478438604912939E-3</v>
      </c>
      <c r="U48" s="29">
        <f t="shared" si="21"/>
        <v>3.3331119177680911E-2</v>
      </c>
      <c r="V48" s="29">
        <f t="shared" si="21"/>
        <v>2.9664696068136012E-2</v>
      </c>
      <c r="W48" s="29">
        <f t="shared" si="21"/>
        <v>333.09086759158976</v>
      </c>
      <c r="X48" s="29">
        <f t="shared" si="21"/>
        <v>1.8799399847001123E-2</v>
      </c>
      <c r="Y48" s="29">
        <f t="shared" si="21"/>
        <v>9.1949522782762305E-2</v>
      </c>
    </row>
    <row r="49" spans="1:32" s="3" customFormat="1" x14ac:dyDescent="0.25">
      <c r="A49" s="27" t="s">
        <v>204</v>
      </c>
      <c r="B49" s="34">
        <v>2018</v>
      </c>
      <c r="C49" s="25">
        <v>75</v>
      </c>
      <c r="D49" s="25">
        <v>0.28999999999999998</v>
      </c>
      <c r="E49" s="546">
        <f>VLOOKUP($A49,EFROGS!$A$1:$J$44,(IF($B49=2015,4,IF($B49=2016,5,IF($B49=2017,6,IF($B49=2018,7,IF($B49=2019,8,IF($B49=2020,9,0))))))),FALSE)</f>
        <v>4.6723352066517031E-2</v>
      </c>
      <c r="F49" s="546">
        <f>VLOOKUP($A49,EFCOS!$A$1:$J$44,(IF($B49=2015,4,IF($B49=2016,5,IF($B49=2017,6,IF($B49=2018,7,IF($B49=2019,8,IF($B49=2020,9,0))))))),FALSE)</f>
        <v>0.29726544857788689</v>
      </c>
      <c r="G49" s="546">
        <f>VLOOKUP($A49,EFNOXS!$A$1:$J$44,(IF($B49=2015,4,IF($B49=2016,5,IF($B49=2017,6,IF($B49=2018,7,IF($B49=2019,8,IF($B49=2020,9,0))))))),FALSE)</f>
        <v>0.27434017818861878</v>
      </c>
      <c r="H49" s="546">
        <f>VLOOKUP($A49,EFSOXS!$A$1:$J$44,(IF($B49=2015,4,IF($B49=2016,5,IF($B49=2017,6,IF($B49=2018,7,IF($B49=2019,8,IF($B49=2020,9,0))))))),FALSE)</f>
        <v>5.8826139268297324E-4</v>
      </c>
      <c r="I49" s="546">
        <f>VLOOKUP($A49,EFPMS!$A$1:$J$44,(IF($B49=2015,4,IF($B49=2016,5,IF($B49=2017,6,IF($B49=2018,7,IF($B49=2019,8,IF($B49=2020,9,0))))))),FALSE)</f>
        <v>2.1664914086788938E-2</v>
      </c>
      <c r="J49" s="536">
        <f t="shared" si="19"/>
        <v>1.9281773537242156E-2</v>
      </c>
      <c r="K49" s="549">
        <f>VLOOKUP($A49,EFCO2S!$A$1:$J$44,(IF($B49=2015,4,IF($B49=2016,5,IF($B49=2017,6,IF($B49=2018,7,IF($B49=2019,8,IF($B49=2020,9,0))))))),FALSE)</f>
        <v>50.147969714257975</v>
      </c>
      <c r="L49" s="546">
        <f>VLOOKUP($A49,EFCH4S!$A$1:$J$44,(IF($B49=2015,4,IF($B49=2016,5,IF($B49=2017,6,IF($B49=2018,7,IF($B49=2019,8,IF($B49=2020,9,0))))))),FALSE)</f>
        <v>5.7629472413349841E-3</v>
      </c>
      <c r="M49" s="540">
        <f t="shared" si="20"/>
        <v>2.6062316927918786E-2</v>
      </c>
      <c r="N49" s="108">
        <v>1</v>
      </c>
      <c r="O49" s="108">
        <v>3</v>
      </c>
      <c r="P49" s="136">
        <f t="shared" si="22"/>
        <v>132</v>
      </c>
      <c r="Q49" s="39">
        <f t="shared" si="21"/>
        <v>0.14017005619955109</v>
      </c>
      <c r="R49" s="29">
        <f t="shared" si="21"/>
        <v>0.89179634573366062</v>
      </c>
      <c r="S49" s="29">
        <f t="shared" si="21"/>
        <v>0.82302053456585633</v>
      </c>
      <c r="T49" s="29">
        <f t="shared" si="21"/>
        <v>1.7647841780489197E-3</v>
      </c>
      <c r="U49" s="29">
        <f t="shared" si="21"/>
        <v>6.4994742260366806E-2</v>
      </c>
      <c r="V49" s="29">
        <f t="shared" si="21"/>
        <v>5.7845320611726467E-2</v>
      </c>
      <c r="W49" s="29">
        <f t="shared" si="21"/>
        <v>150.44390914277392</v>
      </c>
      <c r="X49" s="29">
        <f t="shared" si="21"/>
        <v>1.7288841724004952E-2</v>
      </c>
      <c r="Y49" s="29">
        <f t="shared" si="21"/>
        <v>7.8186950783756357E-2</v>
      </c>
    </row>
    <row r="50" spans="1:32" s="3" customFormat="1" x14ac:dyDescent="0.25">
      <c r="A50" s="35" t="s">
        <v>38</v>
      </c>
      <c r="B50" s="181"/>
      <c r="C50" s="182"/>
      <c r="D50" s="182"/>
      <c r="E50" s="183"/>
      <c r="F50" s="183"/>
      <c r="G50" s="183"/>
      <c r="H50" s="183"/>
      <c r="I50" s="183"/>
      <c r="J50" s="162"/>
      <c r="K50" s="184"/>
      <c r="L50" s="183"/>
      <c r="M50" s="185"/>
      <c r="N50" s="135"/>
      <c r="O50" s="135"/>
      <c r="P50" s="136"/>
      <c r="Q50" s="186">
        <f>SUM(Q44:Q49)</f>
        <v>1.5130115634798109</v>
      </c>
      <c r="R50" s="186">
        <f t="shared" ref="R50:Y50" si="23">SUM(R44:R49)</f>
        <v>8.984987357221268</v>
      </c>
      <c r="S50" s="186">
        <f t="shared" si="23"/>
        <v>10.144112878520142</v>
      </c>
      <c r="T50" s="186">
        <f t="shared" si="23"/>
        <v>3.0714512133549674E-2</v>
      </c>
      <c r="U50" s="186">
        <f t="shared" si="23"/>
        <v>0.47397939705443293</v>
      </c>
      <c r="V50" s="186">
        <f t="shared" si="23"/>
        <v>0.42184166337844531</v>
      </c>
      <c r="W50" s="186">
        <f t="shared" si="23"/>
        <v>2692.377878303887</v>
      </c>
      <c r="X50" s="186">
        <f t="shared" si="23"/>
        <v>0.17640474445821025</v>
      </c>
      <c r="Y50" s="186">
        <f t="shared" si="23"/>
        <v>0.96369072345941376</v>
      </c>
    </row>
    <row r="51" spans="1:32" s="6" customFormat="1" x14ac:dyDescent="0.25">
      <c r="A51" s="187" t="s">
        <v>632</v>
      </c>
      <c r="B51" s="134"/>
      <c r="C51" s="25"/>
      <c r="D51" s="25"/>
      <c r="E51" s="26"/>
      <c r="F51" s="26"/>
      <c r="G51" s="26"/>
      <c r="H51" s="26"/>
      <c r="I51" s="26"/>
      <c r="J51" s="27"/>
      <c r="K51" s="28"/>
      <c r="L51" s="26"/>
      <c r="M51" s="26"/>
      <c r="N51" s="109"/>
      <c r="O51" s="109"/>
      <c r="P51" s="109"/>
      <c r="Q51" s="22">
        <f>Q41+Q50</f>
        <v>4.0789595939337637</v>
      </c>
      <c r="R51" s="22">
        <f t="shared" ref="R51:Y51" si="24">R41+R50</f>
        <v>24.861016072663059</v>
      </c>
      <c r="S51" s="22">
        <f t="shared" si="24"/>
        <v>27.137340243764577</v>
      </c>
      <c r="T51" s="22">
        <f t="shared" si="24"/>
        <v>9.7750556501515817E-2</v>
      </c>
      <c r="U51" s="22">
        <f t="shared" si="24"/>
        <v>1.1600573403258569</v>
      </c>
      <c r="V51" s="22">
        <f t="shared" si="24"/>
        <v>1.0324510328900127</v>
      </c>
      <c r="W51" s="22">
        <f t="shared" si="24"/>
        <v>9403.2504677130983</v>
      </c>
      <c r="X51" s="22">
        <f t="shared" si="24"/>
        <v>0.46661839941695249</v>
      </c>
      <c r="Y51" s="22">
        <f t="shared" si="24"/>
        <v>2.5780473231576346</v>
      </c>
      <c r="AF51" s="7"/>
    </row>
    <row r="52" spans="1:32" s="6" customFormat="1" x14ac:dyDescent="0.25">
      <c r="A52"/>
      <c r="B52" s="1"/>
      <c r="C52" s="1"/>
      <c r="D52" s="1"/>
      <c r="E52" s="623" t="s">
        <v>2</v>
      </c>
      <c r="F52" s="623"/>
      <c r="G52" s="623"/>
      <c r="H52" s="623"/>
      <c r="I52" s="623"/>
      <c r="J52" s="623"/>
      <c r="K52" s="623"/>
      <c r="L52" s="623"/>
      <c r="M52"/>
      <c r="N52" s="3"/>
      <c r="O52"/>
      <c r="P52"/>
      <c r="Q52" s="4"/>
      <c r="R52" s="4"/>
      <c r="S52" s="4"/>
      <c r="T52" s="4"/>
      <c r="U52" s="4"/>
      <c r="V52" s="4"/>
      <c r="W52" s="5"/>
      <c r="X52" s="4"/>
      <c r="Y52" s="4"/>
      <c r="AF52" s="7"/>
    </row>
    <row r="53" spans="1:32" s="6" customFormat="1" ht="39.6" x14ac:dyDescent="0.25">
      <c r="A53" s="12" t="s">
        <v>131</v>
      </c>
      <c r="B53" s="13" t="s">
        <v>3</v>
      </c>
      <c r="C53" s="13" t="s">
        <v>4</v>
      </c>
      <c r="D53" s="1"/>
      <c r="E53" s="18" t="s">
        <v>27</v>
      </c>
      <c r="F53" s="18" t="s">
        <v>28</v>
      </c>
      <c r="G53" s="18" t="s">
        <v>29</v>
      </c>
      <c r="H53" s="18" t="s">
        <v>30</v>
      </c>
      <c r="I53" s="18" t="s">
        <v>31</v>
      </c>
      <c r="J53" s="18" t="s">
        <v>32</v>
      </c>
      <c r="K53" s="17" t="s">
        <v>33</v>
      </c>
      <c r="L53" s="18" t="s">
        <v>34</v>
      </c>
      <c r="M53" s="18" t="s">
        <v>35</v>
      </c>
      <c r="N53" s="3"/>
      <c r="O53"/>
      <c r="P53"/>
      <c r="Q53" s="4"/>
      <c r="R53" s="4"/>
      <c r="S53" s="4"/>
      <c r="T53" s="4"/>
      <c r="U53" s="4"/>
      <c r="V53" s="4"/>
      <c r="W53" s="5"/>
      <c r="X53" s="4"/>
      <c r="Y53" s="4"/>
      <c r="AF53" s="7"/>
    </row>
    <row r="54" spans="1:32" s="3" customFormat="1" x14ac:dyDescent="0.25">
      <c r="A54" s="12" t="str">
        <f t="shared" ref="A54:A65" si="25">A7</f>
        <v>Trans: Talega to Rancho San Juan - Site Grading</v>
      </c>
      <c r="B54" s="36"/>
      <c r="C54" s="20"/>
      <c r="D54" s="1"/>
      <c r="E54" s="30"/>
      <c r="F54" s="30"/>
      <c r="G54" s="30"/>
      <c r="H54" s="30"/>
      <c r="I54" s="30"/>
      <c r="J54" s="30"/>
      <c r="K54" s="30"/>
      <c r="L54" s="30"/>
      <c r="M54" s="30"/>
      <c r="O54"/>
      <c r="P54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 t="str">
        <f t="shared" si="25"/>
        <v>Bulldozer</v>
      </c>
      <c r="B55" s="36"/>
      <c r="C55" s="20"/>
      <c r="D55" s="1"/>
      <c r="E55" s="30">
        <f t="shared" ref="E55:E65" si="26">(Q8*$P8)/2000</f>
        <v>3.7047147964043473E-2</v>
      </c>
      <c r="F55" s="30">
        <f t="shared" ref="F55:F65" si="27">(R8*$P8)/2000</f>
        <v>0.16149825619630861</v>
      </c>
      <c r="G55" s="30">
        <f t="shared" ref="G55:G65" si="28">(S8*$P8)/2000</f>
        <v>0.30339773840169376</v>
      </c>
      <c r="H55" s="30">
        <f t="shared" ref="H55:H65" si="29">(T8*$P8)/2000</f>
        <v>3.4317495227258811E-4</v>
      </c>
      <c r="I55" s="30">
        <f t="shared" ref="I55:I65" si="30">(U8*$P8)/2000</f>
        <v>1.2384771189160308E-2</v>
      </c>
      <c r="J55" s="30">
        <f t="shared" ref="J55:J65" si="31">(V8*$P8)/2000</f>
        <v>1.1022446358352672E-2</v>
      </c>
      <c r="K55" s="30">
        <f t="shared" ref="K55:K65" si="32">(W8*$P8)/2000</f>
        <v>34.963178404719613</v>
      </c>
      <c r="L55" s="30">
        <f t="shared" ref="L55:L65" si="33">(X8*$P8)/2000</f>
        <v>3.4915511061331347E-3</v>
      </c>
      <c r="M55" s="30">
        <f t="shared" ref="M55:M65" si="34">(Y8*$P8)/2000</f>
        <v>2.8822785148160907E-2</v>
      </c>
      <c r="O55"/>
      <c r="P55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37" t="str">
        <f t="shared" si="25"/>
        <v>Road Grader/Blade</v>
      </c>
      <c r="B56" s="36"/>
      <c r="C56" s="20"/>
      <c r="D56" s="1"/>
      <c r="E56" s="30">
        <f t="shared" si="26"/>
        <v>1.412423607049167E-2</v>
      </c>
      <c r="F56" s="30">
        <f t="shared" si="27"/>
        <v>5.159800435496871E-2</v>
      </c>
      <c r="G56" s="30">
        <f t="shared" si="28"/>
        <v>0.11712341325574673</v>
      </c>
      <c r="H56" s="30">
        <f t="shared" si="29"/>
        <v>1.9821677587543785E-4</v>
      </c>
      <c r="I56" s="30">
        <f t="shared" si="30"/>
        <v>4.1642946375240958E-3</v>
      </c>
      <c r="J56" s="30">
        <f t="shared" si="31"/>
        <v>3.7062222273964453E-3</v>
      </c>
      <c r="K56" s="30">
        <f t="shared" si="32"/>
        <v>20.194618755970367</v>
      </c>
      <c r="L56" s="30">
        <f t="shared" si="33"/>
        <v>1.3229725249129293E-3</v>
      </c>
      <c r="M56" s="30">
        <f t="shared" si="34"/>
        <v>1.1126724259295938E-2</v>
      </c>
      <c r="O56"/>
      <c r="P56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 t="str">
        <f t="shared" si="25"/>
        <v>Scraper</v>
      </c>
      <c r="B57" s="36"/>
      <c r="C57" s="20"/>
      <c r="D57" s="1"/>
      <c r="E57" s="30">
        <f t="shared" si="26"/>
        <v>2.4327777522717538E-2</v>
      </c>
      <c r="F57" s="30">
        <f t="shared" si="27"/>
        <v>9.3589700432429673E-2</v>
      </c>
      <c r="G57" s="30">
        <f t="shared" si="28"/>
        <v>0.20395509595284808</v>
      </c>
      <c r="H57" s="30">
        <f t="shared" si="29"/>
        <v>2.7763341886611486E-4</v>
      </c>
      <c r="I57" s="30">
        <f t="shared" si="30"/>
        <v>7.7956532491315492E-3</v>
      </c>
      <c r="J57" s="30">
        <f t="shared" si="31"/>
        <v>6.938131391727078E-3</v>
      </c>
      <c r="K57" s="30">
        <f t="shared" si="32"/>
        <v>28.285704511623315</v>
      </c>
      <c r="L57" s="30">
        <f t="shared" si="33"/>
        <v>2.2889170463679799E-3</v>
      </c>
      <c r="M57" s="30">
        <f t="shared" si="34"/>
        <v>1.9375734115520564E-2</v>
      </c>
      <c r="O57"/>
      <c r="P57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37" t="str">
        <f t="shared" si="25"/>
        <v>Compactor</v>
      </c>
      <c r="B58" s="36"/>
      <c r="C58" s="20"/>
      <c r="D58" s="1"/>
      <c r="E58" s="30">
        <f t="shared" si="26"/>
        <v>1.4070355460193385E-2</v>
      </c>
      <c r="F58" s="30">
        <f t="shared" si="27"/>
        <v>4.8425941706638331E-2</v>
      </c>
      <c r="G58" s="30">
        <f t="shared" si="28"/>
        <v>0.13935922189600122</v>
      </c>
      <c r="H58" s="30">
        <f t="shared" si="29"/>
        <v>2.2737310185415427E-4</v>
      </c>
      <c r="I58" s="30">
        <f t="shared" si="30"/>
        <v>4.6374162418237512E-3</v>
      </c>
      <c r="J58" s="30">
        <f t="shared" si="31"/>
        <v>4.1273004552231391E-3</v>
      </c>
      <c r="K58" s="30">
        <f t="shared" si="32"/>
        <v>20.207851715939039</v>
      </c>
      <c r="L58" s="30">
        <f t="shared" si="33"/>
        <v>1.3179840565518267E-3</v>
      </c>
      <c r="M58" s="30">
        <f t="shared" si="34"/>
        <v>1.3239126080120114E-2</v>
      </c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25"/>
        <v>Loader</v>
      </c>
      <c r="B59" s="36"/>
      <c r="C59" s="20"/>
      <c r="D59" s="1"/>
      <c r="E59" s="30">
        <f t="shared" si="26"/>
        <v>4.2517822694634007E-2</v>
      </c>
      <c r="F59" s="30">
        <f t="shared" si="27"/>
        <v>0.13772717836300974</v>
      </c>
      <c r="G59" s="30">
        <f t="shared" si="28"/>
        <v>0.37678639518344181</v>
      </c>
      <c r="H59" s="30">
        <f t="shared" si="29"/>
        <v>6.637922768749936E-4</v>
      </c>
      <c r="I59" s="30">
        <f t="shared" si="30"/>
        <v>1.2719730890132588E-2</v>
      </c>
      <c r="J59" s="30">
        <f t="shared" si="31"/>
        <v>1.1320560492218006E-2</v>
      </c>
      <c r="K59" s="30">
        <f t="shared" si="32"/>
        <v>58.994751236229057</v>
      </c>
      <c r="L59" s="30">
        <f t="shared" si="33"/>
        <v>3.9964363983180902E-3</v>
      </c>
      <c r="M59" s="30">
        <f t="shared" si="34"/>
        <v>3.5794707542426966E-2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25"/>
        <v>Water Truck</v>
      </c>
      <c r="B60" s="36"/>
      <c r="C60" s="20"/>
      <c r="D60" s="1"/>
      <c r="E60" s="30">
        <f t="shared" si="26"/>
        <v>3.9574019366077788E-2</v>
      </c>
      <c r="F60" s="30">
        <f t="shared" si="27"/>
        <v>0.12234092327891202</v>
      </c>
      <c r="G60" s="30">
        <f t="shared" si="28"/>
        <v>0.31141535623144384</v>
      </c>
      <c r="H60" s="30">
        <f t="shared" si="29"/>
        <v>6.1839404642842683E-4</v>
      </c>
      <c r="I60" s="30">
        <f t="shared" si="30"/>
        <v>1.0309543079517373E-2</v>
      </c>
      <c r="J60" s="30">
        <f t="shared" si="31"/>
        <v>9.1754933407704603E-3</v>
      </c>
      <c r="K60" s="30">
        <f t="shared" si="32"/>
        <v>54.959980295372411</v>
      </c>
      <c r="L60" s="30">
        <f t="shared" si="33"/>
        <v>3.7264673882269296E-3</v>
      </c>
      <c r="M60" s="30">
        <f t="shared" si="34"/>
        <v>2.9584458841987168E-2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25"/>
        <v>Dump/Haul Truck</v>
      </c>
      <c r="B61" s="36"/>
      <c r="C61" s="20"/>
      <c r="D61" s="1"/>
      <c r="E61" s="30">
        <f t="shared" si="26"/>
        <v>2.1168069587834074E-2</v>
      </c>
      <c r="F61" s="30">
        <f t="shared" si="27"/>
        <v>6.6398545325472652E-2</v>
      </c>
      <c r="G61" s="30">
        <f t="shared" si="28"/>
        <v>0.16675168205359545</v>
      </c>
      <c r="H61" s="30">
        <f t="shared" si="29"/>
        <v>3.2981015809516103E-4</v>
      </c>
      <c r="I61" s="30">
        <f t="shared" si="30"/>
        <v>5.5050578963775189E-3</v>
      </c>
      <c r="J61" s="30">
        <f t="shared" si="31"/>
        <v>4.899501527775991E-3</v>
      </c>
      <c r="K61" s="30">
        <f t="shared" si="32"/>
        <v>29.311989490865287</v>
      </c>
      <c r="L61" s="30">
        <f t="shared" si="33"/>
        <v>1.987449273721029E-3</v>
      </c>
      <c r="M61" s="30">
        <f t="shared" si="34"/>
        <v>1.584140979509157E-2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25"/>
        <v>Excavator</v>
      </c>
      <c r="B62" s="36"/>
      <c r="C62" s="20"/>
      <c r="D62" s="1"/>
      <c r="E62" s="30">
        <f t="shared" si="26"/>
        <v>4.0012562123125338E-2</v>
      </c>
      <c r="F62" s="30">
        <f t="shared" si="27"/>
        <v>0.13313402614557418</v>
      </c>
      <c r="G62" s="30">
        <f t="shared" si="28"/>
        <v>0.29638712156585789</v>
      </c>
      <c r="H62" s="30">
        <f t="shared" si="29"/>
        <v>6.0566592337744874E-4</v>
      </c>
      <c r="I62" s="30">
        <f t="shared" si="30"/>
        <v>1.0415335631493449E-2</v>
      </c>
      <c r="J62" s="30">
        <f t="shared" si="31"/>
        <v>9.2696487120291684E-3</v>
      </c>
      <c r="K62" s="30">
        <f t="shared" si="32"/>
        <v>61.706127032103353</v>
      </c>
      <c r="L62" s="30">
        <f t="shared" si="33"/>
        <v>3.7561717921589764E-3</v>
      </c>
      <c r="M62" s="30">
        <f t="shared" si="34"/>
        <v>2.81567765487565E-2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25"/>
        <v>Drill Rig</v>
      </c>
      <c r="B63" s="36"/>
      <c r="C63" s="20"/>
      <c r="D63" s="1"/>
      <c r="E63" s="30">
        <f t="shared" si="26"/>
        <v>3.1952207951833483E-3</v>
      </c>
      <c r="F63" s="30">
        <f t="shared" si="27"/>
        <v>4.0562545282817747E-2</v>
      </c>
      <c r="G63" s="30">
        <f t="shared" si="28"/>
        <v>3.2225507422732433E-2</v>
      </c>
      <c r="H63" s="30">
        <f t="shared" si="29"/>
        <v>7.9611660493802549E-5</v>
      </c>
      <c r="I63" s="30">
        <f t="shared" si="30"/>
        <v>1.347664973592155E-3</v>
      </c>
      <c r="J63" s="30">
        <f t="shared" si="31"/>
        <v>1.1994218264970177E-3</v>
      </c>
      <c r="K63" s="30">
        <f t="shared" si="32"/>
        <v>6.7867155250826894</v>
      </c>
      <c r="L63" s="30">
        <f t="shared" si="33"/>
        <v>2.9818504829551317E-4</v>
      </c>
      <c r="M63" s="30">
        <f t="shared" si="34"/>
        <v>3.0614232051595818E-3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25"/>
        <v>Small Crane</v>
      </c>
      <c r="B64" s="36"/>
      <c r="C64" s="20"/>
      <c r="D64" s="1"/>
      <c r="E64" s="30">
        <f t="shared" si="26"/>
        <v>6.7198140513116201E-3</v>
      </c>
      <c r="F64" s="30">
        <f t="shared" si="27"/>
        <v>3.0536534858498676E-2</v>
      </c>
      <c r="G64" s="30">
        <f t="shared" si="28"/>
        <v>4.0836899015404708E-2</v>
      </c>
      <c r="H64" s="30">
        <f t="shared" si="29"/>
        <v>5.1766997656062931E-5</v>
      </c>
      <c r="I64" s="30">
        <f t="shared" si="30"/>
        <v>3.4728922872865765E-3</v>
      </c>
      <c r="J64" s="30">
        <f t="shared" si="31"/>
        <v>3.0908741356850534E-3</v>
      </c>
      <c r="K64" s="30">
        <f t="shared" si="32"/>
        <v>4.4130202720259089</v>
      </c>
      <c r="L64" s="30">
        <f t="shared" si="33"/>
        <v>6.3542411493885693E-4</v>
      </c>
      <c r="M64" s="30">
        <f t="shared" si="34"/>
        <v>3.8795054064634476E-3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37" t="str">
        <f t="shared" si="25"/>
        <v>Concrete Trucks</v>
      </c>
      <c r="B65" s="36"/>
      <c r="C65" s="20"/>
      <c r="D65" s="1"/>
      <c r="E65" s="30">
        <f t="shared" si="26"/>
        <v>5.2920173969585186E-3</v>
      </c>
      <c r="F65" s="30">
        <f t="shared" si="27"/>
        <v>1.6599636331368163E-2</v>
      </c>
      <c r="G65" s="30">
        <f t="shared" si="28"/>
        <v>4.1687920513398861E-2</v>
      </c>
      <c r="H65" s="30">
        <f t="shared" si="29"/>
        <v>8.2452539523790257E-5</v>
      </c>
      <c r="I65" s="30">
        <f t="shared" si="30"/>
        <v>1.3762644740943797E-3</v>
      </c>
      <c r="J65" s="30">
        <f t="shared" si="31"/>
        <v>1.2248753819439977E-3</v>
      </c>
      <c r="K65" s="30">
        <f t="shared" si="32"/>
        <v>7.3279973727163217</v>
      </c>
      <c r="L65" s="30">
        <f t="shared" si="33"/>
        <v>4.9686231843025725E-4</v>
      </c>
      <c r="M65" s="30">
        <f t="shared" si="34"/>
        <v>3.9603524487728924E-3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2" t="str">
        <f t="shared" ref="A66" si="35">A19</f>
        <v>Subtotal</v>
      </c>
      <c r="B66" s="36"/>
      <c r="C66" s="20"/>
      <c r="D66" s="1"/>
      <c r="E66" s="24">
        <f>SUM(E55:E65)</f>
        <v>0.24804904303257078</v>
      </c>
      <c r="F66" s="24">
        <f t="shared" ref="F66:M66" si="36">SUM(F55:F65)</f>
        <v>0.9024112922759987</v>
      </c>
      <c r="G66" s="24">
        <f t="shared" si="36"/>
        <v>2.0299263514921648</v>
      </c>
      <c r="H66" s="24">
        <f t="shared" si="36"/>
        <v>3.4778918513179808E-3</v>
      </c>
      <c r="I66" s="24">
        <f t="shared" si="36"/>
        <v>7.4128624550133734E-2</v>
      </c>
      <c r="J66" s="24">
        <f t="shared" si="36"/>
        <v>6.5974475849619033E-2</v>
      </c>
      <c r="K66" s="24">
        <f t="shared" si="36"/>
        <v>327.15193461264738</v>
      </c>
      <c r="L66" s="24">
        <f t="shared" si="36"/>
        <v>2.3318421068055522E-2</v>
      </c>
      <c r="M66" s="24">
        <f t="shared" si="36"/>
        <v>0.19284300339175564</v>
      </c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37"/>
      <c r="B67" s="36"/>
      <c r="C67" s="20"/>
      <c r="D67" s="1"/>
      <c r="E67" s="30"/>
      <c r="F67" s="30"/>
      <c r="G67" s="30"/>
      <c r="H67" s="30"/>
      <c r="I67" s="30"/>
      <c r="J67" s="30"/>
      <c r="K67" s="30"/>
      <c r="L67" s="30"/>
      <c r="M67" s="30"/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2" t="str">
        <f t="shared" ref="A68:A73" si="37">A21</f>
        <v>Trans: Talega to Rancho San Juan - Foundation Installations</v>
      </c>
      <c r="B68" s="36"/>
      <c r="C68" s="20"/>
      <c r="D68" s="1"/>
      <c r="E68" s="30"/>
      <c r="F68" s="30"/>
      <c r="G68" s="30"/>
      <c r="H68" s="30"/>
      <c r="I68" s="30"/>
      <c r="J68" s="30"/>
      <c r="K68" s="30"/>
      <c r="L68" s="30"/>
      <c r="M68" s="30"/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37"/>
        <v>Concrete Trucks</v>
      </c>
      <c r="B69" s="36"/>
      <c r="C69" s="20"/>
      <c r="D69" s="1"/>
      <c r="E69" s="30">
        <f t="shared" ref="E69:M72" si="38">(Q22*$P22)/2000</f>
        <v>3.1752104381751113E-2</v>
      </c>
      <c r="F69" s="30">
        <f t="shared" si="38"/>
        <v>9.9597817988208992E-2</v>
      </c>
      <c r="G69" s="30">
        <f t="shared" si="38"/>
        <v>0.25012752308039315</v>
      </c>
      <c r="H69" s="30">
        <f t="shared" si="38"/>
        <v>4.9471523714274149E-4</v>
      </c>
      <c r="I69" s="30">
        <f t="shared" si="38"/>
        <v>8.2575868445662788E-3</v>
      </c>
      <c r="J69" s="30">
        <f t="shared" si="38"/>
        <v>7.3492522916639869E-3</v>
      </c>
      <c r="K69" s="30">
        <f t="shared" si="38"/>
        <v>43.96798423629793</v>
      </c>
      <c r="L69" s="30">
        <f t="shared" si="38"/>
        <v>2.9811739105815435E-3</v>
      </c>
      <c r="M69" s="30">
        <f t="shared" si="38"/>
        <v>2.3762114692637355E-2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37"/>
        <v>Drill Rig</v>
      </c>
      <c r="B70" s="36"/>
      <c r="C70" s="20"/>
      <c r="D70" s="1"/>
      <c r="E70" s="30">
        <f t="shared" si="38"/>
        <v>1.9171324771100094E-2</v>
      </c>
      <c r="F70" s="30">
        <f t="shared" si="38"/>
        <v>0.24337527169690645</v>
      </c>
      <c r="G70" s="30">
        <f t="shared" si="38"/>
        <v>0.19335304453639462</v>
      </c>
      <c r="H70" s="30">
        <f t="shared" si="38"/>
        <v>4.7766996296281535E-4</v>
      </c>
      <c r="I70" s="30">
        <f t="shared" si="38"/>
        <v>8.0859898415529298E-3</v>
      </c>
      <c r="J70" s="30">
        <f t="shared" si="38"/>
        <v>7.1965309589821069E-3</v>
      </c>
      <c r="K70" s="30">
        <f t="shared" si="38"/>
        <v>40.720293150496133</v>
      </c>
      <c r="L70" s="30">
        <f t="shared" si="38"/>
        <v>1.7891102897730788E-3</v>
      </c>
      <c r="M70" s="30">
        <f t="shared" si="38"/>
        <v>1.8368539230957492E-2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37"/>
        <v>CAT 416 Rubber Tire Backhoe</v>
      </c>
      <c r="B71" s="36"/>
      <c r="C71" s="20"/>
      <c r="D71" s="1"/>
      <c r="E71" s="30">
        <f t="shared" si="38"/>
        <v>6.3202775987384927E-2</v>
      </c>
      <c r="F71" s="30">
        <f t="shared" si="38"/>
        <v>0.31759787816021007</v>
      </c>
      <c r="G71" s="30">
        <f t="shared" si="38"/>
        <v>0.39989589393670638</v>
      </c>
      <c r="H71" s="30">
        <f t="shared" si="38"/>
        <v>5.473398950940027E-4</v>
      </c>
      <c r="I71" s="30">
        <f t="shared" si="38"/>
        <v>3.2436532642511083E-2</v>
      </c>
      <c r="J71" s="30">
        <f t="shared" si="38"/>
        <v>2.8868514051834861E-2</v>
      </c>
      <c r="K71" s="30">
        <f t="shared" si="38"/>
        <v>46.659501516099503</v>
      </c>
      <c r="L71" s="30">
        <f t="shared" si="38"/>
        <v>5.9673043496721407E-3</v>
      </c>
      <c r="M71" s="30">
        <f t="shared" si="38"/>
        <v>3.7990109923987103E-2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37" t="str">
        <f t="shared" si="37"/>
        <v>Dump Trucks</v>
      </c>
      <c r="B72" s="36"/>
      <c r="C72" s="20"/>
      <c r="D72" s="1"/>
      <c r="E72" s="30">
        <f t="shared" si="38"/>
        <v>4.7628156572626673E-2</v>
      </c>
      <c r="F72" s="30">
        <f t="shared" si="38"/>
        <v>0.14939672698231346</v>
      </c>
      <c r="G72" s="30">
        <f t="shared" si="38"/>
        <v>0.3751912846205897</v>
      </c>
      <c r="H72" s="30">
        <f t="shared" si="38"/>
        <v>7.4207285571411229E-4</v>
      </c>
      <c r="I72" s="30">
        <f t="shared" si="38"/>
        <v>1.2386380266849416E-2</v>
      </c>
      <c r="J72" s="30">
        <f t="shared" si="38"/>
        <v>1.1023878437495981E-2</v>
      </c>
      <c r="K72" s="30">
        <f t="shared" si="38"/>
        <v>65.951976354446899</v>
      </c>
      <c r="L72" s="30">
        <f t="shared" si="38"/>
        <v>4.4717608658723148E-3</v>
      </c>
      <c r="M72" s="30">
        <f t="shared" si="38"/>
        <v>3.5643172038956027E-2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tr">
        <f t="shared" si="37"/>
        <v>Subtotal</v>
      </c>
      <c r="B73" s="36"/>
      <c r="C73" s="20"/>
      <c r="D73" s="1"/>
      <c r="E73" s="24">
        <f>SUM(E69:E72)</f>
        <v>0.16175436171286281</v>
      </c>
      <c r="F73" s="24">
        <f t="shared" ref="F73:M73" si="39">SUM(F69:F72)</f>
        <v>0.80996769482763897</v>
      </c>
      <c r="G73" s="24">
        <f t="shared" si="39"/>
        <v>1.218567746174084</v>
      </c>
      <c r="H73" s="24">
        <f t="shared" si="39"/>
        <v>2.2617979509136719E-3</v>
      </c>
      <c r="I73" s="24">
        <f t="shared" si="39"/>
        <v>6.1166489595479712E-2</v>
      </c>
      <c r="J73" s="24">
        <f t="shared" si="39"/>
        <v>5.4438175739976932E-2</v>
      </c>
      <c r="K73" s="24">
        <f t="shared" si="39"/>
        <v>197.29975525734045</v>
      </c>
      <c r="L73" s="24">
        <f t="shared" si="39"/>
        <v>1.5209349415899078E-2</v>
      </c>
      <c r="M73" s="24">
        <f t="shared" si="39"/>
        <v>0.11576393588653797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2" t="s">
        <v>634</v>
      </c>
      <c r="B74" s="36"/>
      <c r="C74" s="20"/>
      <c r="D74" s="1"/>
      <c r="E74" s="24">
        <f>E66+E73</f>
        <v>0.40980340474543359</v>
      </c>
      <c r="F74" s="24">
        <f t="shared" ref="F74:M74" si="40">F66+F73</f>
        <v>1.7123789871036377</v>
      </c>
      <c r="G74" s="24">
        <f t="shared" si="40"/>
        <v>3.2484940976662489</v>
      </c>
      <c r="H74" s="24">
        <f t="shared" si="40"/>
        <v>5.7396898022316527E-3</v>
      </c>
      <c r="I74" s="24">
        <f t="shared" si="40"/>
        <v>0.13529511414561346</v>
      </c>
      <c r="J74" s="24">
        <f t="shared" si="40"/>
        <v>0.12041265158959596</v>
      </c>
      <c r="K74" s="24">
        <f t="shared" si="40"/>
        <v>524.45168986998783</v>
      </c>
      <c r="L74" s="24">
        <f t="shared" si="40"/>
        <v>3.8527770483954601E-2</v>
      </c>
      <c r="M74" s="24">
        <f t="shared" si="40"/>
        <v>0.30860693927829363</v>
      </c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37"/>
      <c r="B75" s="36"/>
      <c r="C75" s="20"/>
      <c r="D75" s="1"/>
      <c r="E75" s="30"/>
      <c r="F75" s="30"/>
      <c r="G75" s="30"/>
      <c r="H75" s="30"/>
      <c r="I75" s="30"/>
      <c r="J75" s="30"/>
      <c r="K75" s="30"/>
      <c r="L75" s="30"/>
      <c r="M75" s="30"/>
      <c r="O75" s="572"/>
      <c r="P75" s="572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2" t="str">
        <f t="shared" ref="A76:A81" si="41">A29</f>
        <v>Trans: Talega to Rancho San Juan - Steel Structure Installations</v>
      </c>
      <c r="B76" s="36"/>
      <c r="C76" s="20"/>
      <c r="D76" s="1"/>
      <c r="E76" s="30"/>
      <c r="F76" s="30"/>
      <c r="G76" s="30"/>
      <c r="H76" s="30"/>
      <c r="I76" s="30"/>
      <c r="J76" s="30"/>
      <c r="K76" s="30"/>
      <c r="L76" s="30"/>
      <c r="M76" s="30"/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41"/>
        <v>2-ton Flatbed Truck</v>
      </c>
      <c r="B77" s="36"/>
      <c r="C77" s="20"/>
      <c r="D77" s="1"/>
      <c r="E77" s="30">
        <f t="shared" ref="E77:M79" si="42">(Q30*$P30)/2000</f>
        <v>2.8745946104419638E-2</v>
      </c>
      <c r="F77" s="30">
        <f t="shared" si="42"/>
        <v>9.8187151298894312E-2</v>
      </c>
      <c r="G77" s="30">
        <f t="shared" si="42"/>
        <v>0.20775196548387165</v>
      </c>
      <c r="H77" s="30">
        <f t="shared" si="42"/>
        <v>4.9471534194995604E-4</v>
      </c>
      <c r="I77" s="30">
        <f t="shared" si="42"/>
        <v>6.9782711588924698E-3</v>
      </c>
      <c r="J77" s="30">
        <f t="shared" si="42"/>
        <v>6.2106613314142989E-3</v>
      </c>
      <c r="K77" s="30">
        <f t="shared" si="42"/>
        <v>43.967989724874656</v>
      </c>
      <c r="L77" s="30">
        <f t="shared" si="42"/>
        <v>2.8089423061118338E-3</v>
      </c>
      <c r="M77" s="30">
        <f t="shared" si="42"/>
        <v>1.9736436720967809E-2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41"/>
        <v>Crane</v>
      </c>
      <c r="B78" s="36"/>
      <c r="C78" s="20"/>
      <c r="D78" s="1"/>
      <c r="E78" s="30">
        <f t="shared" si="42"/>
        <v>4.8636259943334662E-2</v>
      </c>
      <c r="F78" s="30">
        <f t="shared" si="42"/>
        <v>0.18014995534136322</v>
      </c>
      <c r="G78" s="30">
        <f t="shared" si="42"/>
        <v>0.38521216431494798</v>
      </c>
      <c r="H78" s="30">
        <f t="shared" si="42"/>
        <v>7.0003029049345094E-4</v>
      </c>
      <c r="I78" s="30">
        <f t="shared" si="42"/>
        <v>1.3945664982494178E-2</v>
      </c>
      <c r="J78" s="30">
        <f t="shared" si="42"/>
        <v>1.2411641834419817E-2</v>
      </c>
      <c r="K78" s="30">
        <f t="shared" si="42"/>
        <v>71.320117324109802</v>
      </c>
      <c r="L78" s="30">
        <f t="shared" si="42"/>
        <v>4.7341866913380628E-3</v>
      </c>
      <c r="M78" s="30">
        <f t="shared" si="42"/>
        <v>3.6595155609920056E-2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41"/>
        <v>Manlift</v>
      </c>
      <c r="B79" s="36"/>
      <c r="C79" s="20"/>
      <c r="D79" s="1"/>
      <c r="E79" s="30">
        <f t="shared" si="42"/>
        <v>3.9967578338342025E-2</v>
      </c>
      <c r="F79" s="30">
        <f t="shared" si="42"/>
        <v>0.24389100751031373</v>
      </c>
      <c r="G79" s="30">
        <f t="shared" si="42"/>
        <v>0.28878610625190881</v>
      </c>
      <c r="H79" s="30">
        <f t="shared" si="42"/>
        <v>4.716115479008468E-4</v>
      </c>
      <c r="I79" s="30">
        <f t="shared" si="42"/>
        <v>2.0895920724178878E-2</v>
      </c>
      <c r="J79" s="30">
        <f t="shared" si="42"/>
        <v>1.8597369444519205E-2</v>
      </c>
      <c r="K79" s="30">
        <f t="shared" si="42"/>
        <v>40.203845308114026</v>
      </c>
      <c r="L79" s="30">
        <f t="shared" si="42"/>
        <v>3.9309310260365309E-3</v>
      </c>
      <c r="M79" s="30">
        <f t="shared" si="42"/>
        <v>2.7434680093931338E-2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37" t="str">
        <f t="shared" si="41"/>
        <v>Air Compressor</v>
      </c>
      <c r="B80" s="36"/>
      <c r="C80" s="20"/>
      <c r="D80" s="1"/>
      <c r="E80" s="30">
        <f t="shared" ref="E80" si="43">(Q33*$P33)/2000</f>
        <v>9.5090412678232858E-2</v>
      </c>
      <c r="F80" s="30">
        <f t="shared" ref="F80" si="44">(R33*$P33)/2000</f>
        <v>0.3896222885928709</v>
      </c>
      <c r="G80" s="30">
        <f t="shared" ref="G80" si="45">(S33*$P33)/2000</f>
        <v>0.3375707327206427</v>
      </c>
      <c r="H80" s="30">
        <f t="shared" ref="H80" si="46">(T33*$P33)/2000</f>
        <v>4.5605221519515816E-4</v>
      </c>
      <c r="I80" s="30">
        <f t="shared" ref="I80" si="47">(U33*$P33)/2000</f>
        <v>2.3818914652527522E-2</v>
      </c>
      <c r="J80" s="30">
        <f t="shared" ref="J80" si="48">(V33*$P33)/2000</f>
        <v>2.1198834040749494E-2</v>
      </c>
      <c r="K80" s="30">
        <f t="shared" ref="K80" si="49">(W33*$P33)/2000</f>
        <v>35.277669681419354</v>
      </c>
      <c r="L80" s="30">
        <f t="shared" ref="L80" si="50">(X33*$P33)/2000</f>
        <v>9.5331731372649692E-3</v>
      </c>
      <c r="M80" s="30">
        <f t="shared" ref="M80" si="51">(Y33*$P33)/2000</f>
        <v>3.2069219608461055E-2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2" t="str">
        <f t="shared" si="41"/>
        <v>Subtotal</v>
      </c>
      <c r="B81" s="36"/>
      <c r="C81" s="20"/>
      <c r="D81" s="1"/>
      <c r="E81" s="24">
        <f>SUM(E77:E80)</f>
        <v>0.21244019706432918</v>
      </c>
      <c r="F81" s="24">
        <f t="shared" ref="F81:M81" si="52">SUM(F77:F80)</f>
        <v>0.9118504027434422</v>
      </c>
      <c r="G81" s="24">
        <f t="shared" si="52"/>
        <v>1.2193209687713711</v>
      </c>
      <c r="H81" s="24">
        <f t="shared" si="52"/>
        <v>2.122409395539412E-3</v>
      </c>
      <c r="I81" s="24">
        <f t="shared" si="52"/>
        <v>6.5638771518093053E-2</v>
      </c>
      <c r="J81" s="24">
        <f t="shared" si="52"/>
        <v>5.8418506651102813E-2</v>
      </c>
      <c r="K81" s="24">
        <f t="shared" si="52"/>
        <v>190.76962203851784</v>
      </c>
      <c r="L81" s="24">
        <f t="shared" si="52"/>
        <v>2.1007233160751398E-2</v>
      </c>
      <c r="M81" s="24">
        <f t="shared" si="52"/>
        <v>0.11583549203328027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2" t="s">
        <v>635</v>
      </c>
      <c r="B82" s="36"/>
      <c r="C82" s="20"/>
      <c r="D82" s="1"/>
      <c r="E82" s="24">
        <f>E81</f>
        <v>0.21244019706432918</v>
      </c>
      <c r="F82" s="24">
        <f t="shared" ref="F82:M82" si="53">F81</f>
        <v>0.9118504027434422</v>
      </c>
      <c r="G82" s="24">
        <f t="shared" si="53"/>
        <v>1.2193209687713711</v>
      </c>
      <c r="H82" s="24">
        <f t="shared" si="53"/>
        <v>2.122409395539412E-3</v>
      </c>
      <c r="I82" s="24">
        <f t="shared" si="53"/>
        <v>6.5638771518093053E-2</v>
      </c>
      <c r="J82" s="24">
        <f t="shared" si="53"/>
        <v>5.8418506651102813E-2</v>
      </c>
      <c r="K82" s="24">
        <f t="shared" si="53"/>
        <v>190.76962203851784</v>
      </c>
      <c r="L82" s="24">
        <f t="shared" si="53"/>
        <v>2.1007233160751398E-2</v>
      </c>
      <c r="M82" s="24">
        <f t="shared" si="53"/>
        <v>0.11583549203328027</v>
      </c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/>
      <c r="B83" s="36"/>
      <c r="C83" s="20"/>
      <c r="D83" s="1"/>
      <c r="E83" s="30"/>
      <c r="F83" s="30"/>
      <c r="G83" s="30"/>
      <c r="H83" s="30"/>
      <c r="I83" s="30"/>
      <c r="J83" s="30"/>
      <c r="K83" s="30"/>
      <c r="L83" s="30"/>
      <c r="M83" s="30"/>
      <c r="O83" s="572"/>
      <c r="P83" s="572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2" t="str">
        <f>A37</f>
        <v>Trans: Talega to Rancho San Juan - Cable/Conductor Pulling and Tensioning</v>
      </c>
      <c r="B84" s="36"/>
      <c r="C84" s="20"/>
      <c r="D84" s="1"/>
      <c r="E84" s="30"/>
      <c r="F84" s="30"/>
      <c r="G84" s="30"/>
      <c r="H84" s="30"/>
      <c r="I84" s="30"/>
      <c r="J84" s="30"/>
      <c r="K84" s="30"/>
      <c r="L84" s="30"/>
      <c r="M84" s="30"/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>A38</f>
        <v>Manlift</v>
      </c>
      <c r="B85" s="36"/>
      <c r="C85" s="20"/>
      <c r="D85" s="1"/>
      <c r="E85" s="30">
        <f t="shared" ref="E85:M87" si="54">(Q38*$P38)/2000</f>
        <v>1.3217446718565265E-2</v>
      </c>
      <c r="F85" s="30">
        <f t="shared" si="54"/>
        <v>0.11575480177034465</v>
      </c>
      <c r="G85" s="30">
        <f t="shared" si="54"/>
        <v>9.7248812065228854E-2</v>
      </c>
      <c r="H85" s="30">
        <f t="shared" si="54"/>
        <v>2.3580584296263471E-4</v>
      </c>
      <c r="I85" s="30">
        <f t="shared" si="54"/>
        <v>6.3867283500471227E-3</v>
      </c>
      <c r="J85" s="30">
        <f t="shared" si="54"/>
        <v>5.6841882315419399E-3</v>
      </c>
      <c r="K85" s="30">
        <f t="shared" si="54"/>
        <v>20.101926347862612</v>
      </c>
      <c r="L85" s="30">
        <f t="shared" si="54"/>
        <v>1.5571850760529601E-3</v>
      </c>
      <c r="M85" s="30">
        <f t="shared" si="54"/>
        <v>9.2386371461967414E-3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>A39</f>
        <v>Puller and Tensioner</v>
      </c>
      <c r="B86" s="36"/>
      <c r="C86" s="20"/>
      <c r="D86" s="1"/>
      <c r="E86" s="30">
        <f t="shared" si="54"/>
        <v>3.572941914320759E-2</v>
      </c>
      <c r="F86" s="30">
        <f t="shared" si="54"/>
        <v>0.20407707291961719</v>
      </c>
      <c r="G86" s="30">
        <f t="shared" si="54"/>
        <v>0.23176384549391874</v>
      </c>
      <c r="H86" s="30">
        <f t="shared" si="54"/>
        <v>9.8819181059012413E-4</v>
      </c>
      <c r="I86" s="30">
        <f t="shared" si="54"/>
        <v>8.1269218889549362E-3</v>
      </c>
      <c r="J86" s="30">
        <f t="shared" si="54"/>
        <v>7.2329604811698931E-3</v>
      </c>
      <c r="K86" s="30">
        <f t="shared" si="54"/>
        <v>100.67843455132068</v>
      </c>
      <c r="L86" s="30">
        <f t="shared" si="54"/>
        <v>4.0099327687927663E-3</v>
      </c>
      <c r="M86" s="30">
        <f t="shared" si="54"/>
        <v>2.2017565321922276E-2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>A40</f>
        <v>Reel Trailer</v>
      </c>
      <c r="B87" s="36"/>
      <c r="C87" s="20"/>
      <c r="D87" s="1"/>
      <c r="E87" s="30">
        <f t="shared" si="54"/>
        <v>3.572941914320759E-2</v>
      </c>
      <c r="F87" s="30">
        <f t="shared" si="54"/>
        <v>0.20407707291961719</v>
      </c>
      <c r="G87" s="30">
        <f t="shared" si="54"/>
        <v>0.23176384549391874</v>
      </c>
      <c r="H87" s="30">
        <f t="shared" si="54"/>
        <v>9.8819181059012413E-4</v>
      </c>
      <c r="I87" s="30">
        <f t="shared" si="54"/>
        <v>8.1269218889549362E-3</v>
      </c>
      <c r="J87" s="30">
        <f t="shared" si="54"/>
        <v>7.2329604811698931E-3</v>
      </c>
      <c r="K87" s="30">
        <f t="shared" si="54"/>
        <v>100.67843455132068</v>
      </c>
      <c r="L87" s="30">
        <f t="shared" si="54"/>
        <v>4.0099327687927663E-3</v>
      </c>
      <c r="M87" s="30">
        <f t="shared" si="54"/>
        <v>2.2017565321922276E-2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2" t="str">
        <f>A41</f>
        <v>Subtotal</v>
      </c>
      <c r="B88" s="36"/>
      <c r="C88" s="20"/>
      <c r="D88" s="1"/>
      <c r="E88" s="24">
        <f t="shared" ref="E88:M88" si="55">SUM(E85:E87)</f>
        <v>8.4676285004980451E-2</v>
      </c>
      <c r="F88" s="24">
        <f t="shared" si="55"/>
        <v>0.52390894760957907</v>
      </c>
      <c r="G88" s="24">
        <f t="shared" si="55"/>
        <v>0.56077650305306637</v>
      </c>
      <c r="H88" s="24">
        <f t="shared" si="55"/>
        <v>2.2121894641428828E-3</v>
      </c>
      <c r="I88" s="24">
        <f t="shared" si="55"/>
        <v>2.2640572127956997E-2</v>
      </c>
      <c r="J88" s="24">
        <f t="shared" si="55"/>
        <v>2.0150109193881726E-2</v>
      </c>
      <c r="K88" s="24">
        <f t="shared" si="55"/>
        <v>221.45879545050397</v>
      </c>
      <c r="L88" s="24">
        <f t="shared" si="55"/>
        <v>9.5770506136384926E-3</v>
      </c>
      <c r="M88" s="24">
        <f t="shared" si="55"/>
        <v>5.3273767790041296E-2</v>
      </c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37"/>
      <c r="B89" s="36"/>
      <c r="C89" s="20"/>
      <c r="D89" s="1"/>
      <c r="E89" s="30"/>
      <c r="F89" s="30"/>
      <c r="G89" s="30"/>
      <c r="H89" s="30"/>
      <c r="I89" s="30"/>
      <c r="J89" s="30"/>
      <c r="K89" s="30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2" t="str">
        <f t="shared" ref="A90:A97" si="56">A43</f>
        <v>Trans: Talega to Rancho San Juan - Removal of Wood Pole Structures</v>
      </c>
      <c r="B90" s="36"/>
      <c r="C90" s="20"/>
      <c r="D90" s="1"/>
      <c r="E90" s="30"/>
      <c r="F90" s="30"/>
      <c r="G90" s="30"/>
      <c r="H90" s="30"/>
      <c r="I90" s="30"/>
      <c r="J90" s="30"/>
      <c r="K90" s="30"/>
      <c r="L90" s="30"/>
      <c r="M90" s="30"/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56"/>
        <v>2-ton Flatbed Truck</v>
      </c>
      <c r="B91" s="36"/>
      <c r="C91" s="20"/>
      <c r="D91" s="1"/>
      <c r="E91" s="30">
        <f t="shared" ref="E91:M96" si="57">(Q44*$P44)/2000</f>
        <v>2.1434751644186203E-2</v>
      </c>
      <c r="F91" s="30">
        <f t="shared" si="57"/>
        <v>0.10030468835358017</v>
      </c>
      <c r="G91" s="30">
        <f t="shared" si="57"/>
        <v>0.12776144218236446</v>
      </c>
      <c r="H91" s="30">
        <f t="shared" si="57"/>
        <v>4.9471538958485077E-4</v>
      </c>
      <c r="I91" s="30">
        <f t="shared" si="57"/>
        <v>4.3997077314538802E-3</v>
      </c>
      <c r="J91" s="30">
        <f t="shared" si="57"/>
        <v>3.9157398809939537E-3</v>
      </c>
      <c r="K91" s="30">
        <f t="shared" si="57"/>
        <v>43.967994522089846</v>
      </c>
      <c r="L91" s="30">
        <f t="shared" si="57"/>
        <v>2.481520779804148E-3</v>
      </c>
      <c r="M91" s="30">
        <f t="shared" si="57"/>
        <v>1.2137337007324625E-2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56"/>
        <v>Manlift</v>
      </c>
      <c r="B92" s="36"/>
      <c r="C92" s="20"/>
      <c r="D92" s="1"/>
      <c r="E92" s="30">
        <f t="shared" si="57"/>
        <v>2.6434893437130531E-2</v>
      </c>
      <c r="F92" s="30">
        <f t="shared" si="57"/>
        <v>0.23150960354068931</v>
      </c>
      <c r="G92" s="30">
        <f t="shared" si="57"/>
        <v>0.19449762413045771</v>
      </c>
      <c r="H92" s="30">
        <f t="shared" si="57"/>
        <v>4.7161168592526942E-4</v>
      </c>
      <c r="I92" s="30">
        <f t="shared" si="57"/>
        <v>1.2773456700094245E-2</v>
      </c>
      <c r="J92" s="30">
        <f t="shared" si="57"/>
        <v>1.136837646308388E-2</v>
      </c>
      <c r="K92" s="30">
        <f t="shared" si="57"/>
        <v>40.203852695725224</v>
      </c>
      <c r="L92" s="30">
        <f t="shared" si="57"/>
        <v>3.1143701521059203E-3</v>
      </c>
      <c r="M92" s="30">
        <f t="shared" si="57"/>
        <v>1.8477274292393483E-2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56"/>
        <v>Loader</v>
      </c>
      <c r="B93" s="36"/>
      <c r="C93" s="20"/>
      <c r="D93" s="1"/>
      <c r="E93" s="30">
        <f t="shared" si="57"/>
        <v>2.8863389020213948E-2</v>
      </c>
      <c r="F93" s="30">
        <f t="shared" si="57"/>
        <v>0.13121835653932185</v>
      </c>
      <c r="G93" s="30">
        <f t="shared" si="57"/>
        <v>0.20362860300859639</v>
      </c>
      <c r="H93" s="30">
        <f t="shared" si="57"/>
        <v>6.6379220829447885E-4</v>
      </c>
      <c r="I93" s="30">
        <f t="shared" si="57"/>
        <v>7.0330711606348727E-3</v>
      </c>
      <c r="J93" s="30">
        <f t="shared" si="57"/>
        <v>6.2594333329650375E-3</v>
      </c>
      <c r="K93" s="30">
        <f t="shared" si="57"/>
        <v>58.994773769656192</v>
      </c>
      <c r="L93" s="30">
        <f t="shared" si="57"/>
        <v>3.3801354385994296E-3</v>
      </c>
      <c r="M93" s="30">
        <f t="shared" si="57"/>
        <v>1.9344717285816656E-2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56"/>
        <v>Jackhammer</v>
      </c>
      <c r="B94" s="36"/>
      <c r="C94" s="20"/>
      <c r="D94" s="1"/>
      <c r="E94" s="30">
        <f t="shared" si="57"/>
        <v>3.1571295568733546E-3</v>
      </c>
      <c r="F94" s="30">
        <f t="shared" si="57"/>
        <v>2.0965614147800612E-2</v>
      </c>
      <c r="G94" s="30">
        <f t="shared" si="57"/>
        <v>2.5423704288382153E-2</v>
      </c>
      <c r="H94" s="30">
        <f t="shared" si="57"/>
        <v>3.3205066466025193E-5</v>
      </c>
      <c r="I94" s="30">
        <f t="shared" si="57"/>
        <v>5.8689775849842484E-4</v>
      </c>
      <c r="J94" s="30">
        <f t="shared" si="57"/>
        <v>5.2233900506359811E-4</v>
      </c>
      <c r="K94" s="30">
        <f t="shared" si="57"/>
        <v>2.6170237161172811</v>
      </c>
      <c r="L94" s="30">
        <f t="shared" si="57"/>
        <v>2.8486282004597582E-4</v>
      </c>
      <c r="M94" s="30">
        <f t="shared" si="57"/>
        <v>2.4152519073963054E-3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 t="str">
        <f t="shared" si="56"/>
        <v>Dump/Haul Truck</v>
      </c>
      <c r="B95" s="36"/>
      <c r="C95" s="20"/>
      <c r="D95" s="1"/>
      <c r="E95" s="30">
        <f t="shared" si="57"/>
        <v>1.0717375822093101E-2</v>
      </c>
      <c r="F95" s="30">
        <f t="shared" si="57"/>
        <v>5.0152344176790084E-2</v>
      </c>
      <c r="G95" s="30">
        <f t="shared" si="57"/>
        <v>6.388072109118223E-2</v>
      </c>
      <c r="H95" s="30">
        <f t="shared" si="57"/>
        <v>2.4735769479242539E-4</v>
      </c>
      <c r="I95" s="30">
        <f t="shared" si="57"/>
        <v>2.1998538657269401E-3</v>
      </c>
      <c r="J95" s="30">
        <f t="shared" si="57"/>
        <v>1.9578699404969768E-3</v>
      </c>
      <c r="K95" s="30">
        <f t="shared" si="57"/>
        <v>21.983997261044923</v>
      </c>
      <c r="L95" s="30">
        <f t="shared" si="57"/>
        <v>1.240760389902074E-3</v>
      </c>
      <c r="M95" s="30">
        <f t="shared" si="57"/>
        <v>6.0686685036623125E-3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37" t="str">
        <f t="shared" si="56"/>
        <v>Small Crane</v>
      </c>
      <c r="B96" s="36"/>
      <c r="C96" s="20"/>
      <c r="D96" s="1"/>
      <c r="E96" s="30">
        <f t="shared" si="57"/>
        <v>9.2512237091703711E-3</v>
      </c>
      <c r="F96" s="30">
        <f t="shared" si="57"/>
        <v>5.88585588184216E-2</v>
      </c>
      <c r="G96" s="30">
        <f t="shared" si="57"/>
        <v>5.4319355281346515E-2</v>
      </c>
      <c r="H96" s="30">
        <f t="shared" si="57"/>
        <v>1.164757557512287E-4</v>
      </c>
      <c r="I96" s="30">
        <f t="shared" si="57"/>
        <v>4.2896529891842091E-3</v>
      </c>
      <c r="J96" s="30">
        <f t="shared" si="57"/>
        <v>3.8177911603739468E-3</v>
      </c>
      <c r="K96" s="30">
        <f t="shared" si="57"/>
        <v>9.929298003423078</v>
      </c>
      <c r="L96" s="30">
        <f t="shared" si="57"/>
        <v>1.1410635537843269E-3</v>
      </c>
      <c r="M96" s="30">
        <f t="shared" si="57"/>
        <v>5.1603387517279191E-3</v>
      </c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44" t="str">
        <f t="shared" si="56"/>
        <v>Subtotal</v>
      </c>
      <c r="B97" s="178"/>
      <c r="C97" s="179"/>
      <c r="D97" s="1"/>
      <c r="E97" s="180">
        <f>SUM(E91:E96)</f>
        <v>9.9858763189667521E-2</v>
      </c>
      <c r="F97" s="24">
        <f t="shared" ref="F97:M97" si="58">SUM(F91:F96)</f>
        <v>0.59300916557660366</v>
      </c>
      <c r="G97" s="24">
        <f t="shared" si="58"/>
        <v>0.66951144998232959</v>
      </c>
      <c r="H97" s="24">
        <f t="shared" si="58"/>
        <v>2.0271578008142781E-3</v>
      </c>
      <c r="I97" s="24">
        <f t="shared" si="58"/>
        <v>3.1282640205592571E-2</v>
      </c>
      <c r="J97" s="24">
        <f t="shared" si="58"/>
        <v>2.7841549782977391E-2</v>
      </c>
      <c r="K97" s="24">
        <f t="shared" si="58"/>
        <v>177.69693996805654</v>
      </c>
      <c r="L97" s="24">
        <f t="shared" si="58"/>
        <v>1.1642713134241875E-2</v>
      </c>
      <c r="M97" s="24">
        <f t="shared" si="58"/>
        <v>6.3603587748321297E-2</v>
      </c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x14ac:dyDescent="0.25">
      <c r="A98" s="19" t="s">
        <v>636</v>
      </c>
      <c r="B98" s="158"/>
      <c r="C98" s="158"/>
      <c r="D98" s="158"/>
      <c r="E98" s="22">
        <f>E88+E97</f>
        <v>0.18453504819464797</v>
      </c>
      <c r="F98" s="22">
        <f t="shared" ref="F98:M98" si="59">F88+F97</f>
        <v>1.1169181131861827</v>
      </c>
      <c r="G98" s="22">
        <f t="shared" si="59"/>
        <v>1.2302879530353961</v>
      </c>
      <c r="H98" s="22">
        <f t="shared" si="59"/>
        <v>4.2393472649571613E-3</v>
      </c>
      <c r="I98" s="22">
        <f t="shared" si="59"/>
        <v>5.3923212333549568E-2</v>
      </c>
      <c r="J98" s="22">
        <f t="shared" si="59"/>
        <v>4.7991658976859114E-2</v>
      </c>
      <c r="K98" s="22">
        <f t="shared" si="59"/>
        <v>399.15573541856054</v>
      </c>
      <c r="L98" s="22">
        <f t="shared" si="59"/>
        <v>2.1219763747880368E-2</v>
      </c>
      <c r="M98" s="22">
        <f t="shared" si="59"/>
        <v>0.11687735553836259</v>
      </c>
    </row>
  </sheetData>
  <mergeCells count="3">
    <mergeCell ref="E3:L3"/>
    <mergeCell ref="Q3:X3"/>
    <mergeCell ref="E52:L52"/>
  </mergeCells>
  <pageMargins left="0.75" right="0.75" top="1" bottom="1" header="0.5" footer="0.5"/>
  <pageSetup scale="39" orientation="landscape" r:id="rId1"/>
  <headerFooter alignWithMargins="0">
    <oddHeader>&amp;CTable A-3
Construction Heavy Equipment Emissions
South Orange County Transmission Project
Segment 3: Talega to Rancho San Juan 230kV</oddHeader>
    <oddFooter>&amp;CA-3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topLeftCell="A163" workbookViewId="0">
      <selection activeCell="D189" sqref="D18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2015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1.0077370634043044E-2</v>
      </c>
      <c r="E9" s="164">
        <v>5.2832699210660375E-2</v>
      </c>
      <c r="F9" s="164">
        <v>6.3129617093665741E-2</v>
      </c>
      <c r="G9" s="164">
        <v>1.3464346770755261E-4</v>
      </c>
      <c r="H9" s="164">
        <v>2.5385710330849917E-3</v>
      </c>
      <c r="I9" s="516">
        <v>8.6526878406818621</v>
      </c>
      <c r="J9" s="517">
        <v>9.0926500541137266E-4</v>
      </c>
    </row>
    <row r="10" spans="1:10" x14ac:dyDescent="0.2">
      <c r="B10" s="514"/>
      <c r="C10" s="515">
        <v>25</v>
      </c>
      <c r="D10" s="164">
        <v>1.5502765829875712E-2</v>
      </c>
      <c r="E10" s="164">
        <v>4.8621720394857681E-2</v>
      </c>
      <c r="F10" s="164">
        <v>9.0230368076470779E-2</v>
      </c>
      <c r="G10" s="164">
        <v>1.390625615340575E-4</v>
      </c>
      <c r="H10" s="164">
        <v>4.5673596970955055E-3</v>
      </c>
      <c r="I10" s="516">
        <v>10.960073667290768</v>
      </c>
      <c r="J10" s="517">
        <v>1.3987896012487356E-3</v>
      </c>
    </row>
    <row r="11" spans="1:10" x14ac:dyDescent="0.2">
      <c r="B11" s="514"/>
      <c r="C11" s="515">
        <v>50</v>
      </c>
      <c r="D11" s="164">
        <v>4.8038782581820635E-2</v>
      </c>
      <c r="E11" s="164">
        <v>0.16409038594642064</v>
      </c>
      <c r="F11" s="164">
        <v>0.16989361209289491</v>
      </c>
      <c r="G11" s="164">
        <v>2.5354408130903548E-4</v>
      </c>
      <c r="H11" s="164">
        <v>1.2890367938833918E-2</v>
      </c>
      <c r="I11" s="516">
        <v>19.612757925172357</v>
      </c>
      <c r="J11" s="517">
        <v>4.3344631279655177E-3</v>
      </c>
    </row>
    <row r="12" spans="1:10" x14ac:dyDescent="0.2">
      <c r="B12" s="514"/>
      <c r="C12" s="515">
        <v>120</v>
      </c>
      <c r="D12" s="164">
        <v>4.6019057175504974E-2</v>
      </c>
      <c r="E12" s="164">
        <v>0.23774332475000573</v>
      </c>
      <c r="F12" s="164">
        <v>0.32719680647541144</v>
      </c>
      <c r="G12" s="164">
        <v>4.4660189176329328E-4</v>
      </c>
      <c r="H12" s="164">
        <v>2.4563007972926022E-2</v>
      </c>
      <c r="I12" s="516">
        <v>38.071821072900271</v>
      </c>
      <c r="J12" s="517">
        <v>4.1522265780973748E-3</v>
      </c>
    </row>
    <row r="13" spans="1:10" x14ac:dyDescent="0.2">
      <c r="B13" s="514"/>
      <c r="C13" s="515">
        <v>500</v>
      </c>
      <c r="D13" s="164">
        <v>0.10255776637439454</v>
      </c>
      <c r="E13" s="164">
        <v>0.42608808892819211</v>
      </c>
      <c r="F13" s="164">
        <v>1.2422245039234623</v>
      </c>
      <c r="G13" s="164">
        <v>2.0892509922184753E-3</v>
      </c>
      <c r="H13" s="164">
        <v>3.6841324566895241E-2</v>
      </c>
      <c r="I13" s="163">
        <v>212.85605449753095</v>
      </c>
      <c r="J13" s="517">
        <v>9.2536222333570919E-3</v>
      </c>
    </row>
    <row r="14" spans="1:10" x14ac:dyDescent="0.2">
      <c r="B14" s="514"/>
      <c r="C14" s="515">
        <v>750</v>
      </c>
      <c r="D14" s="164">
        <v>0.19124979329406561</v>
      </c>
      <c r="E14" s="164">
        <v>0.77019209709693559</v>
      </c>
      <c r="F14" s="164">
        <v>2.3263176834956361</v>
      </c>
      <c r="G14" s="164">
        <v>3.8686165045905638E-3</v>
      </c>
      <c r="H14" s="164">
        <v>6.7999549971898526E-2</v>
      </c>
      <c r="I14" s="163">
        <v>384.75603863228264</v>
      </c>
      <c r="J14" s="517">
        <v>1.7256162255709792E-2</v>
      </c>
    </row>
    <row r="15" spans="1:10" x14ac:dyDescent="0.2">
      <c r="B15" s="518" t="s">
        <v>505</v>
      </c>
      <c r="C15" s="519"/>
      <c r="D15" s="520">
        <v>4.3924057858566852E-2</v>
      </c>
      <c r="E15" s="520">
        <v>0.18369000725441631</v>
      </c>
      <c r="F15" s="520">
        <v>0.2670346425915725</v>
      </c>
      <c r="G15" s="520">
        <v>3.9920792261960176E-4</v>
      </c>
      <c r="H15" s="520">
        <v>1.6699734379638054E-2</v>
      </c>
      <c r="I15" s="521">
        <v>34.721704037856497</v>
      </c>
      <c r="J15" s="522">
        <v>3.9631978998677904E-3</v>
      </c>
    </row>
    <row r="16" spans="1:10" x14ac:dyDescent="0.2">
      <c r="B16" s="514" t="s">
        <v>506</v>
      </c>
      <c r="C16" s="515">
        <v>15</v>
      </c>
      <c r="D16" s="164">
        <v>1.0764813073594974E-2</v>
      </c>
      <c r="E16" s="164">
        <v>4.6586287228880335E-2</v>
      </c>
      <c r="F16" s="164">
        <v>6.6446617559373297E-2</v>
      </c>
      <c r="G16" s="164">
        <v>1.1239797660637147E-4</v>
      </c>
      <c r="H16" s="164">
        <v>4.0046237519110557E-3</v>
      </c>
      <c r="I16" s="516">
        <v>7.2231111365531424</v>
      </c>
      <c r="J16" s="517">
        <v>9.7129196603475576E-4</v>
      </c>
    </row>
    <row r="17" spans="2:10" x14ac:dyDescent="0.2">
      <c r="B17" s="514"/>
      <c r="C17" s="515">
        <v>25</v>
      </c>
      <c r="D17" s="164">
        <v>2.2926051338356752E-2</v>
      </c>
      <c r="E17" s="164">
        <v>6.8114847615922139E-2</v>
      </c>
      <c r="F17" s="164">
        <v>0.12468478580749826</v>
      </c>
      <c r="G17" s="164">
        <v>1.8329520213827987E-4</v>
      </c>
      <c r="H17" s="164">
        <v>6.9402819713918849E-3</v>
      </c>
      <c r="I17" s="516">
        <v>14.446226150232803</v>
      </c>
      <c r="J17" s="517">
        <v>2.0685809061822252E-3</v>
      </c>
    </row>
    <row r="18" spans="2:10" x14ac:dyDescent="0.2">
      <c r="B18" s="514"/>
      <c r="C18" s="515">
        <v>50</v>
      </c>
      <c r="D18" s="164">
        <v>7.4731714184131492E-2</v>
      </c>
      <c r="E18" s="164">
        <v>0.23599993994813312</v>
      </c>
      <c r="F18" s="164">
        <v>0.20555450170107092</v>
      </c>
      <c r="G18" s="164">
        <v>2.8791180196343529E-4</v>
      </c>
      <c r="H18" s="164">
        <v>1.829342640834376E-2</v>
      </c>
      <c r="I18" s="516">
        <v>22.271261510097837</v>
      </c>
      <c r="J18" s="517">
        <v>6.7429224274720354E-3</v>
      </c>
    </row>
    <row r="19" spans="2:10" x14ac:dyDescent="0.2">
      <c r="B19" s="514"/>
      <c r="C19" s="515">
        <v>120</v>
      </c>
      <c r="D19" s="164">
        <v>6.9052890016595397E-2</v>
      </c>
      <c r="E19" s="164">
        <v>0.31821106544411926</v>
      </c>
      <c r="F19" s="164">
        <v>0.43336278049445448</v>
      </c>
      <c r="G19" s="164">
        <v>5.5075013753793137E-4</v>
      </c>
      <c r="H19" s="164">
        <v>3.7481799604038836E-2</v>
      </c>
      <c r="I19" s="516">
        <v>46.950229302437371</v>
      </c>
      <c r="J19" s="517">
        <v>6.2305322900576485E-3</v>
      </c>
    </row>
    <row r="20" spans="2:10" x14ac:dyDescent="0.2">
      <c r="B20" s="514"/>
      <c r="C20" s="515">
        <v>175</v>
      </c>
      <c r="D20" s="164">
        <v>9.0335771645522672E-2</v>
      </c>
      <c r="E20" s="164">
        <v>0.50194808317706718</v>
      </c>
      <c r="F20" s="164">
        <v>0.71006366216256067</v>
      </c>
      <c r="G20" s="164">
        <v>9.9558698415066127E-4</v>
      </c>
      <c r="H20" s="164">
        <v>3.8841589358936696E-2</v>
      </c>
      <c r="I20" s="516">
        <v>88.483124510051198</v>
      </c>
      <c r="J20" s="517">
        <v>8.1508523414079437E-3</v>
      </c>
    </row>
    <row r="21" spans="2:10" x14ac:dyDescent="0.2">
      <c r="B21" s="514"/>
      <c r="C21" s="515">
        <v>250</v>
      </c>
      <c r="D21" s="164">
        <v>8.920863519174925E-2</v>
      </c>
      <c r="E21" s="164">
        <v>0.28029857339476083</v>
      </c>
      <c r="F21" s="164">
        <v>0.92937835422775528</v>
      </c>
      <c r="G21" s="164">
        <v>1.4764482044596265E-3</v>
      </c>
      <c r="H21" s="164">
        <v>2.8587023283244872E-2</v>
      </c>
      <c r="I21" s="163">
        <v>131.21984034367117</v>
      </c>
      <c r="J21" s="517">
        <v>8.0491524348804341E-3</v>
      </c>
    </row>
    <row r="22" spans="2:10" x14ac:dyDescent="0.2">
      <c r="B22" s="514"/>
      <c r="C22" s="515">
        <v>500</v>
      </c>
      <c r="D22" s="164">
        <v>0.14634188459098826</v>
      </c>
      <c r="E22" s="164">
        <v>0.49147070653560587</v>
      </c>
      <c r="F22" s="164">
        <v>1.4297487244103309</v>
      </c>
      <c r="G22" s="164">
        <v>2.2746186705691874E-3</v>
      </c>
      <c r="H22" s="164">
        <v>4.698343013699751E-2</v>
      </c>
      <c r="I22" s="163">
        <v>231.74151193362127</v>
      </c>
      <c r="J22" s="517">
        <v>1.3204196566288537E-2</v>
      </c>
    </row>
    <row r="23" spans="2:10" x14ac:dyDescent="0.2">
      <c r="B23" s="514"/>
      <c r="C23" s="515">
        <v>750</v>
      </c>
      <c r="D23" s="164">
        <v>0.22850639787334218</v>
      </c>
      <c r="E23" s="164">
        <v>0.75954559102275776</v>
      </c>
      <c r="F23" s="164">
        <v>2.2931918305475225</v>
      </c>
      <c r="G23" s="164">
        <v>3.601060073474415E-3</v>
      </c>
      <c r="H23" s="164">
        <v>7.4263609800743147E-2</v>
      </c>
      <c r="I23" s="163">
        <v>358.14604060074282</v>
      </c>
      <c r="J23" s="517">
        <v>2.0617761075865774E-2</v>
      </c>
    </row>
    <row r="24" spans="2:10" x14ac:dyDescent="0.2">
      <c r="B24" s="514"/>
      <c r="C24" s="515">
        <v>1000</v>
      </c>
      <c r="D24" s="164">
        <v>0.35508008698760035</v>
      </c>
      <c r="E24" s="164">
        <v>1.1843413300860459</v>
      </c>
      <c r="F24" s="164">
        <v>4.4557994044807536</v>
      </c>
      <c r="G24" s="164">
        <v>4.8901774576545444E-3</v>
      </c>
      <c r="H24" s="164">
        <v>0.1238763399076423</v>
      </c>
      <c r="I24" s="163">
        <v>486.35613967751749</v>
      </c>
      <c r="J24" s="517">
        <v>3.2038304957700658E-2</v>
      </c>
    </row>
    <row r="25" spans="2:10" x14ac:dyDescent="0.2">
      <c r="B25" s="518" t="s">
        <v>507</v>
      </c>
      <c r="C25" s="519"/>
      <c r="D25" s="520">
        <v>7.7259378592258413E-2</v>
      </c>
      <c r="E25" s="520">
        <v>0.32573851119532771</v>
      </c>
      <c r="F25" s="520">
        <v>0.51752358588623304</v>
      </c>
      <c r="G25" s="520">
        <v>7.1132445829400262E-4</v>
      </c>
      <c r="H25" s="520">
        <v>3.570829176706472E-2</v>
      </c>
      <c r="I25" s="521">
        <v>63.607316046495761</v>
      </c>
      <c r="J25" s="522">
        <v>6.9709904497029882E-3</v>
      </c>
    </row>
    <row r="26" spans="2:10" x14ac:dyDescent="0.2">
      <c r="B26" s="514" t="s">
        <v>508</v>
      </c>
      <c r="C26" s="515">
        <v>15</v>
      </c>
      <c r="D26" s="164">
        <v>1.2042828392875083E-2</v>
      </c>
      <c r="E26" s="164">
        <v>6.3169536334475779E-2</v>
      </c>
      <c r="F26" s="164">
        <v>7.5416770346066725E-2</v>
      </c>
      <c r="G26" s="164">
        <v>1.6098672633003126E-4</v>
      </c>
      <c r="H26" s="164">
        <v>2.9452450715332346E-3</v>
      </c>
      <c r="I26" s="516">
        <v>10.345603893502005</v>
      </c>
      <c r="J26" s="517">
        <v>1.0866051143041009E-3</v>
      </c>
    </row>
    <row r="27" spans="2:10" x14ac:dyDescent="0.2">
      <c r="B27" s="514"/>
      <c r="C27" s="515">
        <v>25</v>
      </c>
      <c r="D27" s="164">
        <v>1.9293007430455172E-2</v>
      </c>
      <c r="E27" s="164">
        <v>6.5833989043032046E-2</v>
      </c>
      <c r="F27" s="164">
        <v>0.12195030908262272</v>
      </c>
      <c r="G27" s="164">
        <v>2.028657548308652E-4</v>
      </c>
      <c r="H27" s="164">
        <v>4.6731877728778378E-3</v>
      </c>
      <c r="I27" s="516">
        <v>15.98865478208146</v>
      </c>
      <c r="J27" s="517">
        <v>1.7407765922128546E-3</v>
      </c>
    </row>
    <row r="28" spans="2:10" x14ac:dyDescent="0.2">
      <c r="B28" s="514"/>
      <c r="C28" s="515">
        <v>50</v>
      </c>
      <c r="D28" s="164">
        <v>2.3415684544256618E-2</v>
      </c>
      <c r="E28" s="164">
        <v>0.22351500301310195</v>
      </c>
      <c r="F28" s="164">
        <v>0.22401954670194821</v>
      </c>
      <c r="G28" s="164">
        <v>4.0122845286742558E-4</v>
      </c>
      <c r="H28" s="164">
        <v>7.4944263230145008E-3</v>
      </c>
      <c r="I28" s="516">
        <v>31.036813382854945</v>
      </c>
      <c r="J28" s="517">
        <v>2.1127596701053428E-3</v>
      </c>
    </row>
    <row r="29" spans="2:10" x14ac:dyDescent="0.2">
      <c r="B29" s="514"/>
      <c r="C29" s="515">
        <v>120</v>
      </c>
      <c r="D29" s="164">
        <v>3.7554327545905139E-2</v>
      </c>
      <c r="E29" s="164">
        <v>0.46759603502353658</v>
      </c>
      <c r="F29" s="164">
        <v>0.37357941800395966</v>
      </c>
      <c r="G29" s="164">
        <v>9.0467796015684726E-4</v>
      </c>
      <c r="H29" s="164">
        <v>1.6049035468020893E-2</v>
      </c>
      <c r="I29" s="516">
        <v>77.121767330485099</v>
      </c>
      <c r="J29" s="517">
        <v>3.3884664579035585E-3</v>
      </c>
    </row>
    <row r="30" spans="2:10" x14ac:dyDescent="0.2">
      <c r="B30" s="514"/>
      <c r="C30" s="515">
        <v>175</v>
      </c>
      <c r="D30" s="164">
        <v>6.1757001725923862E-2</v>
      </c>
      <c r="E30" s="164">
        <v>0.75396366781026969</v>
      </c>
      <c r="F30" s="164">
        <v>0.53636101710773265</v>
      </c>
      <c r="G30" s="164">
        <v>1.5873515193872061E-3</v>
      </c>
      <c r="H30" s="164">
        <v>1.9796426654690096E-2</v>
      </c>
      <c r="I30" s="163">
        <v>141.07637504944157</v>
      </c>
      <c r="J30" s="517">
        <v>5.5722342389040586E-3</v>
      </c>
    </row>
    <row r="31" spans="2:10" x14ac:dyDescent="0.2">
      <c r="B31" s="514"/>
      <c r="C31" s="515">
        <v>250</v>
      </c>
      <c r="D31" s="164">
        <v>6.8070131367167525E-2</v>
      </c>
      <c r="E31" s="164">
        <v>0.34249649731364101</v>
      </c>
      <c r="F31" s="164">
        <v>0.4899771671462938</v>
      </c>
      <c r="G31" s="164">
        <v>2.1164688638147283E-3</v>
      </c>
      <c r="H31" s="164">
        <v>1.4379007271005271E-2</v>
      </c>
      <c r="I31" s="163">
        <v>188.10187141208749</v>
      </c>
      <c r="J31" s="517">
        <v>6.1418584512227172E-3</v>
      </c>
    </row>
    <row r="32" spans="2:10" x14ac:dyDescent="0.2">
      <c r="B32" s="514"/>
      <c r="C32" s="515">
        <v>500</v>
      </c>
      <c r="D32" s="164">
        <v>0.11175041178592013</v>
      </c>
      <c r="E32" s="164">
        <v>0.5510506942008786</v>
      </c>
      <c r="F32" s="164">
        <v>0.76917563279942847</v>
      </c>
      <c r="G32" s="164">
        <v>3.0555958932444284E-3</v>
      </c>
      <c r="H32" s="164">
        <v>2.3564565481809362E-2</v>
      </c>
      <c r="I32" s="163">
        <v>311.30860965438455</v>
      </c>
      <c r="J32" s="517">
        <v>1.0083062281769686E-2</v>
      </c>
    </row>
    <row r="33" spans="2:10" x14ac:dyDescent="0.2">
      <c r="B33" s="514"/>
      <c r="C33" s="515">
        <v>750</v>
      </c>
      <c r="D33" s="164">
        <v>0.22121633437301855</v>
      </c>
      <c r="E33" s="164">
        <v>1.0888307729066589</v>
      </c>
      <c r="F33" s="164">
        <v>1.530141749368628</v>
      </c>
      <c r="G33" s="164">
        <v>6.1845921531878522E-3</v>
      </c>
      <c r="H33" s="164">
        <v>4.6649106797887196E-2</v>
      </c>
      <c r="I33" s="163">
        <v>615.09305284208415</v>
      </c>
      <c r="J33" s="517">
        <v>1.9959993053472493E-2</v>
      </c>
    </row>
    <row r="34" spans="2:10" x14ac:dyDescent="0.2">
      <c r="B34" s="514"/>
      <c r="C34" s="515">
        <v>1000</v>
      </c>
      <c r="D34" s="164">
        <v>0.35618396996739221</v>
      </c>
      <c r="E34" s="164">
        <v>1.6527997129083805</v>
      </c>
      <c r="F34" s="164">
        <v>4.970422734798098</v>
      </c>
      <c r="G34" s="164">
        <v>9.3336271815894593E-3</v>
      </c>
      <c r="H34" s="164">
        <v>0.11940117469006234</v>
      </c>
      <c r="I34" s="163">
        <v>928.28278856105749</v>
      </c>
      <c r="J34" s="517">
        <v>3.2137904035120533E-2</v>
      </c>
    </row>
    <row r="35" spans="2:10" x14ac:dyDescent="0.2">
      <c r="B35" s="518" t="s">
        <v>509</v>
      </c>
      <c r="C35" s="519"/>
      <c r="D35" s="520">
        <v>6.7281632202164446E-2</v>
      </c>
      <c r="E35" s="520">
        <v>0.50216139257958115</v>
      </c>
      <c r="F35" s="520">
        <v>0.61380085856915867</v>
      </c>
      <c r="G35" s="520">
        <v>1.7464262169177304E-3</v>
      </c>
      <c r="H35" s="520">
        <v>2.0012075507875478E-2</v>
      </c>
      <c r="I35" s="523">
        <v>164.92119100149745</v>
      </c>
      <c r="J35" s="522">
        <v>6.0707136709347749E-3</v>
      </c>
    </row>
    <row r="36" spans="2:10" x14ac:dyDescent="0.2">
      <c r="B36" s="514" t="s">
        <v>510</v>
      </c>
      <c r="C36" s="515">
        <v>15</v>
      </c>
      <c r="D36" s="164">
        <v>7.384312852339924E-3</v>
      </c>
      <c r="E36" s="164">
        <v>3.859084119530775E-2</v>
      </c>
      <c r="F36" s="164">
        <v>4.635517898999271E-2</v>
      </c>
      <c r="G36" s="164">
        <v>9.8348268254360132E-5</v>
      </c>
      <c r="H36" s="164">
        <v>1.9053573207395865E-3</v>
      </c>
      <c r="I36" s="516">
        <v>6.3202235415700843</v>
      </c>
      <c r="J36" s="517">
        <v>6.6627465912238689E-4</v>
      </c>
    </row>
    <row r="37" spans="2:10" x14ac:dyDescent="0.2">
      <c r="B37" s="514"/>
      <c r="C37" s="515">
        <v>25</v>
      </c>
      <c r="D37" s="164">
        <v>2.5073398297102867E-2</v>
      </c>
      <c r="E37" s="164">
        <v>7.8201564154957992E-2</v>
      </c>
      <c r="F37" s="164">
        <v>0.14558084416469316</v>
      </c>
      <c r="G37" s="164">
        <v>2.2275463513394818E-4</v>
      </c>
      <c r="H37" s="164">
        <v>7.4166450827922838E-3</v>
      </c>
      <c r="I37" s="516">
        <v>17.55618139303569</v>
      </c>
      <c r="J37" s="517">
        <v>2.2623329131801371E-3</v>
      </c>
    </row>
    <row r="38" spans="2:10" x14ac:dyDescent="0.2">
      <c r="B38" s="518" t="s">
        <v>511</v>
      </c>
      <c r="C38" s="519"/>
      <c r="D38" s="520">
        <v>8.8451707204888052E-3</v>
      </c>
      <c r="E38" s="520">
        <v>4.1862103380080708E-2</v>
      </c>
      <c r="F38" s="520">
        <v>5.4549757174682474E-2</v>
      </c>
      <c r="G38" s="520">
        <v>1.0862240144634317E-4</v>
      </c>
      <c r="H38" s="520">
        <v>2.3605084994688958E-3</v>
      </c>
      <c r="I38" s="521">
        <v>7.2481481357928086</v>
      </c>
      <c r="J38" s="522">
        <v>7.9808555832037434E-4</v>
      </c>
    </row>
    <row r="39" spans="2:10" x14ac:dyDescent="0.2">
      <c r="B39" s="514" t="s">
        <v>512</v>
      </c>
      <c r="C39" s="515">
        <v>25</v>
      </c>
      <c r="D39" s="164">
        <v>1.9878434391766227E-2</v>
      </c>
      <c r="E39" s="164">
        <v>6.7847760739778842E-2</v>
      </c>
      <c r="F39" s="164">
        <v>0.1256157925996641</v>
      </c>
      <c r="G39" s="164">
        <v>2.0907113259147869E-4</v>
      </c>
      <c r="H39" s="164">
        <v>4.7217977248789882E-3</v>
      </c>
      <c r="I39" s="516">
        <v>16.477724449302841</v>
      </c>
      <c r="J39" s="517">
        <v>1.793598808742373E-3</v>
      </c>
    </row>
    <row r="40" spans="2:10" x14ac:dyDescent="0.2">
      <c r="B40" s="514"/>
      <c r="C40" s="515">
        <v>50</v>
      </c>
      <c r="D40" s="164">
        <v>7.8166952419211622E-2</v>
      </c>
      <c r="E40" s="164">
        <v>0.27454267545690436</v>
      </c>
      <c r="F40" s="164">
        <v>0.26524727975137657</v>
      </c>
      <c r="G40" s="164">
        <v>3.9052905249821864E-4</v>
      </c>
      <c r="H40" s="164">
        <v>2.0555353914314557E-2</v>
      </c>
      <c r="I40" s="516">
        <v>30.209161993501343</v>
      </c>
      <c r="J40" s="517">
        <v>7.0528775598302697E-3</v>
      </c>
    </row>
    <row r="41" spans="2:10" x14ac:dyDescent="0.2">
      <c r="B41" s="514"/>
      <c r="C41" s="515">
        <v>120</v>
      </c>
      <c r="D41" s="164">
        <v>8.9194427456220915E-2</v>
      </c>
      <c r="E41" s="164">
        <v>0.47588598065531251</v>
      </c>
      <c r="F41" s="164">
        <v>0.62485036611149536</v>
      </c>
      <c r="G41" s="164">
        <v>8.6981465614259827E-4</v>
      </c>
      <c r="H41" s="164">
        <v>4.8645513154218903E-2</v>
      </c>
      <c r="I41" s="516">
        <v>74.149777594362092</v>
      </c>
      <c r="J41" s="517">
        <v>8.0478710667049036E-3</v>
      </c>
    </row>
    <row r="42" spans="2:10" x14ac:dyDescent="0.2">
      <c r="B42" s="514"/>
      <c r="C42" s="515">
        <v>175</v>
      </c>
      <c r="D42" s="164">
        <v>0.13399950185530257</v>
      </c>
      <c r="E42" s="164">
        <v>0.86742255445344396</v>
      </c>
      <c r="F42" s="164">
        <v>1.1593003296849642</v>
      </c>
      <c r="G42" s="164">
        <v>1.8025263770192629E-3</v>
      </c>
      <c r="H42" s="164">
        <v>5.8450692320247223E-2</v>
      </c>
      <c r="I42" s="163">
        <v>160.20012961485469</v>
      </c>
      <c r="J42" s="517">
        <v>1.2090555788817191E-2</v>
      </c>
    </row>
    <row r="43" spans="2:10" x14ac:dyDescent="0.2">
      <c r="B43" s="518" t="s">
        <v>513</v>
      </c>
      <c r="C43" s="519"/>
      <c r="D43" s="520">
        <v>8.3519111201662694E-2</v>
      </c>
      <c r="E43" s="520">
        <v>0.39820523875749136</v>
      </c>
      <c r="F43" s="520">
        <v>0.49206140901621342</v>
      </c>
      <c r="G43" s="520">
        <v>6.9733469755059365E-4</v>
      </c>
      <c r="H43" s="520">
        <v>3.7449938072735077E-2</v>
      </c>
      <c r="I43" s="521">
        <v>58.463661473975272</v>
      </c>
      <c r="J43" s="522">
        <v>7.535795497818059E-3</v>
      </c>
    </row>
    <row r="44" spans="2:10" x14ac:dyDescent="0.2">
      <c r="B44" s="514" t="s">
        <v>514</v>
      </c>
      <c r="C44" s="515">
        <v>50</v>
      </c>
      <c r="D44" s="164">
        <v>8.5303859895833611E-2</v>
      </c>
      <c r="E44" s="164">
        <v>0.27293782516204002</v>
      </c>
      <c r="F44" s="164">
        <v>0.22345455571262601</v>
      </c>
      <c r="G44" s="164">
        <v>2.9974606978868003E-4</v>
      </c>
      <c r="H44" s="164">
        <v>2.0245473615485711E-2</v>
      </c>
      <c r="I44" s="516">
        <v>23.186697153184937</v>
      </c>
      <c r="J44" s="517">
        <v>7.6968307003845819E-3</v>
      </c>
    </row>
    <row r="45" spans="2:10" x14ac:dyDescent="0.2">
      <c r="B45" s="514"/>
      <c r="C45" s="515">
        <v>120</v>
      </c>
      <c r="D45" s="164">
        <v>8.0027237012853872E-2</v>
      </c>
      <c r="E45" s="164">
        <v>0.35593197566240414</v>
      </c>
      <c r="F45" s="164">
        <v>0.48217047757724435</v>
      </c>
      <c r="G45" s="164">
        <v>5.8826133700071506E-4</v>
      </c>
      <c r="H45" s="164">
        <v>4.1503918717068114E-2</v>
      </c>
      <c r="I45" s="516">
        <v>50.147957636658056</v>
      </c>
      <c r="J45" s="517">
        <v>7.2207285788506471E-3</v>
      </c>
    </row>
    <row r="46" spans="2:10" x14ac:dyDescent="0.2">
      <c r="B46" s="514"/>
      <c r="C46" s="515">
        <v>175</v>
      </c>
      <c r="D46" s="164">
        <v>9.1907383540650797E-2</v>
      </c>
      <c r="E46" s="164">
        <v>0.47938969353681482</v>
      </c>
      <c r="F46" s="164">
        <v>0.66844070827778213</v>
      </c>
      <c r="G46" s="164">
        <v>9.0401433167916771E-4</v>
      </c>
      <c r="H46" s="164">
        <v>3.7839484981727692E-2</v>
      </c>
      <c r="I46" s="516">
        <v>80.344576776429747</v>
      </c>
      <c r="J46" s="517">
        <v>8.2926525549517384E-3</v>
      </c>
    </row>
    <row r="47" spans="2:10" x14ac:dyDescent="0.2">
      <c r="B47" s="514"/>
      <c r="C47" s="515">
        <v>250</v>
      </c>
      <c r="D47" s="164">
        <v>9.2467635445283095E-2</v>
      </c>
      <c r="E47" s="164">
        <v>0.27129535743101241</v>
      </c>
      <c r="F47" s="164">
        <v>0.82840011564269456</v>
      </c>
      <c r="G47" s="164">
        <v>1.261979795413372E-3</v>
      </c>
      <c r="H47" s="164">
        <v>2.8633447903380228E-2</v>
      </c>
      <c r="I47" s="163">
        <v>112.15886099703616</v>
      </c>
      <c r="J47" s="517">
        <v>8.3432063759731022E-3</v>
      </c>
    </row>
    <row r="48" spans="2:10" x14ac:dyDescent="0.2">
      <c r="B48" s="514"/>
      <c r="C48" s="515">
        <v>500</v>
      </c>
      <c r="D48" s="164">
        <v>0.13927497741570263</v>
      </c>
      <c r="E48" s="164">
        <v>0.46629212023341365</v>
      </c>
      <c r="F48" s="164">
        <v>1.1812143370299875</v>
      </c>
      <c r="G48" s="164">
        <v>1.7677534033125378E-3</v>
      </c>
      <c r="H48" s="164">
        <v>4.2634024677499098E-2</v>
      </c>
      <c r="I48" s="163">
        <v>180.10128501905464</v>
      </c>
      <c r="J48" s="517">
        <v>1.256655716560515E-2</v>
      </c>
    </row>
    <row r="49" spans="2:10" x14ac:dyDescent="0.2">
      <c r="B49" s="514"/>
      <c r="C49" s="515">
        <v>750</v>
      </c>
      <c r="D49" s="164">
        <v>0.23580955713035809</v>
      </c>
      <c r="E49" s="164">
        <v>0.78353746645522071</v>
      </c>
      <c r="F49" s="164">
        <v>2.0489773627835342</v>
      </c>
      <c r="G49" s="164">
        <v>3.047030687003606E-3</v>
      </c>
      <c r="H49" s="164">
        <v>7.2929265017507863E-2</v>
      </c>
      <c r="I49" s="163">
        <v>303.04470468138095</v>
      </c>
      <c r="J49" s="517">
        <v>2.1276715579791064E-2</v>
      </c>
    </row>
    <row r="50" spans="2:10" x14ac:dyDescent="0.2">
      <c r="B50" s="514"/>
      <c r="C50" s="515">
        <v>9999</v>
      </c>
      <c r="D50" s="164">
        <v>0.86821725789839821</v>
      </c>
      <c r="E50" s="164">
        <v>2.8913497761252218</v>
      </c>
      <c r="F50" s="164">
        <v>9.2743470913591199</v>
      </c>
      <c r="G50" s="164">
        <v>9.7591729690477309E-3</v>
      </c>
      <c r="H50" s="164">
        <v>0.27753346292696174</v>
      </c>
      <c r="I50" s="163">
        <v>970.60569829919416</v>
      </c>
      <c r="J50" s="517">
        <v>7.8337837001430974E-2</v>
      </c>
    </row>
    <row r="51" spans="2:10" x14ac:dyDescent="0.2">
      <c r="B51" s="518" t="s">
        <v>515</v>
      </c>
      <c r="C51" s="519"/>
      <c r="D51" s="520">
        <v>0.12039705855048659</v>
      </c>
      <c r="E51" s="520">
        <v>0.43954761295243638</v>
      </c>
      <c r="F51" s="520">
        <v>1.0199662771657845</v>
      </c>
      <c r="G51" s="520">
        <v>1.3768362094323961E-3</v>
      </c>
      <c r="H51" s="520">
        <v>4.2570955616066455E-2</v>
      </c>
      <c r="I51" s="523">
        <v>128.63083245931645</v>
      </c>
      <c r="J51" s="522">
        <v>1.086323216597848E-2</v>
      </c>
    </row>
    <row r="52" spans="2:10" x14ac:dyDescent="0.2">
      <c r="B52" s="514" t="s">
        <v>516</v>
      </c>
      <c r="C52" s="515">
        <v>50</v>
      </c>
      <c r="D52" s="164">
        <v>0.10165539436739199</v>
      </c>
      <c r="E52" s="164">
        <v>0.30871887531144054</v>
      </c>
      <c r="F52" s="164">
        <v>0.2463844664427067</v>
      </c>
      <c r="G52" s="164">
        <v>3.2163122914580624E-4</v>
      </c>
      <c r="H52" s="164">
        <v>2.3244678166020293E-2</v>
      </c>
      <c r="I52" s="516">
        <v>24.8796057882128</v>
      </c>
      <c r="J52" s="517">
        <v>9.1722015120363227E-3</v>
      </c>
    </row>
    <row r="53" spans="2:10" x14ac:dyDescent="0.2">
      <c r="B53" s="514"/>
      <c r="C53" s="515">
        <v>120</v>
      </c>
      <c r="D53" s="164">
        <v>0.11431329327414147</v>
      </c>
      <c r="E53" s="164">
        <v>0.47740466496900036</v>
      </c>
      <c r="F53" s="164">
        <v>0.681459181300896</v>
      </c>
      <c r="G53" s="164">
        <v>7.7199178511027408E-4</v>
      </c>
      <c r="H53" s="164">
        <v>5.7894507216894375E-2</v>
      </c>
      <c r="I53" s="516">
        <v>65.810576000973796</v>
      </c>
      <c r="J53" s="517">
        <v>1.0314305978422882E-2</v>
      </c>
    </row>
    <row r="54" spans="2:10" x14ac:dyDescent="0.2">
      <c r="B54" s="514"/>
      <c r="C54" s="515">
        <v>175</v>
      </c>
      <c r="D54" s="164">
        <v>0.15093761074672407</v>
      </c>
      <c r="E54" s="164">
        <v>0.73838537121496151</v>
      </c>
      <c r="F54" s="164">
        <v>1.0951370534322262</v>
      </c>
      <c r="G54" s="164">
        <v>1.3635702644499226E-3</v>
      </c>
      <c r="H54" s="164">
        <v>6.141011978210472E-2</v>
      </c>
      <c r="I54" s="163">
        <v>121.18774715622513</v>
      </c>
      <c r="J54" s="517">
        <v>1.3618863491706509E-2</v>
      </c>
    </row>
    <row r="55" spans="2:10" x14ac:dyDescent="0.2">
      <c r="B55" s="514"/>
      <c r="C55" s="515">
        <v>250</v>
      </c>
      <c r="D55" s="164">
        <v>0.15822313708310842</v>
      </c>
      <c r="E55" s="164">
        <v>0.46144494452139678</v>
      </c>
      <c r="F55" s="164">
        <v>1.3530803773511315</v>
      </c>
      <c r="G55" s="164">
        <v>1.8692647388825485E-3</v>
      </c>
      <c r="H55" s="164">
        <v>5.1364093980169397E-2</v>
      </c>
      <c r="I55" s="163">
        <v>166.13155726271282</v>
      </c>
      <c r="J55" s="517">
        <v>1.4276217271619453E-2</v>
      </c>
    </row>
    <row r="56" spans="2:10" x14ac:dyDescent="0.2">
      <c r="B56" s="514"/>
      <c r="C56" s="515">
        <v>500</v>
      </c>
      <c r="D56" s="164">
        <v>0.22996517420943741</v>
      </c>
      <c r="E56" s="164">
        <v>0.835227467919475</v>
      </c>
      <c r="F56" s="164">
        <v>1.8987026151480302</v>
      </c>
      <c r="G56" s="164">
        <v>2.5444213887626113E-3</v>
      </c>
      <c r="H56" s="164">
        <v>7.3170690094852664E-2</v>
      </c>
      <c r="I56" s="163">
        <v>259.22944985343929</v>
      </c>
      <c r="J56" s="517">
        <v>2.0749391758978518E-2</v>
      </c>
    </row>
    <row r="57" spans="2:10" x14ac:dyDescent="0.2">
      <c r="B57" s="514"/>
      <c r="C57" s="515">
        <v>750</v>
      </c>
      <c r="D57" s="164">
        <v>0.41396921167016759</v>
      </c>
      <c r="E57" s="164">
        <v>1.4935731073465801</v>
      </c>
      <c r="F57" s="164">
        <v>3.4863367723136873</v>
      </c>
      <c r="G57" s="164">
        <v>4.6722973693452035E-3</v>
      </c>
      <c r="H57" s="164">
        <v>0.13266443118104321</v>
      </c>
      <c r="I57" s="163">
        <v>464.68679973311555</v>
      </c>
      <c r="J57" s="517">
        <v>3.7351779742996485E-2</v>
      </c>
    </row>
    <row r="58" spans="2:10" x14ac:dyDescent="0.2">
      <c r="B58" s="514"/>
      <c r="C58" s="515">
        <v>1000</v>
      </c>
      <c r="D58" s="164">
        <v>0.6278412054439636</v>
      </c>
      <c r="E58" s="164">
        <v>2.3639986687567571</v>
      </c>
      <c r="F58" s="164">
        <v>6.6573515259969893</v>
      </c>
      <c r="G58" s="164">
        <v>6.6170742344281329E-3</v>
      </c>
      <c r="H58" s="164">
        <v>0.20746518846110013</v>
      </c>
      <c r="I58" s="163">
        <v>658.1058278520178</v>
      </c>
      <c r="J58" s="517">
        <v>5.6649084991271519E-2</v>
      </c>
    </row>
    <row r="59" spans="2:10" x14ac:dyDescent="0.2">
      <c r="B59" s="518" t="s">
        <v>517</v>
      </c>
      <c r="C59" s="519"/>
      <c r="D59" s="520">
        <v>0.14149739387471935</v>
      </c>
      <c r="E59" s="520">
        <v>0.56499453529558741</v>
      </c>
      <c r="F59" s="520">
        <v>1.0059439229242342</v>
      </c>
      <c r="G59" s="520">
        <v>1.2581637867360982E-3</v>
      </c>
      <c r="H59" s="520">
        <v>5.9386198443514358E-2</v>
      </c>
      <c r="I59" s="523">
        <v>114.01910051710094</v>
      </c>
      <c r="J59" s="522">
        <v>1.2767084175350532E-2</v>
      </c>
    </row>
    <row r="60" spans="2:10" x14ac:dyDescent="0.2">
      <c r="B60" s="514" t="s">
        <v>518</v>
      </c>
      <c r="C60" s="515">
        <v>50</v>
      </c>
      <c r="D60" s="164">
        <v>0.13915841142651617</v>
      </c>
      <c r="E60" s="164">
        <v>0.46441875241987607</v>
      </c>
      <c r="F60" s="164">
        <v>0.40238274930183365</v>
      </c>
      <c r="G60" s="164">
        <v>5.6901485217286099E-4</v>
      </c>
      <c r="H60" s="164">
        <v>3.4585956264133633E-2</v>
      </c>
      <c r="I60" s="516">
        <v>44.015830739918826</v>
      </c>
      <c r="J60" s="517">
        <v>1.2556041525548461E-2</v>
      </c>
    </row>
    <row r="61" spans="2:10" x14ac:dyDescent="0.2">
      <c r="B61" s="514"/>
      <c r="C61" s="515">
        <v>120</v>
      </c>
      <c r="D61" s="164">
        <v>0.11668351522751008</v>
      </c>
      <c r="E61" s="164">
        <v>0.56462778829639482</v>
      </c>
      <c r="F61" s="164">
        <v>0.73738475401109616</v>
      </c>
      <c r="G61" s="164">
        <v>9.7528684475001604E-4</v>
      </c>
      <c r="H61" s="164">
        <v>6.2922889977327021E-2</v>
      </c>
      <c r="I61" s="516">
        <v>83.141017958227678</v>
      </c>
      <c r="J61" s="517">
        <v>1.0528166694101284E-2</v>
      </c>
    </row>
    <row r="62" spans="2:10" x14ac:dyDescent="0.2">
      <c r="B62" s="514"/>
      <c r="C62" s="515">
        <v>175</v>
      </c>
      <c r="D62" s="164">
        <v>0.16544973092797891</v>
      </c>
      <c r="E62" s="164">
        <v>0.95586272698331975</v>
      </c>
      <c r="F62" s="164">
        <v>1.278321549094972</v>
      </c>
      <c r="G62" s="164">
        <v>1.8819638922611419E-3</v>
      </c>
      <c r="H62" s="164">
        <v>6.9989049516100105E-2</v>
      </c>
      <c r="I62" s="163">
        <v>167.26013676725182</v>
      </c>
      <c r="J62" s="517">
        <v>1.4928267725627267E-2</v>
      </c>
    </row>
    <row r="63" spans="2:10" x14ac:dyDescent="0.2">
      <c r="B63" s="514"/>
      <c r="C63" s="515">
        <v>250</v>
      </c>
      <c r="D63" s="164">
        <v>0.16461158972791298</v>
      </c>
      <c r="E63" s="164">
        <v>0.51711312260620224</v>
      </c>
      <c r="F63" s="164">
        <v>1.6355259077581179</v>
      </c>
      <c r="G63" s="164">
        <v>2.7514093239787455E-3</v>
      </c>
      <c r="H63" s="164">
        <v>5.0632596831222898E-2</v>
      </c>
      <c r="I63" s="163">
        <v>244.53248463270282</v>
      </c>
      <c r="J63" s="517">
        <v>1.4852634959957789E-2</v>
      </c>
    </row>
    <row r="64" spans="2:10" x14ac:dyDescent="0.2">
      <c r="B64" s="514"/>
      <c r="C64" s="515">
        <v>500</v>
      </c>
      <c r="D64" s="164">
        <v>0.23579094498640263</v>
      </c>
      <c r="E64" s="164">
        <v>0.77902882173247756</v>
      </c>
      <c r="F64" s="164">
        <v>2.1722091927450302</v>
      </c>
      <c r="G64" s="164">
        <v>3.6674537631131918E-3</v>
      </c>
      <c r="H64" s="164">
        <v>7.2207930539604892E-2</v>
      </c>
      <c r="I64" s="163">
        <v>373.64560020257142</v>
      </c>
      <c r="J64" s="517">
        <v>2.1275035777163488E-2</v>
      </c>
    </row>
    <row r="65" spans="2:10" x14ac:dyDescent="0.2">
      <c r="B65" s="514"/>
      <c r="C65" s="515">
        <v>750</v>
      </c>
      <c r="D65" s="164">
        <v>0.3722513274946489</v>
      </c>
      <c r="E65" s="164">
        <v>1.2183856873407524</v>
      </c>
      <c r="F65" s="164">
        <v>3.5560599379883504</v>
      </c>
      <c r="G65" s="164">
        <v>5.9205643254425884E-3</v>
      </c>
      <c r="H65" s="164">
        <v>0.11543861935677248</v>
      </c>
      <c r="I65" s="163">
        <v>588.83410099410435</v>
      </c>
      <c r="J65" s="517">
        <v>3.358764126343855E-2</v>
      </c>
    </row>
    <row r="66" spans="2:10" x14ac:dyDescent="0.2">
      <c r="B66" s="514"/>
      <c r="C66" s="515">
        <v>9999</v>
      </c>
      <c r="D66" s="164">
        <v>0.97259600854644812</v>
      </c>
      <c r="E66" s="164">
        <v>3.0901212445541377</v>
      </c>
      <c r="F66" s="164">
        <v>11.562556269569022</v>
      </c>
      <c r="G66" s="164">
        <v>1.3149163039130433E-2</v>
      </c>
      <c r="H66" s="164">
        <v>0.32253318601351405</v>
      </c>
      <c r="I66" s="524">
        <v>1307.7596849837412</v>
      </c>
      <c r="J66" s="517">
        <v>8.7755779804616699E-2</v>
      </c>
    </row>
    <row r="67" spans="2:10" x14ac:dyDescent="0.2">
      <c r="B67" s="518" t="s">
        <v>519</v>
      </c>
      <c r="C67" s="519"/>
      <c r="D67" s="520">
        <v>0.1464706075567479</v>
      </c>
      <c r="E67" s="520">
        <v>0.65493019320441903</v>
      </c>
      <c r="F67" s="520">
        <v>0.98928404139151083</v>
      </c>
      <c r="G67" s="520">
        <v>1.456452401047396E-3</v>
      </c>
      <c r="H67" s="520">
        <v>6.0659856973307197E-2</v>
      </c>
      <c r="I67" s="523">
        <v>132.30911735793188</v>
      </c>
      <c r="J67" s="522">
        <v>1.3215808695020989E-2</v>
      </c>
    </row>
    <row r="68" spans="2:10" x14ac:dyDescent="0.2">
      <c r="B68" s="514" t="s">
        <v>520</v>
      </c>
      <c r="C68" s="515">
        <v>25</v>
      </c>
      <c r="D68" s="164">
        <v>9.339051689062846E-3</v>
      </c>
      <c r="E68" s="164">
        <v>3.1534791076915168E-2</v>
      </c>
      <c r="F68" s="164">
        <v>5.9067847697196765E-2</v>
      </c>
      <c r="G68" s="164">
        <v>9.6739135494185177E-5</v>
      </c>
      <c r="H68" s="164">
        <v>2.5139536162663663E-3</v>
      </c>
      <c r="I68" s="516">
        <v>7.6243977046127576</v>
      </c>
      <c r="J68" s="517">
        <v>8.4264775029073435E-4</v>
      </c>
    </row>
    <row r="69" spans="2:10" x14ac:dyDescent="0.2">
      <c r="B69" s="518" t="s">
        <v>521</v>
      </c>
      <c r="C69" s="519"/>
      <c r="D69" s="520">
        <v>9.339051689062846E-3</v>
      </c>
      <c r="E69" s="520">
        <v>3.1534791076915168E-2</v>
      </c>
      <c r="F69" s="520">
        <v>5.9067847697196765E-2</v>
      </c>
      <c r="G69" s="520">
        <v>9.6739135494185177E-5</v>
      </c>
      <c r="H69" s="520">
        <v>2.5139536162663663E-3</v>
      </c>
      <c r="I69" s="521">
        <v>7.6243977046127576</v>
      </c>
      <c r="J69" s="522">
        <v>8.4264775029073435E-4</v>
      </c>
    </row>
    <row r="70" spans="2:10" x14ac:dyDescent="0.2">
      <c r="B70" s="514" t="s">
        <v>522</v>
      </c>
      <c r="C70" s="515">
        <v>25</v>
      </c>
      <c r="D70" s="164">
        <v>1.9833045734372699E-2</v>
      </c>
      <c r="E70" s="164">
        <v>6.7692857714797078E-2</v>
      </c>
      <c r="F70" s="164">
        <v>0.12532896572182725</v>
      </c>
      <c r="G70" s="164">
        <v>2.0859378996940982E-4</v>
      </c>
      <c r="H70" s="164">
        <v>4.6668139300860756E-3</v>
      </c>
      <c r="I70" s="516">
        <v>16.440104338208464</v>
      </c>
      <c r="J70" s="517">
        <v>1.7895039168765153E-3</v>
      </c>
    </row>
    <row r="71" spans="2:10" x14ac:dyDescent="0.2">
      <c r="B71" s="514"/>
      <c r="C71" s="515">
        <v>50</v>
      </c>
      <c r="D71" s="164">
        <v>6.4962439515067374E-2</v>
      </c>
      <c r="E71" s="164">
        <v>0.26833633175681015</v>
      </c>
      <c r="F71" s="164">
        <v>0.22564070586678714</v>
      </c>
      <c r="G71" s="164">
        <v>3.2341446728441326E-4</v>
      </c>
      <c r="H71" s="164">
        <v>1.6722874565687097E-2</v>
      </c>
      <c r="I71" s="516">
        <v>25.017545971490094</v>
      </c>
      <c r="J71" s="517">
        <v>5.8614558059424757E-3</v>
      </c>
    </row>
    <row r="72" spans="2:10" x14ac:dyDescent="0.2">
      <c r="B72" s="514"/>
      <c r="C72" s="515">
        <v>120</v>
      </c>
      <c r="D72" s="164">
        <v>9.1205628164772373E-2</v>
      </c>
      <c r="E72" s="164">
        <v>0.51018027609362837</v>
      </c>
      <c r="F72" s="164">
        <v>0.57869954744695917</v>
      </c>
      <c r="G72" s="164">
        <v>8.6363638291369856E-4</v>
      </c>
      <c r="H72" s="164">
        <v>4.5471423674095554E-2</v>
      </c>
      <c r="I72" s="516">
        <v>73.623092764463749</v>
      </c>
      <c r="J72" s="517">
        <v>8.2293357309684585E-3</v>
      </c>
    </row>
    <row r="73" spans="2:10" x14ac:dyDescent="0.2">
      <c r="B73" s="514"/>
      <c r="C73" s="515">
        <v>175</v>
      </c>
      <c r="D73" s="164">
        <v>0.10516720487902671</v>
      </c>
      <c r="E73" s="164">
        <v>0.66533937288645006</v>
      </c>
      <c r="F73" s="164">
        <v>0.7408163771716858</v>
      </c>
      <c r="G73" s="164">
        <v>1.2626855348955677E-3</v>
      </c>
      <c r="H73" s="164">
        <v>4.0473305980663725E-2</v>
      </c>
      <c r="I73" s="163">
        <v>112.22158965475705</v>
      </c>
      <c r="J73" s="517">
        <v>9.4890670020510905E-3</v>
      </c>
    </row>
    <row r="74" spans="2:10" x14ac:dyDescent="0.2">
      <c r="B74" s="514"/>
      <c r="C74" s="515">
        <v>250</v>
      </c>
      <c r="D74" s="164">
        <v>0.11168653599866651</v>
      </c>
      <c r="E74" s="164">
        <v>0.34307245315522089</v>
      </c>
      <c r="F74" s="164">
        <v>0.89352561392339802</v>
      </c>
      <c r="G74" s="164">
        <v>1.7854531137053945E-3</v>
      </c>
      <c r="H74" s="164">
        <v>2.9704440632797063E-2</v>
      </c>
      <c r="I74" s="163">
        <v>158.68275615036239</v>
      </c>
      <c r="J74" s="517">
        <v>1.0077301030333776E-2</v>
      </c>
    </row>
    <row r="75" spans="2:10" x14ac:dyDescent="0.2">
      <c r="B75" s="514"/>
      <c r="C75" s="515">
        <v>500</v>
      </c>
      <c r="D75" s="164">
        <v>0.15768786953222044</v>
      </c>
      <c r="E75" s="164">
        <v>0.49644589043132925</v>
      </c>
      <c r="F75" s="164">
        <v>1.1619255625584828</v>
      </c>
      <c r="G75" s="164">
        <v>2.2941891037024571E-3</v>
      </c>
      <c r="H75" s="164">
        <v>4.1330038782821148E-2</v>
      </c>
      <c r="I75" s="163">
        <v>233.73532966705815</v>
      </c>
      <c r="J75" s="517">
        <v>1.4227923455147638E-2</v>
      </c>
    </row>
    <row r="76" spans="2:10" x14ac:dyDescent="0.2">
      <c r="B76" s="514"/>
      <c r="C76" s="515">
        <v>750</v>
      </c>
      <c r="D76" s="164">
        <v>0.26299540410120281</v>
      </c>
      <c r="E76" s="164">
        <v>0.82254285012417527</v>
      </c>
      <c r="F76" s="164">
        <v>1.992567818085232</v>
      </c>
      <c r="G76" s="164">
        <v>3.8953475532601226E-3</v>
      </c>
      <c r="H76" s="164">
        <v>6.979951724770489E-2</v>
      </c>
      <c r="I76" s="163">
        <v>387.41470972988827</v>
      </c>
      <c r="J76" s="517">
        <v>2.3729655373652056E-2</v>
      </c>
    </row>
    <row r="77" spans="2:10" x14ac:dyDescent="0.2">
      <c r="B77" s="518" t="s">
        <v>523</v>
      </c>
      <c r="C77" s="519"/>
      <c r="D77" s="520">
        <v>0.10638041700142434</v>
      </c>
      <c r="E77" s="520">
        <v>0.52475799330560702</v>
      </c>
      <c r="F77" s="520">
        <v>0.74158526866850727</v>
      </c>
      <c r="G77" s="520">
        <v>1.3153819331408673E-3</v>
      </c>
      <c r="H77" s="520">
        <v>3.7902278669990117E-2</v>
      </c>
      <c r="I77" s="523">
        <v>119.58026327490683</v>
      </c>
      <c r="J77" s="522">
        <v>9.5985341033909596E-3</v>
      </c>
    </row>
    <row r="78" spans="2:10" x14ac:dyDescent="0.2">
      <c r="B78" s="514" t="s">
        <v>524</v>
      </c>
      <c r="C78" s="515">
        <v>50</v>
      </c>
      <c r="D78" s="164">
        <v>3.2404628265440848E-2</v>
      </c>
      <c r="E78" s="164">
        <v>0.15218591214481519</v>
      </c>
      <c r="F78" s="164">
        <v>0.13240061213342993</v>
      </c>
      <c r="G78" s="164">
        <v>1.8967161405525812E-4</v>
      </c>
      <c r="H78" s="164">
        <v>9.1836429605385503E-3</v>
      </c>
      <c r="I78" s="516">
        <v>14.671938547693552</v>
      </c>
      <c r="J78" s="517">
        <v>2.9238174727150533E-3</v>
      </c>
    </row>
    <row r="79" spans="2:10" x14ac:dyDescent="0.2">
      <c r="B79" s="514"/>
      <c r="C79" s="515">
        <v>120</v>
      </c>
      <c r="D79" s="164">
        <v>3.453210110577036E-2</v>
      </c>
      <c r="E79" s="164">
        <v>0.21431555458386092</v>
      </c>
      <c r="F79" s="164">
        <v>0.23257619366756305</v>
      </c>
      <c r="G79" s="164">
        <v>3.6628413491168147E-4</v>
      </c>
      <c r="H79" s="164">
        <v>1.7420473894767131E-2</v>
      </c>
      <c r="I79" s="516">
        <v>31.224909350745936</v>
      </c>
      <c r="J79" s="517">
        <v>3.1157765673250955E-3</v>
      </c>
    </row>
    <row r="80" spans="2:10" x14ac:dyDescent="0.2">
      <c r="B80" s="514"/>
      <c r="C80" s="515">
        <v>175</v>
      </c>
      <c r="D80" s="164">
        <v>4.8612054077210934E-2</v>
      </c>
      <c r="E80" s="164">
        <v>0.33156227592665871</v>
      </c>
      <c r="F80" s="164">
        <v>0.34416330906614667</v>
      </c>
      <c r="G80" s="164">
        <v>6.3070772457790559E-4</v>
      </c>
      <c r="H80" s="164">
        <v>1.8863898202629296E-2</v>
      </c>
      <c r="I80" s="516">
        <v>56.054368573275823</v>
      </c>
      <c r="J80" s="517">
        <v>4.386188433161734E-3</v>
      </c>
    </row>
    <row r="81" spans="2:10" x14ac:dyDescent="0.2">
      <c r="B81" s="514"/>
      <c r="C81" s="515">
        <v>250</v>
      </c>
      <c r="D81" s="164">
        <v>5.1753818106130271E-2</v>
      </c>
      <c r="E81" s="164">
        <v>0.158228993521112</v>
      </c>
      <c r="F81" s="164">
        <v>0.40397218531782114</v>
      </c>
      <c r="G81" s="164">
        <v>8.6775232234198119E-4</v>
      </c>
      <c r="H81" s="164">
        <v>1.3304533174666774E-2</v>
      </c>
      <c r="I81" s="516">
        <v>77.121772076641093</v>
      </c>
      <c r="J81" s="517">
        <v>4.6696644162970346E-3</v>
      </c>
    </row>
    <row r="82" spans="2:10" x14ac:dyDescent="0.2">
      <c r="B82" s="514"/>
      <c r="C82" s="515">
        <v>500</v>
      </c>
      <c r="D82" s="164">
        <v>7.2362000329114565E-2</v>
      </c>
      <c r="E82" s="164">
        <v>0.21641324959023592</v>
      </c>
      <c r="F82" s="164">
        <v>0.51696322925822991</v>
      </c>
      <c r="G82" s="164">
        <v>1.0893059989231892E-3</v>
      </c>
      <c r="H82" s="164">
        <v>1.8539767092087364E-2</v>
      </c>
      <c r="I82" s="163">
        <v>110.98011867079909</v>
      </c>
      <c r="J82" s="517">
        <v>6.5291059990983374E-3</v>
      </c>
    </row>
    <row r="83" spans="2:10" x14ac:dyDescent="0.2">
      <c r="B83" s="518" t="s">
        <v>525</v>
      </c>
      <c r="C83" s="519"/>
      <c r="D83" s="520">
        <v>4.5873252451106759E-2</v>
      </c>
      <c r="E83" s="520">
        <v>0.22001551951982851</v>
      </c>
      <c r="F83" s="520">
        <v>0.31634239254992669</v>
      </c>
      <c r="G83" s="520">
        <v>6.0284191327317162E-4</v>
      </c>
      <c r="H83" s="520">
        <v>1.5594110149572305E-2</v>
      </c>
      <c r="I83" s="521">
        <v>54.395754566013032</v>
      </c>
      <c r="J83" s="522">
        <v>4.1390702444969157E-3</v>
      </c>
    </row>
    <row r="84" spans="2:10" x14ac:dyDescent="0.2">
      <c r="B84" s="514" t="s">
        <v>526</v>
      </c>
      <c r="C84" s="515">
        <v>15</v>
      </c>
      <c r="D84" s="164">
        <v>1.3509274512819568E-2</v>
      </c>
      <c r="E84" s="164">
        <v>6.5835492859280934E-2</v>
      </c>
      <c r="F84" s="164">
        <v>9.2876658777196253E-2</v>
      </c>
      <c r="G84" s="164">
        <v>1.5884023057265772E-4</v>
      </c>
      <c r="H84" s="164">
        <v>5.0868943889637135E-3</v>
      </c>
      <c r="I84" s="516">
        <v>10.207662922755402</v>
      </c>
      <c r="J84" s="517">
        <v>1.2189201128476488E-3</v>
      </c>
    </row>
    <row r="85" spans="2:10" x14ac:dyDescent="0.2">
      <c r="B85" s="514"/>
      <c r="C85" s="515">
        <v>25</v>
      </c>
      <c r="D85" s="164">
        <v>2.4731311584282836E-2</v>
      </c>
      <c r="E85" s="164">
        <v>8.3133226389446521E-2</v>
      </c>
      <c r="F85" s="164">
        <v>0.1521760680679711</v>
      </c>
      <c r="G85" s="164">
        <v>2.237092829508876E-4</v>
      </c>
      <c r="H85" s="164">
        <v>8.0336390440958437E-3</v>
      </c>
      <c r="I85" s="516">
        <v>17.63141545896692</v>
      </c>
      <c r="J85" s="517">
        <v>2.231466256380106E-3</v>
      </c>
    </row>
    <row r="86" spans="2:10" x14ac:dyDescent="0.2">
      <c r="B86" s="514"/>
      <c r="C86" s="515">
        <v>50</v>
      </c>
      <c r="D86" s="164">
        <v>7.0573839444073375E-2</v>
      </c>
      <c r="E86" s="164">
        <v>0.24650587905068821</v>
      </c>
      <c r="F86" s="164">
        <v>0.26279255496044945</v>
      </c>
      <c r="G86" s="164">
        <v>3.9587868970391589E-4</v>
      </c>
      <c r="H86" s="164">
        <v>1.9342997211129625E-2</v>
      </c>
      <c r="I86" s="516">
        <v>30.622988100697825</v>
      </c>
      <c r="J86" s="517">
        <v>6.3677626984155302E-3</v>
      </c>
    </row>
    <row r="87" spans="2:10" x14ac:dyDescent="0.2">
      <c r="B87" s="514"/>
      <c r="C87" s="515">
        <v>120</v>
      </c>
      <c r="D87" s="164">
        <v>9.0956157297959181E-2</v>
      </c>
      <c r="E87" s="164">
        <v>0.48106331149144826</v>
      </c>
      <c r="F87" s="164">
        <v>0.66074744586206302</v>
      </c>
      <c r="G87" s="164">
        <v>9.1438660408488595E-4</v>
      </c>
      <c r="H87" s="164">
        <v>4.8409204410568785E-2</v>
      </c>
      <c r="I87" s="516">
        <v>77.949414430562612</v>
      </c>
      <c r="J87" s="517">
        <v>8.2068261276410717E-3</v>
      </c>
    </row>
    <row r="88" spans="2:10" x14ac:dyDescent="0.2">
      <c r="B88" s="514"/>
      <c r="C88" s="515">
        <v>175</v>
      </c>
      <c r="D88" s="164">
        <v>0.11198402350167098</v>
      </c>
      <c r="E88" s="164">
        <v>0.73499026845764504</v>
      </c>
      <c r="F88" s="164">
        <v>1.0462568680213842</v>
      </c>
      <c r="G88" s="164">
        <v>1.5975108640646734E-3</v>
      </c>
      <c r="H88" s="164">
        <v>4.8496138471164775E-2</v>
      </c>
      <c r="I88" s="163">
        <v>141.97929332532777</v>
      </c>
      <c r="J88" s="517">
        <v>1.0104136969165277E-2</v>
      </c>
    </row>
    <row r="89" spans="2:10" x14ac:dyDescent="0.2">
      <c r="B89" s="514"/>
      <c r="C89" s="515">
        <v>250</v>
      </c>
      <c r="D89" s="164">
        <v>0.10901886890843873</v>
      </c>
      <c r="E89" s="164">
        <v>0.4148357703339895</v>
      </c>
      <c r="F89" s="164">
        <v>1.3776342834336415</v>
      </c>
      <c r="G89" s="164">
        <v>2.3910454871740438E-3</v>
      </c>
      <c r="H89" s="164">
        <v>3.8136166172801543E-2</v>
      </c>
      <c r="I89" s="163">
        <v>212.50494554304132</v>
      </c>
      <c r="J89" s="517">
        <v>9.8365965528570409E-3</v>
      </c>
    </row>
    <row r="90" spans="2:10" x14ac:dyDescent="0.2">
      <c r="B90" s="514"/>
      <c r="C90" s="515">
        <v>500</v>
      </c>
      <c r="D90" s="164">
        <v>0.15557147008771352</v>
      </c>
      <c r="E90" s="164">
        <v>0.66390898163187617</v>
      </c>
      <c r="F90" s="164">
        <v>1.9429188956813623</v>
      </c>
      <c r="G90" s="164">
        <v>3.3063203681606918E-3</v>
      </c>
      <c r="H90" s="164">
        <v>5.6692210170183499E-2</v>
      </c>
      <c r="I90" s="163">
        <v>336.85287807004022</v>
      </c>
      <c r="J90" s="517">
        <v>1.4036961812545809E-2</v>
      </c>
    </row>
    <row r="91" spans="2:10" x14ac:dyDescent="0.2">
      <c r="B91" s="514"/>
      <c r="C91" s="515">
        <v>750</v>
      </c>
      <c r="D91" s="164">
        <v>0.25987045288651783</v>
      </c>
      <c r="E91" s="164">
        <v>1.0717651357977866</v>
      </c>
      <c r="F91" s="164">
        <v>3.2483343306259855</v>
      </c>
      <c r="G91" s="164">
        <v>5.4676579269478873E-3</v>
      </c>
      <c r="H91" s="164">
        <v>9.3428263069332135E-2</v>
      </c>
      <c r="I91" s="163">
        <v>543.7900120001209</v>
      </c>
      <c r="J91" s="517">
        <v>2.3447686531852599E-2</v>
      </c>
    </row>
    <row r="92" spans="2:10" x14ac:dyDescent="0.2">
      <c r="B92" s="514"/>
      <c r="C92" s="515">
        <v>9999</v>
      </c>
      <c r="D92" s="164">
        <v>0.65819001401545763</v>
      </c>
      <c r="E92" s="164">
        <v>2.3655217290378263</v>
      </c>
      <c r="F92" s="164">
        <v>8.9789385984705206</v>
      </c>
      <c r="G92" s="164">
        <v>1.054344120901653E-2</v>
      </c>
      <c r="H92" s="164">
        <v>0.23245508841839096</v>
      </c>
      <c r="I92" s="524">
        <v>1048.6056108088828</v>
      </c>
      <c r="J92" s="517">
        <v>5.9387420818278677E-2</v>
      </c>
    </row>
    <row r="93" spans="2:10" x14ac:dyDescent="0.2">
      <c r="B93" s="518" t="s">
        <v>527</v>
      </c>
      <c r="C93" s="519"/>
      <c r="D93" s="520">
        <v>6.3988953017794004E-2</v>
      </c>
      <c r="E93" s="520">
        <v>0.29127159163052363</v>
      </c>
      <c r="F93" s="520">
        <v>0.47168701206831132</v>
      </c>
      <c r="G93" s="520">
        <v>6.9799325905053379E-4</v>
      </c>
      <c r="H93" s="520">
        <v>2.6776647914957583E-2</v>
      </c>
      <c r="I93" s="521">
        <v>60.992688501406363</v>
      </c>
      <c r="J93" s="522">
        <v>5.7736192904409411E-3</v>
      </c>
    </row>
    <row r="94" spans="2:10" x14ac:dyDescent="0.2">
      <c r="B94" s="514" t="s">
        <v>528</v>
      </c>
      <c r="C94" s="515">
        <v>50</v>
      </c>
      <c r="D94" s="164">
        <v>8.9715943152351055E-2</v>
      </c>
      <c r="E94" s="164">
        <v>0.30817092959353537</v>
      </c>
      <c r="F94" s="164">
        <v>0.25689955811108911</v>
      </c>
      <c r="G94" s="164">
        <v>3.5599904686729918E-4</v>
      </c>
      <c r="H94" s="164">
        <v>2.1696371549727794E-2</v>
      </c>
      <c r="I94" s="516">
        <v>27.538117459966227</v>
      </c>
      <c r="J94" s="517">
        <v>8.0949250936730444E-3</v>
      </c>
    </row>
    <row r="95" spans="2:10" x14ac:dyDescent="0.2">
      <c r="B95" s="514"/>
      <c r="C95" s="515">
        <v>120</v>
      </c>
      <c r="D95" s="164">
        <v>0.10814219374598816</v>
      </c>
      <c r="E95" s="164">
        <v>0.5230424553941736</v>
      </c>
      <c r="F95" s="164">
        <v>0.67261702075491148</v>
      </c>
      <c r="G95" s="164">
        <v>8.793763455170353E-4</v>
      </c>
      <c r="H95" s="164">
        <v>5.5500000362271297E-2</v>
      </c>
      <c r="I95" s="516">
        <v>74.964858392842416</v>
      </c>
      <c r="J95" s="517">
        <v>9.7574961847294705E-3</v>
      </c>
    </row>
    <row r="96" spans="2:10" x14ac:dyDescent="0.2">
      <c r="B96" s="514"/>
      <c r="C96" s="515">
        <v>175</v>
      </c>
      <c r="D96" s="164">
        <v>0.12989498217290332</v>
      </c>
      <c r="E96" s="164">
        <v>0.73194714894358315</v>
      </c>
      <c r="F96" s="164">
        <v>0.95336974138408326</v>
      </c>
      <c r="G96" s="164">
        <v>1.3943299083602494E-3</v>
      </c>
      <c r="H96" s="164">
        <v>5.255899506148487E-2</v>
      </c>
      <c r="I96" s="163">
        <v>123.92148862624342</v>
      </c>
      <c r="J96" s="517">
        <v>1.1720218383966691E-2</v>
      </c>
    </row>
    <row r="97" spans="2:10" x14ac:dyDescent="0.2">
      <c r="B97" s="514"/>
      <c r="C97" s="515">
        <v>250</v>
      </c>
      <c r="D97" s="164">
        <v>0.13259615089950455</v>
      </c>
      <c r="E97" s="164">
        <v>0.40461338472532721</v>
      </c>
      <c r="F97" s="164">
        <v>1.1596080430978746</v>
      </c>
      <c r="G97" s="164">
        <v>1.9365689471293039E-3</v>
      </c>
      <c r="H97" s="164">
        <v>3.9975954256625701E-2</v>
      </c>
      <c r="I97" s="163">
        <v>172.11326284862955</v>
      </c>
      <c r="J97" s="517">
        <v>1.1963937973172835E-2</v>
      </c>
    </row>
    <row r="98" spans="2:10" x14ac:dyDescent="0.2">
      <c r="B98" s="514"/>
      <c r="C98" s="515">
        <v>500</v>
      </c>
      <c r="D98" s="164">
        <v>0.16661913310145687</v>
      </c>
      <c r="E98" s="164">
        <v>0.57390991091506671</v>
      </c>
      <c r="F98" s="164">
        <v>1.3760221326888009</v>
      </c>
      <c r="G98" s="164">
        <v>2.2524633622208845E-3</v>
      </c>
      <c r="H98" s="164">
        <v>4.9562380477206534E-2</v>
      </c>
      <c r="I98" s="163">
        <v>229.48430404511782</v>
      </c>
      <c r="J98" s="517">
        <v>1.5033778692192376E-2</v>
      </c>
    </row>
    <row r="99" spans="2:10" x14ac:dyDescent="0.2">
      <c r="B99" s="514"/>
      <c r="C99" s="515">
        <v>750</v>
      </c>
      <c r="D99" s="164">
        <v>0.354858544370041</v>
      </c>
      <c r="E99" s="164">
        <v>1.2133452647467149</v>
      </c>
      <c r="F99" s="164">
        <v>3.001144023397841</v>
      </c>
      <c r="G99" s="164">
        <v>4.8839977658869426E-3</v>
      </c>
      <c r="H99" s="164">
        <v>0.10661760013343197</v>
      </c>
      <c r="I99" s="163">
        <v>485.74162863820862</v>
      </c>
      <c r="J99" s="517">
        <v>3.2018316506273584E-2</v>
      </c>
    </row>
    <row r="100" spans="2:10" x14ac:dyDescent="0.2">
      <c r="B100" s="518" t="s">
        <v>529</v>
      </c>
      <c r="C100" s="519"/>
      <c r="D100" s="520">
        <v>0.12773541856334819</v>
      </c>
      <c r="E100" s="520">
        <v>0.59305809527829734</v>
      </c>
      <c r="F100" s="520">
        <v>0.97948923177732694</v>
      </c>
      <c r="G100" s="520">
        <v>1.4960732798434391E-3</v>
      </c>
      <c r="H100" s="520">
        <v>4.8877706682273606E-2</v>
      </c>
      <c r="I100" s="523">
        <v>132.7430393459847</v>
      </c>
      <c r="J100" s="522">
        <v>1.152536314354958E-2</v>
      </c>
    </row>
    <row r="101" spans="2:10" x14ac:dyDescent="0.2">
      <c r="B101" s="514" t="s">
        <v>530</v>
      </c>
      <c r="C101" s="515">
        <v>120</v>
      </c>
      <c r="D101" s="164">
        <v>0.19047736683593058</v>
      </c>
      <c r="E101" s="164">
        <v>0.70505202585788262</v>
      </c>
      <c r="F101" s="164">
        <v>1.115944371795359</v>
      </c>
      <c r="G101" s="164">
        <v>1.0995881109705859E-3</v>
      </c>
      <c r="H101" s="164">
        <v>9.5221327918207158E-2</v>
      </c>
      <c r="I101" s="516">
        <v>93.737407455881211</v>
      </c>
      <c r="J101" s="517">
        <v>1.7186465072828224E-2</v>
      </c>
    </row>
    <row r="102" spans="2:10" x14ac:dyDescent="0.2">
      <c r="B102" s="514"/>
      <c r="C102" s="515">
        <v>175</v>
      </c>
      <c r="D102" s="164">
        <v>0.18697668544896526</v>
      </c>
      <c r="E102" s="164">
        <v>0.82157979296100914</v>
      </c>
      <c r="F102" s="164">
        <v>1.3702941366407317</v>
      </c>
      <c r="G102" s="164">
        <v>1.4674185804269388E-3</v>
      </c>
      <c r="H102" s="164">
        <v>7.7114356098449077E-2</v>
      </c>
      <c r="I102" s="163">
        <v>130.4173392386511</v>
      </c>
      <c r="J102" s="517">
        <v>1.6870603277178851E-2</v>
      </c>
    </row>
    <row r="103" spans="2:10" x14ac:dyDescent="0.2">
      <c r="B103" s="514"/>
      <c r="C103" s="515">
        <v>250</v>
      </c>
      <c r="D103" s="164">
        <v>0.14885965425680217</v>
      </c>
      <c r="E103" s="164">
        <v>0.43202185368966306</v>
      </c>
      <c r="F103" s="164">
        <v>1.2643965383068161</v>
      </c>
      <c r="G103" s="164">
        <v>1.4674177050102053E-3</v>
      </c>
      <c r="H103" s="164">
        <v>5.2005253247498627E-2</v>
      </c>
      <c r="I103" s="163">
        <v>130.41724981980585</v>
      </c>
      <c r="J103" s="517">
        <v>1.3431367738076648E-2</v>
      </c>
    </row>
    <row r="104" spans="2:10" x14ac:dyDescent="0.2">
      <c r="B104" s="514"/>
      <c r="C104" s="515">
        <v>750</v>
      </c>
      <c r="D104" s="164">
        <v>0.59746374567126592</v>
      </c>
      <c r="E104" s="164">
        <v>2.5164757422570294</v>
      </c>
      <c r="F104" s="164">
        <v>5.0884589291724689</v>
      </c>
      <c r="G104" s="164">
        <v>5.7123930462100875E-3</v>
      </c>
      <c r="H104" s="164">
        <v>0.20472938726341625</v>
      </c>
      <c r="I104" s="163">
        <v>568.13010453889558</v>
      </c>
      <c r="J104" s="517">
        <v>5.3908201089481245E-2</v>
      </c>
    </row>
    <row r="105" spans="2:10" x14ac:dyDescent="0.2">
      <c r="B105" s="514"/>
      <c r="C105" s="515">
        <v>1000</v>
      </c>
      <c r="D105" s="164">
        <v>0.90064377392742623</v>
      </c>
      <c r="E105" s="164">
        <v>3.9377604072800723</v>
      </c>
      <c r="F105" s="164">
        <v>9.2071978889141324</v>
      </c>
      <c r="G105" s="164">
        <v>8.1874885746197248E-3</v>
      </c>
      <c r="H105" s="164">
        <v>0.30628371383574082</v>
      </c>
      <c r="I105" s="163">
        <v>814.29290330042556</v>
      </c>
      <c r="J105" s="517">
        <v>8.1263636348273757E-2</v>
      </c>
    </row>
    <row r="106" spans="2:10" x14ac:dyDescent="0.2">
      <c r="B106" s="518" t="s">
        <v>531</v>
      </c>
      <c r="C106" s="519"/>
      <c r="D106" s="520">
        <v>0.18933650746917771</v>
      </c>
      <c r="E106" s="520">
        <v>0.72437808193706832</v>
      </c>
      <c r="F106" s="520">
        <v>1.5084867100798318</v>
      </c>
      <c r="G106" s="520">
        <v>1.6715210349221438E-3</v>
      </c>
      <c r="H106" s="520">
        <v>7.1740007180302739E-2</v>
      </c>
      <c r="I106" s="523">
        <v>151.42412523251969</v>
      </c>
      <c r="J106" s="522">
        <v>1.7083527991923218E-2</v>
      </c>
    </row>
    <row r="107" spans="2:10" x14ac:dyDescent="0.2">
      <c r="B107" s="514" t="s">
        <v>532</v>
      </c>
      <c r="C107" s="515">
        <v>175</v>
      </c>
      <c r="D107" s="164">
        <v>0.12586922603165263</v>
      </c>
      <c r="E107" s="164">
        <v>0.75593478782087331</v>
      </c>
      <c r="F107" s="164">
        <v>0.85963803646845749</v>
      </c>
      <c r="G107" s="164">
        <v>1.4074516539751688E-3</v>
      </c>
      <c r="H107" s="164">
        <v>4.7653601731041044E-2</v>
      </c>
      <c r="I107" s="163">
        <v>125.08772509824045</v>
      </c>
      <c r="J107" s="517">
        <v>1.1356975884007279E-2</v>
      </c>
    </row>
    <row r="108" spans="2:10" x14ac:dyDescent="0.2">
      <c r="B108" s="514"/>
      <c r="C108" s="515">
        <v>250</v>
      </c>
      <c r="D108" s="164">
        <v>0.12515266972462641</v>
      </c>
      <c r="E108" s="164">
        <v>0.37018045112299897</v>
      </c>
      <c r="F108" s="164">
        <v>0.98177634452702278</v>
      </c>
      <c r="G108" s="164">
        <v>1.8739213528134147E-3</v>
      </c>
      <c r="H108" s="164">
        <v>3.2769564138102551E-2</v>
      </c>
      <c r="I108" s="163">
        <v>166.54539483446186</v>
      </c>
      <c r="J108" s="517">
        <v>1.1292325418869483E-2</v>
      </c>
    </row>
    <row r="109" spans="2:10" x14ac:dyDescent="0.2">
      <c r="B109" s="514"/>
      <c r="C109" s="515">
        <v>500</v>
      </c>
      <c r="D109" s="164">
        <v>0.19596162662107131</v>
      </c>
      <c r="E109" s="164">
        <v>0.59490042289835487</v>
      </c>
      <c r="F109" s="164">
        <v>1.4164556675842563</v>
      </c>
      <c r="G109" s="164">
        <v>2.673045267803837E-3</v>
      </c>
      <c r="H109" s="164">
        <v>5.0495697916004584E-2</v>
      </c>
      <c r="I109" s="163">
        <v>272.33386579318238</v>
      </c>
      <c r="J109" s="517">
        <v>1.7681296944398763E-2</v>
      </c>
    </row>
    <row r="110" spans="2:10" x14ac:dyDescent="0.2">
      <c r="B110" s="514"/>
      <c r="C110" s="515">
        <v>750</v>
      </c>
      <c r="D110" s="164">
        <v>0.31977806550627802</v>
      </c>
      <c r="E110" s="164">
        <v>0.96448234641162212</v>
      </c>
      <c r="F110" s="164">
        <v>2.3778907547946324</v>
      </c>
      <c r="G110" s="164">
        <v>4.4415586874905176E-3</v>
      </c>
      <c r="H110" s="164">
        <v>8.3471165530676641E-2</v>
      </c>
      <c r="I110" s="163">
        <v>441.73853724516579</v>
      </c>
      <c r="J110" s="517">
        <v>2.8853063055021663E-2</v>
      </c>
    </row>
    <row r="111" spans="2:10" x14ac:dyDescent="0.2">
      <c r="B111" s="514"/>
      <c r="C111" s="515">
        <v>1000</v>
      </c>
      <c r="D111" s="164">
        <v>0.48725021429207405</v>
      </c>
      <c r="E111" s="164">
        <v>1.4800743924806319</v>
      </c>
      <c r="F111" s="164">
        <v>5.221599751819654</v>
      </c>
      <c r="G111" s="164">
        <v>6.281425391105197E-3</v>
      </c>
      <c r="H111" s="164">
        <v>0.15053954092634184</v>
      </c>
      <c r="I111" s="163">
        <v>624.72390683545632</v>
      </c>
      <c r="J111" s="517">
        <v>4.3963808028342315E-2</v>
      </c>
    </row>
    <row r="112" spans="2:10" x14ac:dyDescent="0.2">
      <c r="B112" s="518" t="s">
        <v>533</v>
      </c>
      <c r="C112" s="519"/>
      <c r="D112" s="520">
        <v>0.19237665780234681</v>
      </c>
      <c r="E112" s="520">
        <v>0.59739143014702767</v>
      </c>
      <c r="F112" s="520">
        <v>1.4932248953414919</v>
      </c>
      <c r="G112" s="520">
        <v>2.6583033915541436E-3</v>
      </c>
      <c r="H112" s="520">
        <v>5.1616440211014136E-2</v>
      </c>
      <c r="I112" s="523">
        <v>260.05603956956077</v>
      </c>
      <c r="J112" s="522">
        <v>1.7357834608521049E-2</v>
      </c>
    </row>
    <row r="113" spans="2:10" x14ac:dyDescent="0.2">
      <c r="B113" s="514" t="s">
        <v>534</v>
      </c>
      <c r="C113" s="515">
        <v>15</v>
      </c>
      <c r="D113" s="164">
        <v>1.1765479299563907E-2</v>
      </c>
      <c r="E113" s="164">
        <v>6.1714715595037384E-2</v>
      </c>
      <c r="F113" s="164">
        <v>7.3679897784035414E-2</v>
      </c>
      <c r="G113" s="164">
        <v>1.572791439192002E-4</v>
      </c>
      <c r="H113" s="164">
        <v>2.8774150989504376E-3</v>
      </c>
      <c r="I113" s="516">
        <v>10.107340281314988</v>
      </c>
      <c r="J113" s="517">
        <v>1.0615801987134306E-3</v>
      </c>
    </row>
    <row r="114" spans="2:10" x14ac:dyDescent="0.2">
      <c r="B114" s="514"/>
      <c r="C114" s="515">
        <v>25</v>
      </c>
      <c r="D114" s="164">
        <v>1.5948887253296615E-2</v>
      </c>
      <c r="E114" s="164">
        <v>5.4422779633758432E-2</v>
      </c>
      <c r="F114" s="164">
        <v>0.10081226708497142</v>
      </c>
      <c r="G114" s="164">
        <v>1.6770241908781297E-4</v>
      </c>
      <c r="H114" s="164">
        <v>3.8631697060096657E-3</v>
      </c>
      <c r="I114" s="516">
        <v>13.217293885230841</v>
      </c>
      <c r="J114" s="517">
        <v>1.4390426214159915E-3</v>
      </c>
    </row>
    <row r="115" spans="2:10" x14ac:dyDescent="0.2">
      <c r="B115" s="514"/>
      <c r="C115" s="515">
        <v>50</v>
      </c>
      <c r="D115" s="164">
        <v>5.9673659547879725E-2</v>
      </c>
      <c r="E115" s="164">
        <v>0.25060786302131843</v>
      </c>
      <c r="F115" s="164">
        <v>0.23688686306124337</v>
      </c>
      <c r="G115" s="164">
        <v>3.6183512259461677E-4</v>
      </c>
      <c r="H115" s="164">
        <v>1.6242994841880461E-2</v>
      </c>
      <c r="I115" s="516">
        <v>27.989560454258921</v>
      </c>
      <c r="J115" s="517">
        <v>5.3842593179015685E-3</v>
      </c>
    </row>
    <row r="116" spans="2:10" x14ac:dyDescent="0.2">
      <c r="B116" s="514"/>
      <c r="C116" s="515">
        <v>120</v>
      </c>
      <c r="D116" s="164">
        <v>8.2738162201245039E-2</v>
      </c>
      <c r="E116" s="164">
        <v>0.52021152650660463</v>
      </c>
      <c r="F116" s="164">
        <v>0.60122847828163051</v>
      </c>
      <c r="G116" s="164">
        <v>9.4851435470108319E-4</v>
      </c>
      <c r="H116" s="164">
        <v>4.4147807035234882E-2</v>
      </c>
      <c r="I116" s="516">
        <v>80.858732030928962</v>
      </c>
      <c r="J116" s="517">
        <v>7.4653317653091411E-3</v>
      </c>
    </row>
    <row r="117" spans="2:10" x14ac:dyDescent="0.2">
      <c r="B117" s="514"/>
      <c r="C117" s="515">
        <v>175</v>
      </c>
      <c r="D117" s="164">
        <v>7.9630470223994193E-2</v>
      </c>
      <c r="E117" s="164">
        <v>0.58637723086464177</v>
      </c>
      <c r="F117" s="164">
        <v>0.66358180384813992</v>
      </c>
      <c r="G117" s="164">
        <v>1.1984855682957594E-3</v>
      </c>
      <c r="H117" s="164">
        <v>3.3127048381557375E-2</v>
      </c>
      <c r="I117" s="163">
        <v>106.51583149623336</v>
      </c>
      <c r="J117" s="517">
        <v>7.184929780442325E-3</v>
      </c>
    </row>
    <row r="118" spans="2:10" x14ac:dyDescent="0.2">
      <c r="B118" s="514"/>
      <c r="C118" s="515">
        <v>500</v>
      </c>
      <c r="D118" s="164">
        <v>0.13095174672218127</v>
      </c>
      <c r="E118" s="164">
        <v>0.49629082179248268</v>
      </c>
      <c r="F118" s="164">
        <v>1.186650127801262</v>
      </c>
      <c r="G118" s="164">
        <v>2.4954346257058686E-3</v>
      </c>
      <c r="H118" s="164">
        <v>3.9374236639522976E-2</v>
      </c>
      <c r="I118" s="163">
        <v>254.23854571385056</v>
      </c>
      <c r="J118" s="517">
        <v>1.1815564023556229E-2</v>
      </c>
    </row>
    <row r="119" spans="2:10" x14ac:dyDescent="0.2">
      <c r="B119" s="518" t="s">
        <v>535</v>
      </c>
      <c r="C119" s="519"/>
      <c r="D119" s="520">
        <v>7.6816082110325604E-2</v>
      </c>
      <c r="E119" s="520">
        <v>0.36451815833135537</v>
      </c>
      <c r="F119" s="520">
        <v>0.63915386557055487</v>
      </c>
      <c r="G119" s="520">
        <v>1.2672165039038074E-3</v>
      </c>
      <c r="H119" s="520">
        <v>2.636985245488712E-2</v>
      </c>
      <c r="I119" s="523">
        <v>122.59786021649049</v>
      </c>
      <c r="J119" s="522">
        <v>6.9309912017184085E-3</v>
      </c>
    </row>
    <row r="120" spans="2:10" x14ac:dyDescent="0.2">
      <c r="B120" s="514" t="s">
        <v>536</v>
      </c>
      <c r="C120" s="515">
        <v>15</v>
      </c>
      <c r="D120" s="164">
        <v>6.6325151410801557E-3</v>
      </c>
      <c r="E120" s="164">
        <v>3.9050266169860896E-2</v>
      </c>
      <c r="F120" s="164">
        <v>4.6621286871459063E-2</v>
      </c>
      <c r="G120" s="164">
        <v>9.9519107186395902E-5</v>
      </c>
      <c r="H120" s="164">
        <v>1.8217454585382311E-3</v>
      </c>
      <c r="I120" s="516">
        <v>6.3954654817794641</v>
      </c>
      <c r="J120" s="517">
        <v>5.984411829792405E-4</v>
      </c>
    </row>
    <row r="121" spans="2:10" x14ac:dyDescent="0.2">
      <c r="B121" s="514"/>
      <c r="C121" s="515">
        <v>25</v>
      </c>
      <c r="D121" s="164">
        <v>1.8516898996978254E-2</v>
      </c>
      <c r="E121" s="164">
        <v>6.3200647094904014E-2</v>
      </c>
      <c r="F121" s="164">
        <v>0.11701197898529593</v>
      </c>
      <c r="G121" s="164">
        <v>1.9475115159687888E-4</v>
      </c>
      <c r="H121" s="164">
        <v>4.3561790861527498E-3</v>
      </c>
      <c r="I121" s="516">
        <v>15.349117567027312</v>
      </c>
      <c r="J121" s="517">
        <v>1.6707500161105987E-3</v>
      </c>
    </row>
    <row r="122" spans="2:10" x14ac:dyDescent="0.2">
      <c r="B122" s="514"/>
      <c r="C122" s="515">
        <v>50</v>
      </c>
      <c r="D122" s="164">
        <v>7.8553014580651767E-2</v>
      </c>
      <c r="E122" s="164">
        <v>0.25319376937378818</v>
      </c>
      <c r="F122" s="164">
        <v>0.20769256454530949</v>
      </c>
      <c r="G122" s="164">
        <v>2.8110319763439653E-4</v>
      </c>
      <c r="H122" s="164">
        <v>1.9068551103474544E-2</v>
      </c>
      <c r="I122" s="516">
        <v>21.744584533204343</v>
      </c>
      <c r="J122" s="517">
        <v>7.0877134922635397E-3</v>
      </c>
    </row>
    <row r="123" spans="2:10" x14ac:dyDescent="0.2">
      <c r="B123" s="514"/>
      <c r="C123" s="515">
        <v>120</v>
      </c>
      <c r="D123" s="164">
        <v>9.871261597149035E-2</v>
      </c>
      <c r="E123" s="164">
        <v>0.43866467027481643</v>
      </c>
      <c r="F123" s="164">
        <v>0.58639792403108892</v>
      </c>
      <c r="G123" s="164">
        <v>7.277140070530879E-4</v>
      </c>
      <c r="H123" s="164">
        <v>5.2144575998888498E-2</v>
      </c>
      <c r="I123" s="516">
        <v>62.035993066032162</v>
      </c>
      <c r="J123" s="517">
        <v>8.9066801415868813E-3</v>
      </c>
    </row>
    <row r="124" spans="2:10" x14ac:dyDescent="0.2">
      <c r="B124" s="514"/>
      <c r="C124" s="515">
        <v>175</v>
      </c>
      <c r="D124" s="164">
        <v>0.10825970815869643</v>
      </c>
      <c r="E124" s="164">
        <v>0.56844099782657631</v>
      </c>
      <c r="F124" s="164">
        <v>0.78663666190177017</v>
      </c>
      <c r="G124" s="164">
        <v>1.0793991985153005E-3</v>
      </c>
      <c r="H124" s="164">
        <v>4.4762349435503154E-2</v>
      </c>
      <c r="I124" s="516">
        <v>95.931958689791159</v>
      </c>
      <c r="J124" s="517">
        <v>9.7681038999065245E-3</v>
      </c>
    </row>
    <row r="125" spans="2:10" x14ac:dyDescent="0.2">
      <c r="B125" s="514"/>
      <c r="C125" s="515">
        <v>250</v>
      </c>
      <c r="D125" s="164">
        <v>0.10500432716901852</v>
      </c>
      <c r="E125" s="164">
        <v>0.30148350725274115</v>
      </c>
      <c r="F125" s="164">
        <v>0.98123550522855085</v>
      </c>
      <c r="G125" s="164">
        <v>1.5255502219132142E-3</v>
      </c>
      <c r="H125" s="164">
        <v>3.1202557417390586E-2</v>
      </c>
      <c r="I125" s="163">
        <v>135.58383619749134</v>
      </c>
      <c r="J125" s="517">
        <v>9.4743733884027747E-3</v>
      </c>
    </row>
    <row r="126" spans="2:10" x14ac:dyDescent="0.2">
      <c r="B126" s="514"/>
      <c r="C126" s="515">
        <v>500</v>
      </c>
      <c r="D126" s="164">
        <v>0.19309836929399155</v>
      </c>
      <c r="E126" s="164">
        <v>0.58111495471485175</v>
      </c>
      <c r="F126" s="164">
        <v>1.6701600503757206</v>
      </c>
      <c r="G126" s="164">
        <v>2.6051023022929838E-3</v>
      </c>
      <c r="H126" s="164">
        <v>5.6936567685184659E-2</v>
      </c>
      <c r="I126" s="163">
        <v>265.41168575774469</v>
      </c>
      <c r="J126" s="517">
        <v>1.7422958361702358E-2</v>
      </c>
    </row>
    <row r="127" spans="2:10" x14ac:dyDescent="0.2">
      <c r="B127" s="514"/>
      <c r="C127" s="515">
        <v>750</v>
      </c>
      <c r="D127" s="164">
        <v>0.32075991630129863</v>
      </c>
      <c r="E127" s="164">
        <v>0.95778964946444889</v>
      </c>
      <c r="F127" s="164">
        <v>2.8568650398874595</v>
      </c>
      <c r="G127" s="164">
        <v>4.3984363631495906E-3</v>
      </c>
      <c r="H127" s="164">
        <v>9.5925110511150435E-2</v>
      </c>
      <c r="I127" s="163">
        <v>437.44974529107708</v>
      </c>
      <c r="J127" s="517">
        <v>2.8941651471576128E-2</v>
      </c>
    </row>
    <row r="128" spans="2:10" x14ac:dyDescent="0.2">
      <c r="B128" s="514"/>
      <c r="C128" s="515">
        <v>1000</v>
      </c>
      <c r="D128" s="164">
        <v>0.45456562311894921</v>
      </c>
      <c r="E128" s="164">
        <v>1.4023402686318867</v>
      </c>
      <c r="F128" s="164">
        <v>5.2482430449227921</v>
      </c>
      <c r="G128" s="164">
        <v>5.6266547263061715E-3</v>
      </c>
      <c r="H128" s="164">
        <v>0.15129230797812943</v>
      </c>
      <c r="I128" s="163">
        <v>559.60308205491219</v>
      </c>
      <c r="J128" s="517">
        <v>4.101471994692401E-2</v>
      </c>
    </row>
    <row r="129" spans="2:10" x14ac:dyDescent="0.2">
      <c r="B129" s="518" t="s">
        <v>537</v>
      </c>
      <c r="C129" s="519"/>
      <c r="D129" s="520">
        <v>0.13550934351128316</v>
      </c>
      <c r="E129" s="520">
        <v>0.48425549324072992</v>
      </c>
      <c r="F129" s="520">
        <v>1.1214955549145493</v>
      </c>
      <c r="G129" s="520">
        <v>1.6001045703025454E-3</v>
      </c>
      <c r="H129" s="520">
        <v>4.7521839466258715E-2</v>
      </c>
      <c r="I129" s="523">
        <v>152.23990303023922</v>
      </c>
      <c r="J129" s="522">
        <v>1.2226791839880093E-2</v>
      </c>
    </row>
    <row r="130" spans="2:10" x14ac:dyDescent="0.2">
      <c r="B130" s="514" t="s">
        <v>538</v>
      </c>
      <c r="C130" s="515">
        <v>50</v>
      </c>
      <c r="D130" s="164">
        <v>0.10902867086266368</v>
      </c>
      <c r="E130" s="164">
        <v>0.35005560376155698</v>
      </c>
      <c r="F130" s="164">
        <v>0.28874154639831001</v>
      </c>
      <c r="G130" s="164">
        <v>3.9215009712393592E-4</v>
      </c>
      <c r="H130" s="164">
        <v>2.6504836452941695E-2</v>
      </c>
      <c r="I130" s="516">
        <v>30.334560817045844</v>
      </c>
      <c r="J130" s="517">
        <v>9.8374830194144884E-3</v>
      </c>
    </row>
    <row r="131" spans="2:10" x14ac:dyDescent="0.2">
      <c r="B131" s="514"/>
      <c r="C131" s="515">
        <v>120</v>
      </c>
      <c r="D131" s="164">
        <v>9.5870497471746932E-2</v>
      </c>
      <c r="E131" s="164">
        <v>0.42714670284757772</v>
      </c>
      <c r="F131" s="164">
        <v>0.57267038140652515</v>
      </c>
      <c r="G131" s="164">
        <v>7.1167999418571585E-4</v>
      </c>
      <c r="H131" s="164">
        <v>5.0868368782153603E-2</v>
      </c>
      <c r="I131" s="516">
        <v>60.669139209146415</v>
      </c>
      <c r="J131" s="517">
        <v>8.650242185479837E-3</v>
      </c>
    </row>
    <row r="132" spans="2:10" x14ac:dyDescent="0.2">
      <c r="B132" s="514"/>
      <c r="C132" s="515">
        <v>175</v>
      </c>
      <c r="D132" s="164">
        <v>0.1364597614330347</v>
      </c>
      <c r="E132" s="164">
        <v>0.72008405875128834</v>
      </c>
      <c r="F132" s="164">
        <v>0.99971931249403012</v>
      </c>
      <c r="G132" s="164">
        <v>1.3735880558659783E-3</v>
      </c>
      <c r="H132" s="164">
        <v>5.6703096032501177E-2</v>
      </c>
      <c r="I132" s="163">
        <v>122.07810139149713</v>
      </c>
      <c r="J132" s="517">
        <v>1.2312544993116972E-2</v>
      </c>
    </row>
    <row r="133" spans="2:10" x14ac:dyDescent="0.2">
      <c r="B133" s="514"/>
      <c r="C133" s="515">
        <v>250</v>
      </c>
      <c r="D133" s="164">
        <v>0.11091292537170873</v>
      </c>
      <c r="E133" s="164">
        <v>0.32112450688869637</v>
      </c>
      <c r="F133" s="164">
        <v>1.0482519074210328</v>
      </c>
      <c r="G133" s="164">
        <v>1.6316561389039771E-3</v>
      </c>
      <c r="H133" s="164">
        <v>3.3234207978376402E-2</v>
      </c>
      <c r="I133" s="163">
        <v>145.01401471229067</v>
      </c>
      <c r="J133" s="517">
        <v>1.0007495131284759E-2</v>
      </c>
    </row>
    <row r="134" spans="2:10" x14ac:dyDescent="0.2">
      <c r="B134" s="514"/>
      <c r="C134" s="515">
        <v>500</v>
      </c>
      <c r="D134" s="164">
        <v>0.13757285960686971</v>
      </c>
      <c r="E134" s="164">
        <v>0.41824733445932943</v>
      </c>
      <c r="F134" s="164">
        <v>1.2042183596354588</v>
      </c>
      <c r="G134" s="164">
        <v>1.8808684710928563E-3</v>
      </c>
      <c r="H134" s="164">
        <v>4.0926013948968915E-2</v>
      </c>
      <c r="I134" s="163">
        <v>191.62567693094522</v>
      </c>
      <c r="J134" s="517">
        <v>1.2412975259434536E-2</v>
      </c>
    </row>
    <row r="135" spans="2:10" x14ac:dyDescent="0.2">
      <c r="B135" s="514"/>
      <c r="C135" s="515">
        <v>9999</v>
      </c>
      <c r="D135" s="164">
        <v>0.61895599556690095</v>
      </c>
      <c r="E135" s="164">
        <v>1.8526980885304114</v>
      </c>
      <c r="F135" s="164">
        <v>6.9409871463499941</v>
      </c>
      <c r="G135" s="164">
        <v>7.2765630481634843E-3</v>
      </c>
      <c r="H135" s="164">
        <v>0.19947870856021838</v>
      </c>
      <c r="I135" s="163">
        <v>741.34705942647656</v>
      </c>
      <c r="J135" s="517">
        <v>5.5847401367107419E-2</v>
      </c>
    </row>
    <row r="136" spans="2:10" x14ac:dyDescent="0.2">
      <c r="B136" s="518" t="s">
        <v>539</v>
      </c>
      <c r="C136" s="519"/>
      <c r="D136" s="520">
        <v>0.12891333686046319</v>
      </c>
      <c r="E136" s="520">
        <v>0.46976121213221589</v>
      </c>
      <c r="F136" s="520">
        <v>1.0967134881732044</v>
      </c>
      <c r="G136" s="520">
        <v>1.5432203844848778E-3</v>
      </c>
      <c r="H136" s="520">
        <v>4.6013646298462357E-2</v>
      </c>
      <c r="I136" s="523">
        <v>141.19407836864306</v>
      </c>
      <c r="J136" s="522">
        <v>1.1631643211870867E-2</v>
      </c>
    </row>
    <row r="137" spans="2:10" x14ac:dyDescent="0.2">
      <c r="B137" s="514" t="s">
        <v>540</v>
      </c>
      <c r="C137" s="515">
        <v>25</v>
      </c>
      <c r="D137" s="164">
        <v>2.337438526949312E-2</v>
      </c>
      <c r="E137" s="164">
        <v>7.8014507663670296E-2</v>
      </c>
      <c r="F137" s="164">
        <v>0.14577681137245233</v>
      </c>
      <c r="G137" s="164">
        <v>2.3675630586552781E-4</v>
      </c>
      <c r="H137" s="164">
        <v>6.5556829765742357E-3</v>
      </c>
      <c r="I137" s="516">
        <v>18.659706163675622</v>
      </c>
      <c r="J137" s="517">
        <v>2.1090330931904096E-3</v>
      </c>
    </row>
    <row r="138" spans="2:10" x14ac:dyDescent="0.2">
      <c r="B138" s="514"/>
      <c r="C138" s="515">
        <v>50</v>
      </c>
      <c r="D138" s="164">
        <v>0.11976973614430202</v>
      </c>
      <c r="E138" s="164">
        <v>0.34207037075367125</v>
      </c>
      <c r="F138" s="164">
        <v>0.27754081076507353</v>
      </c>
      <c r="G138" s="164">
        <v>3.6183511963119039E-4</v>
      </c>
      <c r="H138" s="164">
        <v>2.705925228725236E-2</v>
      </c>
      <c r="I138" s="516">
        <v>27.989560895239066</v>
      </c>
      <c r="J138" s="517">
        <v>1.0806631851178793E-2</v>
      </c>
    </row>
    <row r="139" spans="2:10" x14ac:dyDescent="0.2">
      <c r="B139" s="514"/>
      <c r="C139" s="515">
        <v>120</v>
      </c>
      <c r="D139" s="164">
        <v>0.12354664276797003</v>
      </c>
      <c r="E139" s="164">
        <v>0.49686160927993261</v>
      </c>
      <c r="F139" s="164">
        <v>0.74773278785094488</v>
      </c>
      <c r="G139" s="164">
        <v>8.1170910051320212E-4</v>
      </c>
      <c r="H139" s="164">
        <v>6.3629552738081241E-2</v>
      </c>
      <c r="I139" s="516">
        <v>69.196396740315521</v>
      </c>
      <c r="J139" s="517">
        <v>1.1147414120219371E-2</v>
      </c>
    </row>
    <row r="140" spans="2:10" x14ac:dyDescent="0.2">
      <c r="B140" s="514"/>
      <c r="C140" s="515">
        <v>175</v>
      </c>
      <c r="D140" s="164">
        <v>0.16082342448405793</v>
      </c>
      <c r="E140" s="164">
        <v>0.7707422256987666</v>
      </c>
      <c r="F140" s="164">
        <v>1.215502836115159</v>
      </c>
      <c r="G140" s="164">
        <v>1.4434322548347246E-3</v>
      </c>
      <c r="H140" s="164">
        <v>6.7255398721373802E-2</v>
      </c>
      <c r="I140" s="163">
        <v>128.28551656499764</v>
      </c>
      <c r="J140" s="517">
        <v>1.4510837508993136E-2</v>
      </c>
    </row>
    <row r="141" spans="2:10" x14ac:dyDescent="0.2">
      <c r="B141" s="514"/>
      <c r="C141" s="515">
        <v>250</v>
      </c>
      <c r="D141" s="164">
        <v>0.18580922417257895</v>
      </c>
      <c r="E141" s="164">
        <v>0.55847079795172894</v>
      </c>
      <c r="F141" s="164">
        <v>1.6746975598494973</v>
      </c>
      <c r="G141" s="164">
        <v>2.1870177528360325E-3</v>
      </c>
      <c r="H141" s="164">
        <v>6.4001194201434672E-2</v>
      </c>
      <c r="I141" s="163">
        <v>194.37194465621815</v>
      </c>
      <c r="J141" s="517">
        <v>1.6765272867601818E-2</v>
      </c>
    </row>
    <row r="142" spans="2:10" x14ac:dyDescent="0.2">
      <c r="B142" s="514"/>
      <c r="C142" s="515">
        <v>500</v>
      </c>
      <c r="D142" s="164">
        <v>0.2058560353312795</v>
      </c>
      <c r="E142" s="164">
        <v>0.81125566015592154</v>
      </c>
      <c r="F142" s="164">
        <v>1.8096523581141206</v>
      </c>
      <c r="G142" s="164">
        <v>2.2893896023874296E-3</v>
      </c>
      <c r="H142" s="164">
        <v>6.9665528350486547E-2</v>
      </c>
      <c r="I142" s="163">
        <v>233.24640179472493</v>
      </c>
      <c r="J142" s="517">
        <v>1.8574056808364416E-2</v>
      </c>
    </row>
    <row r="143" spans="2:10" x14ac:dyDescent="0.2">
      <c r="B143" s="518" t="s">
        <v>541</v>
      </c>
      <c r="C143" s="519"/>
      <c r="D143" s="520">
        <v>0.13474337100402431</v>
      </c>
      <c r="E143" s="520">
        <v>0.52026384358916899</v>
      </c>
      <c r="F143" s="520">
        <v>0.76074435997037282</v>
      </c>
      <c r="G143" s="520">
        <v>8.9492906174616443E-4</v>
      </c>
      <c r="H143" s="520">
        <v>5.2591299524716889E-2</v>
      </c>
      <c r="I143" s="521">
        <v>77.933688135725077</v>
      </c>
      <c r="J143" s="522">
        <v>1.2157677504408866E-2</v>
      </c>
    </row>
    <row r="144" spans="2:10" x14ac:dyDescent="0.2">
      <c r="B144" s="514" t="s">
        <v>542</v>
      </c>
      <c r="C144" s="515">
        <v>25</v>
      </c>
      <c r="D144" s="164">
        <v>1.5237694122971379E-2</v>
      </c>
      <c r="E144" s="164">
        <v>5.1995947627079715E-2</v>
      </c>
      <c r="F144" s="164">
        <v>9.6316831945953044E-2</v>
      </c>
      <c r="G144" s="164">
        <v>1.6022418734627802E-4</v>
      </c>
      <c r="H144" s="164">
        <v>3.6909025094627314E-3</v>
      </c>
      <c r="I144" s="516">
        <v>12.627902914713443</v>
      </c>
      <c r="J144" s="517">
        <v>1.3748727006949158E-3</v>
      </c>
    </row>
    <row r="145" spans="2:10" x14ac:dyDescent="0.2">
      <c r="B145" s="514"/>
      <c r="C145" s="515">
        <v>50</v>
      </c>
      <c r="D145" s="164">
        <v>0.10229005730674312</v>
      </c>
      <c r="E145" s="164">
        <v>0.29005009607668908</v>
      </c>
      <c r="F145" s="164">
        <v>0.23669481994503436</v>
      </c>
      <c r="G145" s="164">
        <v>3.093106618529516E-4</v>
      </c>
      <c r="H145" s="164">
        <v>2.3135785445409018E-2</v>
      </c>
      <c r="I145" s="516">
        <v>23.926554884273557</v>
      </c>
      <c r="J145" s="517">
        <v>9.2294673589317384E-3</v>
      </c>
    </row>
    <row r="146" spans="2:10" x14ac:dyDescent="0.2">
      <c r="B146" s="514"/>
      <c r="C146" s="515">
        <v>120</v>
      </c>
      <c r="D146" s="164">
        <v>9.6878720821570966E-2</v>
      </c>
      <c r="E146" s="164">
        <v>0.38912776172514435</v>
      </c>
      <c r="F146" s="164">
        <v>0.58740490595044859</v>
      </c>
      <c r="G146" s="164">
        <v>6.3930572383665419E-4</v>
      </c>
      <c r="H146" s="164">
        <v>5.0260655192000195E-2</v>
      </c>
      <c r="I146" s="516">
        <v>54.49938047051117</v>
      </c>
      <c r="J146" s="517">
        <v>8.7412099797587687E-3</v>
      </c>
    </row>
    <row r="147" spans="2:10" x14ac:dyDescent="0.2">
      <c r="B147" s="514"/>
      <c r="C147" s="515">
        <v>175</v>
      </c>
      <c r="D147" s="164">
        <v>0.12544925076277835</v>
      </c>
      <c r="E147" s="164">
        <v>0.60249440252268283</v>
      </c>
      <c r="F147" s="164">
        <v>0.95493137170380815</v>
      </c>
      <c r="G147" s="164">
        <v>1.1366844841842717E-3</v>
      </c>
      <c r="H147" s="164">
        <v>5.2794941636391257E-2</v>
      </c>
      <c r="I147" s="163">
        <v>101.02322014031299</v>
      </c>
      <c r="J147" s="517">
        <v>1.1319085558661171E-2</v>
      </c>
    </row>
    <row r="148" spans="2:10" x14ac:dyDescent="0.2">
      <c r="B148" s="514"/>
      <c r="C148" s="515">
        <v>250</v>
      </c>
      <c r="D148" s="164">
        <v>0.11400725679057783</v>
      </c>
      <c r="E148" s="164">
        <v>0.34413036030250765</v>
      </c>
      <c r="F148" s="164">
        <v>1.049830492738087</v>
      </c>
      <c r="G148" s="164">
        <v>1.3759867448257419E-3</v>
      </c>
      <c r="H148" s="164">
        <v>3.9380928318737671E-2</v>
      </c>
      <c r="I148" s="163">
        <v>122.29127152933565</v>
      </c>
      <c r="J148" s="517">
        <v>1.0286693904298583E-2</v>
      </c>
    </row>
    <row r="149" spans="2:10" x14ac:dyDescent="0.2">
      <c r="B149" s="518" t="s">
        <v>543</v>
      </c>
      <c r="C149" s="519"/>
      <c r="D149" s="520">
        <v>0.1022583180581365</v>
      </c>
      <c r="E149" s="520">
        <v>0.42336257247014908</v>
      </c>
      <c r="F149" s="520">
        <v>0.68420852078851069</v>
      </c>
      <c r="G149" s="520">
        <v>7.9302309682016399E-4</v>
      </c>
      <c r="H149" s="520">
        <v>4.6883254754061049E-2</v>
      </c>
      <c r="I149" s="521">
        <v>68.941596221262728</v>
      </c>
      <c r="J149" s="522">
        <v>9.2266034696695635E-3</v>
      </c>
    </row>
    <row r="150" spans="2:10" x14ac:dyDescent="0.2">
      <c r="B150" s="514" t="s">
        <v>544</v>
      </c>
      <c r="C150" s="515">
        <v>15</v>
      </c>
      <c r="D150" s="164">
        <v>5.0214947570822689E-3</v>
      </c>
      <c r="E150" s="164">
        <v>2.6339784948433621E-2</v>
      </c>
      <c r="F150" s="164">
        <v>3.1446511835132931E-2</v>
      </c>
      <c r="G150" s="164">
        <v>6.7126583885420544E-5</v>
      </c>
      <c r="H150" s="164">
        <v>1.2245491949559983E-3</v>
      </c>
      <c r="I150" s="516">
        <v>4.3138033395892617</v>
      </c>
      <c r="J150" s="517">
        <v>4.5308141178438863E-4</v>
      </c>
    </row>
    <row r="151" spans="2:10" x14ac:dyDescent="0.2">
      <c r="B151" s="518" t="s">
        <v>545</v>
      </c>
      <c r="C151" s="519"/>
      <c r="D151" s="520">
        <v>5.0214947570822689E-3</v>
      </c>
      <c r="E151" s="520">
        <v>2.6339784948433621E-2</v>
      </c>
      <c r="F151" s="520">
        <v>3.1446511835132931E-2</v>
      </c>
      <c r="G151" s="520">
        <v>6.7126583885420544E-5</v>
      </c>
      <c r="H151" s="520">
        <v>1.2245491949559983E-3</v>
      </c>
      <c r="I151" s="521">
        <v>4.3138033395892617</v>
      </c>
      <c r="J151" s="522">
        <v>4.5308141178438863E-4</v>
      </c>
    </row>
    <row r="152" spans="2:10" x14ac:dyDescent="0.2">
      <c r="B152" s="514" t="s">
        <v>546</v>
      </c>
      <c r="C152" s="515">
        <v>15</v>
      </c>
      <c r="D152" s="164">
        <v>6.4725033756528908E-3</v>
      </c>
      <c r="E152" s="164">
        <v>3.1542809015261443E-2</v>
      </c>
      <c r="F152" s="164">
        <v>4.4498650919379157E-2</v>
      </c>
      <c r="G152" s="164">
        <v>7.6102831144550832E-5</v>
      </c>
      <c r="H152" s="164">
        <v>2.4372096487510755E-3</v>
      </c>
      <c r="I152" s="516">
        <v>4.8906490354621681</v>
      </c>
      <c r="J152" s="517">
        <v>5.8400352718953751E-4</v>
      </c>
    </row>
    <row r="153" spans="2:10" x14ac:dyDescent="0.2">
      <c r="B153" s="514"/>
      <c r="C153" s="515">
        <v>25</v>
      </c>
      <c r="D153" s="164">
        <v>1.0026205834470264E-2</v>
      </c>
      <c r="E153" s="164">
        <v>3.3702663239305292E-2</v>
      </c>
      <c r="F153" s="164">
        <v>6.1692973499394302E-2</v>
      </c>
      <c r="G153" s="164">
        <v>9.0692942716401678E-5</v>
      </c>
      <c r="H153" s="164">
        <v>3.2568806293209094E-3</v>
      </c>
      <c r="I153" s="516">
        <v>7.1478715205048529</v>
      </c>
      <c r="J153" s="517">
        <v>9.0464836971843629E-4</v>
      </c>
    </row>
    <row r="154" spans="2:10" x14ac:dyDescent="0.2">
      <c r="B154" s="514"/>
      <c r="C154" s="515">
        <v>50</v>
      </c>
      <c r="D154" s="164">
        <v>2.5085074309952597E-2</v>
      </c>
      <c r="E154" s="164">
        <v>9.703779647545914E-2</v>
      </c>
      <c r="F154" s="164">
        <v>0.11828545562532174</v>
      </c>
      <c r="G154" s="164">
        <v>1.8480831275291464E-4</v>
      </c>
      <c r="H154" s="164">
        <v>7.6561080113574055E-3</v>
      </c>
      <c r="I154" s="516">
        <v>14.29574448327921</v>
      </c>
      <c r="J154" s="517">
        <v>2.263386849677038E-3</v>
      </c>
    </row>
    <row r="155" spans="2:10" x14ac:dyDescent="0.2">
      <c r="B155" s="514"/>
      <c r="C155" s="515">
        <v>120</v>
      </c>
      <c r="D155" s="164">
        <v>2.4490199925759109E-2</v>
      </c>
      <c r="E155" s="164">
        <v>0.14161488414329146</v>
      </c>
      <c r="F155" s="164">
        <v>0.19465231027221511</v>
      </c>
      <c r="G155" s="164">
        <v>2.8243603037366068E-4</v>
      </c>
      <c r="H155" s="164">
        <v>1.2800326296837531E-2</v>
      </c>
      <c r="I155" s="516">
        <v>24.07703624313336</v>
      </c>
      <c r="J155" s="517">
        <v>2.2097113705722734E-3</v>
      </c>
    </row>
    <row r="156" spans="2:10" x14ac:dyDescent="0.2">
      <c r="B156" s="518" t="s">
        <v>547</v>
      </c>
      <c r="C156" s="519"/>
      <c r="D156" s="520">
        <v>1.3292773216267656E-2</v>
      </c>
      <c r="E156" s="520">
        <v>5.8983233561514394E-2</v>
      </c>
      <c r="F156" s="520">
        <v>7.9881492185948089E-2</v>
      </c>
      <c r="G156" s="520">
        <v>1.2539799463651759E-4</v>
      </c>
      <c r="H156" s="520">
        <v>4.8648098444308788E-3</v>
      </c>
      <c r="I156" s="521">
        <v>9.4135481274304365</v>
      </c>
      <c r="J156" s="522">
        <v>1.1993857507045455E-3</v>
      </c>
    </row>
    <row r="157" spans="2:10" x14ac:dyDescent="0.2">
      <c r="B157" s="514" t="s">
        <v>548</v>
      </c>
      <c r="C157" s="515">
        <v>15</v>
      </c>
      <c r="D157" s="164">
        <v>1.1063838592923815E-2</v>
      </c>
      <c r="E157" s="164">
        <v>4.7880366341465565E-2</v>
      </c>
      <c r="F157" s="164">
        <v>6.8292388097493148E-2</v>
      </c>
      <c r="G157" s="164">
        <v>1.1552016856300976E-4</v>
      </c>
      <c r="H157" s="164">
        <v>4.1158651321739018E-3</v>
      </c>
      <c r="I157" s="516">
        <v>7.4237540054819799</v>
      </c>
      <c r="J157" s="517">
        <v>9.9827246816872202E-4</v>
      </c>
    </row>
    <row r="158" spans="2:10" x14ac:dyDescent="0.2">
      <c r="B158" s="514"/>
      <c r="C158" s="515">
        <v>25</v>
      </c>
      <c r="D158" s="164">
        <v>3.0926280661063146E-2</v>
      </c>
      <c r="E158" s="164">
        <v>9.1884087430463932E-2</v>
      </c>
      <c r="F158" s="164">
        <v>0.16819456277928979</v>
      </c>
      <c r="G158" s="164">
        <v>2.4725753210570246E-4</v>
      </c>
      <c r="H158" s="164">
        <v>9.362149736685952E-3</v>
      </c>
      <c r="I158" s="516">
        <v>19.487353775804028</v>
      </c>
      <c r="J158" s="517">
        <v>2.7904288435602071E-3</v>
      </c>
    </row>
    <row r="159" spans="2:10" x14ac:dyDescent="0.2">
      <c r="B159" s="514"/>
      <c r="C159" s="515">
        <v>50</v>
      </c>
      <c r="D159" s="164">
        <v>8.5473170367490775E-2</v>
      </c>
      <c r="E159" s="164">
        <v>0.29095168458129061</v>
      </c>
      <c r="F159" s="164">
        <v>0.29819597031889822</v>
      </c>
      <c r="G159" s="164">
        <v>4.4386407581397622E-4</v>
      </c>
      <c r="H159" s="164">
        <v>2.2796788550839296E-2</v>
      </c>
      <c r="I159" s="516">
        <v>34.334857148275347</v>
      </c>
      <c r="J159" s="517">
        <v>7.712103958919957E-3</v>
      </c>
    </row>
    <row r="160" spans="2:10" x14ac:dyDescent="0.2">
      <c r="B160" s="514"/>
      <c r="C160" s="515">
        <v>120</v>
      </c>
      <c r="D160" s="164">
        <v>9.4877377344153219E-2</v>
      </c>
      <c r="E160" s="164">
        <v>0.48865593058614498</v>
      </c>
      <c r="F160" s="164">
        <v>0.67100942123609231</v>
      </c>
      <c r="G160" s="164">
        <v>9.1438679987633433E-4</v>
      </c>
      <c r="H160" s="164">
        <v>5.0751168266952883E-2</v>
      </c>
      <c r="I160" s="516">
        <v>77.949423263153733</v>
      </c>
      <c r="J160" s="517">
        <v>8.5606313277255437E-3</v>
      </c>
    </row>
    <row r="161" spans="2:10" x14ac:dyDescent="0.2">
      <c r="B161" s="514"/>
      <c r="C161" s="515">
        <v>175</v>
      </c>
      <c r="D161" s="164">
        <v>0.11579991776553743</v>
      </c>
      <c r="E161" s="164">
        <v>0.73648291722816173</v>
      </c>
      <c r="F161" s="164">
        <v>1.0488577079598436</v>
      </c>
      <c r="G161" s="164">
        <v>1.576628683134706E-3</v>
      </c>
      <c r="H161" s="164">
        <v>5.0188168085777349E-2</v>
      </c>
      <c r="I161" s="163">
        <v>140.1233890737256</v>
      </c>
      <c r="J161" s="517">
        <v>1.0448439680640128E-2</v>
      </c>
    </row>
    <row r="162" spans="2:10" x14ac:dyDescent="0.2">
      <c r="B162" s="514"/>
      <c r="C162" s="515">
        <v>250</v>
      </c>
      <c r="D162" s="164">
        <v>0.10881476824613721</v>
      </c>
      <c r="E162" s="164">
        <v>0.39981844034741276</v>
      </c>
      <c r="F162" s="164">
        <v>1.3270210849829462</v>
      </c>
      <c r="G162" s="164">
        <v>2.2657504320059015E-3</v>
      </c>
      <c r="H162" s="164">
        <v>3.7645637787575237E-2</v>
      </c>
      <c r="I162" s="163">
        <v>201.36933480022839</v>
      </c>
      <c r="J162" s="517">
        <v>9.8181835493583065E-3</v>
      </c>
    </row>
    <row r="163" spans="2:10" x14ac:dyDescent="0.2">
      <c r="B163" s="514"/>
      <c r="C163" s="515">
        <v>500</v>
      </c>
      <c r="D163" s="164">
        <v>0.16861340836693059</v>
      </c>
      <c r="E163" s="164">
        <v>0.69285232332726787</v>
      </c>
      <c r="F163" s="164">
        <v>2.0162701701910755</v>
      </c>
      <c r="G163" s="164">
        <v>3.3882961213157342E-3</v>
      </c>
      <c r="H163" s="164">
        <v>6.0324546077355719E-2</v>
      </c>
      <c r="I163" s="163">
        <v>345.20456501888782</v>
      </c>
      <c r="J163" s="517">
        <v>1.5213720617078879E-2</v>
      </c>
    </row>
    <row r="164" spans="2:10" x14ac:dyDescent="0.2">
      <c r="B164" s="514"/>
      <c r="C164" s="515">
        <v>750</v>
      </c>
      <c r="D164" s="164">
        <v>0.28716117181907463</v>
      </c>
      <c r="E164" s="164">
        <v>1.1454407898393104</v>
      </c>
      <c r="F164" s="164">
        <v>3.4529133749533467</v>
      </c>
      <c r="G164" s="164">
        <v>5.7382415473263091E-3</v>
      </c>
      <c r="H164" s="164">
        <v>0.10182077787805974</v>
      </c>
      <c r="I164" s="163">
        <v>570.70107544721736</v>
      </c>
      <c r="J164" s="517">
        <v>2.5910094523223921E-2</v>
      </c>
    </row>
    <row r="165" spans="2:10" x14ac:dyDescent="0.2">
      <c r="B165" s="514"/>
      <c r="C165" s="515">
        <v>9999</v>
      </c>
      <c r="D165" s="164">
        <v>0.87730746878552324</v>
      </c>
      <c r="E165" s="164">
        <v>3.1134111701599521</v>
      </c>
      <c r="F165" s="164">
        <v>11.738704422992635</v>
      </c>
      <c r="G165" s="164">
        <v>1.3622491999928897E-2</v>
      </c>
      <c r="H165" s="164">
        <v>0.30718598848346945</v>
      </c>
      <c r="I165" s="524">
        <v>1354.8349971938276</v>
      </c>
      <c r="J165" s="517">
        <v>7.9158034336974048E-2</v>
      </c>
    </row>
    <row r="166" spans="2:10" x14ac:dyDescent="0.2">
      <c r="B166" s="518" t="s">
        <v>549</v>
      </c>
      <c r="C166" s="519"/>
      <c r="D166" s="520">
        <v>6.2053038579552924E-2</v>
      </c>
      <c r="E166" s="520">
        <v>0.28249391836836718</v>
      </c>
      <c r="F166" s="520">
        <v>0.41212148605249266</v>
      </c>
      <c r="G166" s="520">
        <v>5.9045672794015699E-4</v>
      </c>
      <c r="H166" s="520">
        <v>2.6671497207598441E-2</v>
      </c>
      <c r="I166" s="521">
        <v>49.606655687359456</v>
      </c>
      <c r="J166" s="522">
        <v>5.5989448632212451E-3</v>
      </c>
    </row>
    <row r="167" spans="2:10" x14ac:dyDescent="0.2">
      <c r="B167" s="514" t="s">
        <v>550</v>
      </c>
      <c r="C167" s="515">
        <v>15</v>
      </c>
      <c r="D167" s="164">
        <v>7.3570725412603778E-3</v>
      </c>
      <c r="E167" s="164">
        <v>3.8590846887421169E-2</v>
      </c>
      <c r="F167" s="164">
        <v>4.6072797197899938E-2</v>
      </c>
      <c r="G167" s="164">
        <v>9.8348268567172951E-5</v>
      </c>
      <c r="H167" s="164">
        <v>1.7992771104598881E-3</v>
      </c>
      <c r="I167" s="516">
        <v>6.3202227626683518</v>
      </c>
      <c r="J167" s="517">
        <v>6.6381684351179244E-4</v>
      </c>
    </row>
    <row r="168" spans="2:10" x14ac:dyDescent="0.2">
      <c r="B168" s="514"/>
      <c r="C168" s="515">
        <v>25</v>
      </c>
      <c r="D168" s="164">
        <v>1.6100199551312519E-2</v>
      </c>
      <c r="E168" s="164">
        <v>5.4939110628656196E-2</v>
      </c>
      <c r="F168" s="164">
        <v>0.10176873253599905</v>
      </c>
      <c r="G168" s="164">
        <v>1.6929347995179507E-4</v>
      </c>
      <c r="H168" s="164">
        <v>3.8998209097376598E-3</v>
      </c>
      <c r="I168" s="516">
        <v>13.342691588996008</v>
      </c>
      <c r="J168" s="517">
        <v>1.4526954129038803E-3</v>
      </c>
    </row>
    <row r="169" spans="2:10" x14ac:dyDescent="0.2">
      <c r="B169" s="514"/>
      <c r="C169" s="515">
        <v>50</v>
      </c>
      <c r="D169" s="164">
        <v>8.7100941841347215E-2</v>
      </c>
      <c r="E169" s="164">
        <v>0.27537865491717284</v>
      </c>
      <c r="F169" s="164">
        <v>0.24053037613489275</v>
      </c>
      <c r="G169" s="164">
        <v>3.358970629875268E-4</v>
      </c>
      <c r="H169" s="164">
        <v>2.0864103564731309E-2</v>
      </c>
      <c r="I169" s="516">
        <v>25.983133626912679</v>
      </c>
      <c r="J169" s="517">
        <v>7.8589793008357195E-3</v>
      </c>
    </row>
    <row r="170" spans="2:10" x14ac:dyDescent="0.2">
      <c r="B170" s="514"/>
      <c r="C170" s="515">
        <v>120</v>
      </c>
      <c r="D170" s="164">
        <v>8.5684755738411583E-2</v>
      </c>
      <c r="E170" s="164">
        <v>0.39995247408170775</v>
      </c>
      <c r="F170" s="164">
        <v>0.54975951667441936</v>
      </c>
      <c r="G170" s="164">
        <v>6.9196818704040123E-4</v>
      </c>
      <c r="H170" s="164">
        <v>4.5441133887527657E-2</v>
      </c>
      <c r="I170" s="516">
        <v>58.988749450588159</v>
      </c>
      <c r="J170" s="517">
        <v>7.7311979659905822E-3</v>
      </c>
    </row>
    <row r="171" spans="2:10" x14ac:dyDescent="0.2">
      <c r="B171" s="514"/>
      <c r="C171" s="515">
        <v>175</v>
      </c>
      <c r="D171" s="164">
        <v>0.11038771239800733</v>
      </c>
      <c r="E171" s="164">
        <v>0.61658823784252359</v>
      </c>
      <c r="F171" s="164">
        <v>0.87311424109569691</v>
      </c>
      <c r="G171" s="164">
        <v>1.2168285544951417E-3</v>
      </c>
      <c r="H171" s="164">
        <v>4.7034672200366771E-2</v>
      </c>
      <c r="I171" s="163">
        <v>108.14602275411418</v>
      </c>
      <c r="J171" s="517">
        <v>9.9601077925963316E-3</v>
      </c>
    </row>
    <row r="172" spans="2:10" x14ac:dyDescent="0.2">
      <c r="B172" s="514"/>
      <c r="C172" s="515">
        <v>250</v>
      </c>
      <c r="D172" s="164">
        <v>0.11066058167204838</v>
      </c>
      <c r="E172" s="164">
        <v>0.357512171951539</v>
      </c>
      <c r="F172" s="164">
        <v>1.0947831674448847</v>
      </c>
      <c r="G172" s="164">
        <v>1.7225234988951081E-3</v>
      </c>
      <c r="H172" s="164">
        <v>3.6815646848800836E-2</v>
      </c>
      <c r="I172" s="163">
        <v>153.0897857268109</v>
      </c>
      <c r="J172" s="517">
        <v>9.9847277011502044E-3</v>
      </c>
    </row>
    <row r="173" spans="2:10" x14ac:dyDescent="0.2">
      <c r="B173" s="514"/>
      <c r="C173" s="515">
        <v>500</v>
      </c>
      <c r="D173" s="164">
        <v>0.1467683892221566</v>
      </c>
      <c r="E173" s="164">
        <v>0.55946071230643502</v>
      </c>
      <c r="F173" s="164">
        <v>1.3955861695809026</v>
      </c>
      <c r="G173" s="164">
        <v>2.1505481696449547E-3</v>
      </c>
      <c r="H173" s="164">
        <v>4.8715930259957824E-2</v>
      </c>
      <c r="I173" s="163">
        <v>219.10101377992063</v>
      </c>
      <c r="J173" s="517">
        <v>1.3242676888767768E-2</v>
      </c>
    </row>
    <row r="174" spans="2:10" x14ac:dyDescent="0.2">
      <c r="B174" s="518" t="s">
        <v>551</v>
      </c>
      <c r="C174" s="519"/>
      <c r="D174" s="520">
        <v>8.5060460456736861E-2</v>
      </c>
      <c r="E174" s="520">
        <v>0.39789710418349095</v>
      </c>
      <c r="F174" s="520">
        <v>0.57058846688493059</v>
      </c>
      <c r="G174" s="520">
        <v>7.6967957502202978E-4</v>
      </c>
      <c r="H174" s="520">
        <v>3.8574123797467511E-2</v>
      </c>
      <c r="I174" s="521">
        <v>67.050380765266112</v>
      </c>
      <c r="J174" s="522">
        <v>7.6748693346846949E-3</v>
      </c>
    </row>
    <row r="175" spans="2:10" x14ac:dyDescent="0.2">
      <c r="B175" s="514" t="s">
        <v>164</v>
      </c>
      <c r="C175" s="515">
        <v>50</v>
      </c>
      <c r="D175" s="164">
        <v>9.4242071596235974E-2</v>
      </c>
      <c r="E175" s="164">
        <v>0.35512110502253497</v>
      </c>
      <c r="F175" s="164">
        <v>0.30656440341694968</v>
      </c>
      <c r="G175" s="164">
        <v>4.3770378462651757E-4</v>
      </c>
      <c r="H175" s="164">
        <v>2.4302829417671604E-2</v>
      </c>
      <c r="I175" s="516">
        <v>33.858331828384109</v>
      </c>
      <c r="J175" s="517">
        <v>8.5033119919446683E-3</v>
      </c>
    </row>
    <row r="176" spans="2:10" x14ac:dyDescent="0.2">
      <c r="B176" s="514"/>
      <c r="C176" s="515">
        <v>120</v>
      </c>
      <c r="D176" s="164">
        <v>8.0077389164351684E-2</v>
      </c>
      <c r="E176" s="164">
        <v>0.42599409655807768</v>
      </c>
      <c r="F176" s="164">
        <v>0.51638912862024722</v>
      </c>
      <c r="G176" s="164">
        <v>7.3256839261298266E-4</v>
      </c>
      <c r="H176" s="164">
        <v>4.2042777789733025E-2</v>
      </c>
      <c r="I176" s="516">
        <v>62.449821891248128</v>
      </c>
      <c r="J176" s="517">
        <v>7.2252559786614269E-3</v>
      </c>
    </row>
    <row r="177" spans="2:10" x14ac:dyDescent="0.2">
      <c r="B177" s="514"/>
      <c r="C177" s="515">
        <v>175</v>
      </c>
      <c r="D177" s="164">
        <v>0.11712159663083116</v>
      </c>
      <c r="E177" s="164">
        <v>0.72404534051298575</v>
      </c>
      <c r="F177" s="164">
        <v>0.87464852522407865</v>
      </c>
      <c r="G177" s="164">
        <v>1.4053352503195088E-3</v>
      </c>
      <c r="H177" s="164">
        <v>4.7719458857983899E-2</v>
      </c>
      <c r="I177" s="163">
        <v>124.899643844594</v>
      </c>
      <c r="J177" s="517">
        <v>1.0567692952302706E-2</v>
      </c>
    </row>
    <row r="178" spans="2:10" x14ac:dyDescent="0.2">
      <c r="B178" s="514"/>
      <c r="C178" s="515">
        <v>250</v>
      </c>
      <c r="D178" s="164">
        <v>0.11682997373561009</v>
      </c>
      <c r="E178" s="164">
        <v>0.36497212028051473</v>
      </c>
      <c r="F178" s="164">
        <v>1.0385414755938709</v>
      </c>
      <c r="G178" s="164">
        <v>1.9217538838910294E-3</v>
      </c>
      <c r="H178" s="164">
        <v>3.3827044716151104E-2</v>
      </c>
      <c r="I178" s="163">
        <v>170.79652191325471</v>
      </c>
      <c r="J178" s="517">
        <v>1.054137705305298E-2</v>
      </c>
    </row>
    <row r="179" spans="2:10" x14ac:dyDescent="0.2">
      <c r="B179" s="514"/>
      <c r="C179" s="515">
        <v>500</v>
      </c>
      <c r="D179" s="164">
        <v>0.1667630645885636</v>
      </c>
      <c r="E179" s="164">
        <v>0.53371710600792321</v>
      </c>
      <c r="F179" s="164">
        <v>1.3641646876217106</v>
      </c>
      <c r="G179" s="164">
        <v>2.5183271161540394E-3</v>
      </c>
      <c r="H179" s="164">
        <v>4.7701389662125636E-2</v>
      </c>
      <c r="I179" s="163">
        <v>256.57092260440095</v>
      </c>
      <c r="J179" s="517">
        <v>1.5046765542977176E-2</v>
      </c>
    </row>
    <row r="180" spans="2:10" x14ac:dyDescent="0.2">
      <c r="B180" s="518" t="s">
        <v>552</v>
      </c>
      <c r="C180" s="519"/>
      <c r="D180" s="520">
        <v>8.4997682144894629E-2</v>
      </c>
      <c r="E180" s="520">
        <v>0.45767133762106132</v>
      </c>
      <c r="F180" s="520">
        <v>0.55880045692460178</v>
      </c>
      <c r="G180" s="520">
        <v>8.1606496081608958E-4</v>
      </c>
      <c r="H180" s="520">
        <v>4.2322465554858787E-2</v>
      </c>
      <c r="I180" s="521">
        <v>70.28078606350401</v>
      </c>
      <c r="J180" s="522">
        <v>7.6692058074606436E-3</v>
      </c>
    </row>
    <row r="181" spans="2:10" x14ac:dyDescent="0.2">
      <c r="B181" s="514" t="s">
        <v>553</v>
      </c>
      <c r="C181" s="515">
        <v>175</v>
      </c>
      <c r="D181" s="164">
        <v>0.19422128446659245</v>
      </c>
      <c r="E181" s="164">
        <v>0.83329103694949302</v>
      </c>
      <c r="F181" s="164">
        <v>1.3944484760279279</v>
      </c>
      <c r="G181" s="164">
        <v>1.4568359177454793E-3</v>
      </c>
      <c r="H181" s="164">
        <v>7.902535610622187E-2</v>
      </c>
      <c r="I181" s="163">
        <v>129.47680474683892</v>
      </c>
      <c r="J181" s="517">
        <v>1.7524274132284464E-2</v>
      </c>
    </row>
    <row r="182" spans="2:10" x14ac:dyDescent="0.2">
      <c r="B182" s="514"/>
      <c r="C182" s="515">
        <v>250</v>
      </c>
      <c r="D182" s="164">
        <v>0.22089578448034716</v>
      </c>
      <c r="E182" s="164">
        <v>0.63042924370097908</v>
      </c>
      <c r="F182" s="164">
        <v>1.8272582374986024</v>
      </c>
      <c r="G182" s="164">
        <v>2.0645445856378865E-3</v>
      </c>
      <c r="H182" s="164">
        <v>7.6245172874691056E-2</v>
      </c>
      <c r="I182" s="163">
        <v>183.48709517424436</v>
      </c>
      <c r="J182" s="517">
        <v>1.9931073132303277E-2</v>
      </c>
    </row>
    <row r="183" spans="2:10" x14ac:dyDescent="0.2">
      <c r="B183" s="514"/>
      <c r="C183" s="515">
        <v>500</v>
      </c>
      <c r="D183" s="164">
        <v>0.29315759791753021</v>
      </c>
      <c r="E183" s="164">
        <v>1.2456296642744205</v>
      </c>
      <c r="F183" s="164">
        <v>2.3950732284381036</v>
      </c>
      <c r="G183" s="164">
        <v>2.5998102444893035E-3</v>
      </c>
      <c r="H183" s="164">
        <v>9.8518465977709344E-2</v>
      </c>
      <c r="I183" s="163">
        <v>264.8725636721183</v>
      </c>
      <c r="J183" s="517">
        <v>2.6451144743432839E-2</v>
      </c>
    </row>
    <row r="184" spans="2:10" x14ac:dyDescent="0.2">
      <c r="B184" s="514"/>
      <c r="C184" s="515">
        <v>750</v>
      </c>
      <c r="D184" s="164">
        <v>0.44230757666105369</v>
      </c>
      <c r="E184" s="164">
        <v>1.8684743426693462</v>
      </c>
      <c r="F184" s="164">
        <v>3.6711903146314429</v>
      </c>
      <c r="G184" s="164">
        <v>4.0097091879421638E-3</v>
      </c>
      <c r="H184" s="164">
        <v>0.1493736732969364</v>
      </c>
      <c r="I184" s="163">
        <v>398.78859338411439</v>
      </c>
      <c r="J184" s="517">
        <v>3.9908713565267269E-2</v>
      </c>
    </row>
    <row r="185" spans="2:10" x14ac:dyDescent="0.2">
      <c r="B185" s="514"/>
      <c r="C185" s="515">
        <v>1000</v>
      </c>
      <c r="D185" s="164">
        <v>0.68833794733920273</v>
      </c>
      <c r="E185" s="164">
        <v>3.0138774131196042</v>
      </c>
      <c r="F185" s="164">
        <v>6.8297202024287582</v>
      </c>
      <c r="G185" s="164">
        <v>5.9513299489443771E-3</v>
      </c>
      <c r="H185" s="164">
        <v>0.23105211299389614</v>
      </c>
      <c r="I185" s="163">
        <v>591.89387101430464</v>
      </c>
      <c r="J185" s="517">
        <v>6.2107625690854505E-2</v>
      </c>
    </row>
    <row r="186" spans="2:10" x14ac:dyDescent="0.2">
      <c r="B186" s="518" t="s">
        <v>554</v>
      </c>
      <c r="C186" s="519"/>
      <c r="D186" s="520">
        <v>0.27212754002409295</v>
      </c>
      <c r="E186" s="520">
        <v>1.0419887260424465</v>
      </c>
      <c r="F186" s="520">
        <v>2.2344425199686944</v>
      </c>
      <c r="G186" s="520">
        <v>2.4515847482391257E-3</v>
      </c>
      <c r="H186" s="520">
        <v>9.2433871991678851E-2</v>
      </c>
      <c r="I186" s="523">
        <v>239.09210318818063</v>
      </c>
      <c r="J186" s="522">
        <v>2.4553634951383574E-2</v>
      </c>
    </row>
    <row r="187" spans="2:10" x14ac:dyDescent="0.2">
      <c r="B187" s="514" t="s">
        <v>555</v>
      </c>
      <c r="C187" s="515">
        <v>25</v>
      </c>
      <c r="D187" s="164">
        <v>2.0423037301139906E-2</v>
      </c>
      <c r="E187" s="164">
        <v>6.9706578037102826E-2</v>
      </c>
      <c r="F187" s="164">
        <v>0.12905727336143014</v>
      </c>
      <c r="G187" s="164">
        <v>2.1479901370081406E-4</v>
      </c>
      <c r="H187" s="164">
        <v>4.8511593195733728E-3</v>
      </c>
      <c r="I187" s="516">
        <v>16.929166828131788</v>
      </c>
      <c r="J187" s="517">
        <v>1.8427380708447832E-3</v>
      </c>
    </row>
    <row r="188" spans="2:10" x14ac:dyDescent="0.2">
      <c r="B188" s="514"/>
      <c r="C188" s="515">
        <v>50</v>
      </c>
      <c r="D188" s="164">
        <v>9.9276468136564128E-2</v>
      </c>
      <c r="E188" s="164">
        <v>0.34379210505803248</v>
      </c>
      <c r="F188" s="164">
        <v>0.28883614091843124</v>
      </c>
      <c r="G188" s="164">
        <v>4.0268739596401281E-4</v>
      </c>
      <c r="H188" s="164">
        <v>2.4162245948344492E-2</v>
      </c>
      <c r="I188" s="516">
        <v>31.149664989595941</v>
      </c>
      <c r="J188" s="517">
        <v>8.9575576140328034E-3</v>
      </c>
    </row>
    <row r="189" spans="2:10" x14ac:dyDescent="0.2">
      <c r="B189" s="514"/>
      <c r="C189" s="515">
        <v>120</v>
      </c>
      <c r="D189" s="164">
        <v>8.3504486958246846E-2</v>
      </c>
      <c r="E189" s="164">
        <v>0.40897606651505103</v>
      </c>
      <c r="F189" s="164">
        <v>0.52261738770352861</v>
      </c>
      <c r="G189" s="164">
        <v>6.9108572612879135E-4</v>
      </c>
      <c r="H189" s="164">
        <v>4.3057497626182419E-2</v>
      </c>
      <c r="I189" s="516">
        <v>58.913512015277149</v>
      </c>
      <c r="J189" s="517">
        <v>7.5344751889799754E-3</v>
      </c>
    </row>
    <row r="190" spans="2:10" x14ac:dyDescent="0.2">
      <c r="B190" s="514"/>
      <c r="C190" s="515">
        <v>175</v>
      </c>
      <c r="D190" s="164">
        <v>0.10938803024892005</v>
      </c>
      <c r="E190" s="164">
        <v>0.62508759340609665</v>
      </c>
      <c r="F190" s="164">
        <v>0.80766099600144348</v>
      </c>
      <c r="G190" s="164">
        <v>1.1962281168960785E-3</v>
      </c>
      <c r="H190" s="164">
        <v>4.4470281779736297E-2</v>
      </c>
      <c r="I190" s="163">
        <v>106.3151831959664</v>
      </c>
      <c r="J190" s="517">
        <v>9.8699062489406193E-3</v>
      </c>
    </row>
    <row r="191" spans="2:10" x14ac:dyDescent="0.2">
      <c r="B191" s="514"/>
      <c r="C191" s="515">
        <v>250</v>
      </c>
      <c r="D191" s="164">
        <v>0.1118496084386869</v>
      </c>
      <c r="E191" s="164">
        <v>0.34437998349702598</v>
      </c>
      <c r="F191" s="164">
        <v>0.98902740422423208</v>
      </c>
      <c r="G191" s="164">
        <v>1.676243123421701E-3</v>
      </c>
      <c r="H191" s="164">
        <v>3.3685773612412907E-2</v>
      </c>
      <c r="I191" s="163">
        <v>148.97664453593197</v>
      </c>
      <c r="J191" s="517">
        <v>1.0092011106863865E-2</v>
      </c>
    </row>
    <row r="192" spans="2:10" x14ac:dyDescent="0.2">
      <c r="B192" s="514"/>
      <c r="C192" s="515">
        <v>500</v>
      </c>
      <c r="D192" s="164">
        <v>0.16775903868304548</v>
      </c>
      <c r="E192" s="164">
        <v>0.58178461692756789</v>
      </c>
      <c r="F192" s="164">
        <v>1.3980277280310676</v>
      </c>
      <c r="G192" s="164">
        <v>2.3263144135627733E-3</v>
      </c>
      <c r="H192" s="164">
        <v>4.9897912703434098E-2</v>
      </c>
      <c r="I192" s="163">
        <v>237.008499437501</v>
      </c>
      <c r="J192" s="517">
        <v>1.5136628535582135E-2</v>
      </c>
    </row>
    <row r="193" spans="2:10" x14ac:dyDescent="0.2">
      <c r="B193" s="514"/>
      <c r="C193" s="515">
        <v>750</v>
      </c>
      <c r="D193" s="164">
        <v>0.34589089326311373</v>
      </c>
      <c r="E193" s="164">
        <v>1.1905476214584245</v>
      </c>
      <c r="F193" s="164">
        <v>2.9534459946007803</v>
      </c>
      <c r="G193" s="164">
        <v>4.8818559494368408E-3</v>
      </c>
      <c r="H193" s="164">
        <v>0.10396041373291638</v>
      </c>
      <c r="I193" s="163">
        <v>485.52842682532935</v>
      </c>
      <c r="J193" s="517">
        <v>3.1209185371510007E-2</v>
      </c>
    </row>
    <row r="194" spans="2:10" x14ac:dyDescent="0.2">
      <c r="B194" s="514"/>
      <c r="C194" s="515">
        <v>1000</v>
      </c>
      <c r="D194" s="164">
        <v>0.4656757035050596</v>
      </c>
      <c r="E194" s="164">
        <v>1.6411966022936282</v>
      </c>
      <c r="F194" s="164">
        <v>5.2966629454152203</v>
      </c>
      <c r="G194" s="164">
        <v>5.9712528745087257E-3</v>
      </c>
      <c r="H194" s="164">
        <v>0.15522370967269314</v>
      </c>
      <c r="I194" s="163">
        <v>593.87527727221857</v>
      </c>
      <c r="J194" s="517">
        <v>4.2017160678634535E-2</v>
      </c>
    </row>
    <row r="195" spans="2:10" x14ac:dyDescent="0.2">
      <c r="B195" s="518" t="s">
        <v>556</v>
      </c>
      <c r="C195" s="519"/>
      <c r="D195" s="520">
        <v>0.10501036275171351</v>
      </c>
      <c r="E195" s="520">
        <v>0.46145655490731258</v>
      </c>
      <c r="F195" s="520">
        <v>0.78381663076388319</v>
      </c>
      <c r="G195" s="520">
        <v>1.2006311098664967E-3</v>
      </c>
      <c r="H195" s="520">
        <v>4.1647816012133354E-2</v>
      </c>
      <c r="I195" s="523">
        <v>108.61160994962134</v>
      </c>
      <c r="J195" s="522">
        <v>9.4749162898867551E-3</v>
      </c>
    </row>
    <row r="196" spans="2:10" x14ac:dyDescent="0.2">
      <c r="B196" s="514" t="s">
        <v>557</v>
      </c>
      <c r="C196" s="515">
        <v>120</v>
      </c>
      <c r="D196" s="164">
        <v>0.16650905956768189</v>
      </c>
      <c r="E196" s="164">
        <v>0.68260298786964391</v>
      </c>
      <c r="F196" s="164">
        <v>0.99148842186385389</v>
      </c>
      <c r="G196" s="164">
        <v>1.1015006075855316E-3</v>
      </c>
      <c r="H196" s="164">
        <v>8.4597221621459343E-2</v>
      </c>
      <c r="I196" s="516">
        <v>93.900489592076568</v>
      </c>
      <c r="J196" s="517">
        <v>1.5023844189229149E-2</v>
      </c>
    </row>
    <row r="197" spans="2:10" x14ac:dyDescent="0.2">
      <c r="B197" s="514"/>
      <c r="C197" s="515">
        <v>175</v>
      </c>
      <c r="D197" s="164">
        <v>0.18706755179615986</v>
      </c>
      <c r="E197" s="164">
        <v>0.90297192151119321</v>
      </c>
      <c r="F197" s="164">
        <v>1.3656560196855871</v>
      </c>
      <c r="G197" s="164">
        <v>1.6660845252105243E-3</v>
      </c>
      <c r="H197" s="164">
        <v>7.6572932598391458E-2</v>
      </c>
      <c r="I197" s="163">
        <v>148.07382715835541</v>
      </c>
      <c r="J197" s="517">
        <v>1.6878805702506963E-2</v>
      </c>
    </row>
    <row r="198" spans="2:10" x14ac:dyDescent="0.2">
      <c r="B198" s="514"/>
      <c r="C198" s="515">
        <v>250</v>
      </c>
      <c r="D198" s="164">
        <v>0.20213349672332762</v>
      </c>
      <c r="E198" s="164">
        <v>0.59059305438517895</v>
      </c>
      <c r="F198" s="164">
        <v>1.7470438651902702</v>
      </c>
      <c r="G198" s="164">
        <v>2.3568993168517731E-3</v>
      </c>
      <c r="H198" s="164">
        <v>6.6475626513650882E-2</v>
      </c>
      <c r="I198" s="163">
        <v>209.47022689927968</v>
      </c>
      <c r="J198" s="517">
        <v>1.823817780772392E-2</v>
      </c>
    </row>
    <row r="199" spans="2:10" x14ac:dyDescent="0.2">
      <c r="B199" s="514"/>
      <c r="C199" s="515">
        <v>500</v>
      </c>
      <c r="D199" s="164">
        <v>0.28827307864317453</v>
      </c>
      <c r="E199" s="164">
        <v>1.0688117631027829</v>
      </c>
      <c r="F199" s="164">
        <v>2.4104144917273165</v>
      </c>
      <c r="G199" s="164">
        <v>3.1549252143876689E-3</v>
      </c>
      <c r="H199" s="164">
        <v>9.2957043118266802E-2</v>
      </c>
      <c r="I199" s="163">
        <v>321.42846035935588</v>
      </c>
      <c r="J199" s="517">
        <v>2.6010420981454316E-2</v>
      </c>
    </row>
    <row r="200" spans="2:10" x14ac:dyDescent="0.2">
      <c r="B200" s="514"/>
      <c r="C200" s="515">
        <v>750</v>
      </c>
      <c r="D200" s="164">
        <v>0.50007328489312075</v>
      </c>
      <c r="E200" s="164">
        <v>1.8419101537944753</v>
      </c>
      <c r="F200" s="164">
        <v>4.2634297693373977</v>
      </c>
      <c r="G200" s="164">
        <v>5.5831549099408578E-3</v>
      </c>
      <c r="H200" s="164">
        <v>0.16238585661283433</v>
      </c>
      <c r="I200" s="163">
        <v>555.27682684967192</v>
      </c>
      <c r="J200" s="517">
        <v>4.5120805121151922E-2</v>
      </c>
    </row>
    <row r="201" spans="2:10" x14ac:dyDescent="0.2">
      <c r="B201" s="518" t="s">
        <v>558</v>
      </c>
      <c r="C201" s="519"/>
      <c r="D201" s="520">
        <v>0.25133995004070231</v>
      </c>
      <c r="E201" s="520">
        <v>0.94434942187057425</v>
      </c>
      <c r="F201" s="520">
        <v>2.0646507601518032</v>
      </c>
      <c r="G201" s="520">
        <v>2.687111438654292E-3</v>
      </c>
      <c r="H201" s="520">
        <v>8.5368925004671706E-2</v>
      </c>
      <c r="I201" s="523">
        <v>262.49130672975178</v>
      </c>
      <c r="J201" s="522">
        <v>2.2678001781687027E-2</v>
      </c>
    </row>
    <row r="202" spans="2:10" x14ac:dyDescent="0.2">
      <c r="B202" s="514" t="s">
        <v>559</v>
      </c>
      <c r="C202" s="515">
        <v>15</v>
      </c>
      <c r="D202" s="164">
        <v>7.1819076358046203E-3</v>
      </c>
      <c r="E202" s="164">
        <v>3.7672015501247734E-2</v>
      </c>
      <c r="F202" s="164">
        <v>4.4975835899274251E-2</v>
      </c>
      <c r="G202" s="164">
        <v>9.6006650553722128E-5</v>
      </c>
      <c r="H202" s="164">
        <v>1.7574488590592367E-3</v>
      </c>
      <c r="I202" s="516">
        <v>6.1697435407429388</v>
      </c>
      <c r="J202" s="517">
        <v>6.4801190876982576E-4</v>
      </c>
    </row>
    <row r="203" spans="2:10" x14ac:dyDescent="0.2">
      <c r="B203" s="514"/>
      <c r="C203" s="515">
        <v>50</v>
      </c>
      <c r="D203" s="164">
        <v>9.3062575894837282E-2</v>
      </c>
      <c r="E203" s="164">
        <v>0.32274948843978274</v>
      </c>
      <c r="F203" s="164">
        <v>0.31478509492082274</v>
      </c>
      <c r="G203" s="164">
        <v>4.6785674648978036E-4</v>
      </c>
      <c r="H203" s="164">
        <v>2.434642420916322E-2</v>
      </c>
      <c r="I203" s="516">
        <v>36.190790848573791</v>
      </c>
      <c r="J203" s="517">
        <v>8.3968879064241324E-3</v>
      </c>
    </row>
    <row r="204" spans="2:10" x14ac:dyDescent="0.2">
      <c r="B204" s="514"/>
      <c r="C204" s="515">
        <v>120</v>
      </c>
      <c r="D204" s="164">
        <v>9.7048616958073458E-2</v>
      </c>
      <c r="E204" s="164">
        <v>0.51158953281305453</v>
      </c>
      <c r="F204" s="164">
        <v>0.67623039411822872</v>
      </c>
      <c r="G204" s="164">
        <v>9.4086492291382611E-4</v>
      </c>
      <c r="H204" s="164">
        <v>5.2487401130250057E-2</v>
      </c>
      <c r="I204" s="516">
        <v>80.206631624597037</v>
      </c>
      <c r="J204" s="517">
        <v>8.7565398875513439E-3</v>
      </c>
    </row>
    <row r="205" spans="2:10" x14ac:dyDescent="0.2">
      <c r="B205" s="514"/>
      <c r="C205" s="515">
        <v>175</v>
      </c>
      <c r="D205" s="164">
        <v>0.12896939892871831</v>
      </c>
      <c r="E205" s="164">
        <v>0.83004183174697721</v>
      </c>
      <c r="F205" s="164">
        <v>1.1249020105514898</v>
      </c>
      <c r="G205" s="164">
        <v>1.7388907580661148E-3</v>
      </c>
      <c r="H205" s="164">
        <v>5.5885560863560772E-2</v>
      </c>
      <c r="I205" s="163">
        <v>154.54449746334606</v>
      </c>
      <c r="J205" s="517">
        <v>1.1636703064905052E-2</v>
      </c>
    </row>
    <row r="206" spans="2:10" x14ac:dyDescent="0.2">
      <c r="B206" s="514"/>
      <c r="C206" s="515">
        <v>250</v>
      </c>
      <c r="D206" s="164">
        <v>0.14159905041610341</v>
      </c>
      <c r="E206" s="164">
        <v>0.50980039432245106</v>
      </c>
      <c r="F206" s="164">
        <v>1.6228729065688992</v>
      </c>
      <c r="G206" s="164">
        <v>2.8724719246326267E-3</v>
      </c>
      <c r="H206" s="164">
        <v>4.7351555753512138E-2</v>
      </c>
      <c r="I206" s="163">
        <v>255.29184538035005</v>
      </c>
      <c r="J206" s="517">
        <v>1.2776256478580238E-2</v>
      </c>
    </row>
    <row r="207" spans="2:10" x14ac:dyDescent="0.2">
      <c r="B207" s="518" t="s">
        <v>560</v>
      </c>
      <c r="C207" s="519"/>
      <c r="D207" s="520">
        <v>1.7066238770315892E-2</v>
      </c>
      <c r="E207" s="520">
        <v>9.2518213459579293E-2</v>
      </c>
      <c r="F207" s="520">
        <v>0.12500339783834982</v>
      </c>
      <c r="G207" s="520">
        <v>2.141518372378168E-4</v>
      </c>
      <c r="H207" s="520">
        <v>6.5696859110217845E-3</v>
      </c>
      <c r="I207" s="521">
        <v>16.69826371184682</v>
      </c>
      <c r="J207" s="522">
        <v>1.539859247842832E-3</v>
      </c>
    </row>
    <row r="208" spans="2:10" x14ac:dyDescent="0.2">
      <c r="B208" s="514" t="s">
        <v>156</v>
      </c>
      <c r="C208" s="515">
        <v>25</v>
      </c>
      <c r="D208" s="164">
        <v>1.8888600335378366E-2</v>
      </c>
      <c r="E208" s="164">
        <v>6.0133478668600228E-2</v>
      </c>
      <c r="F208" s="164">
        <v>0.11248284757310999</v>
      </c>
      <c r="G208" s="164">
        <v>1.7502145205165444E-4</v>
      </c>
      <c r="H208" s="164">
        <v>5.6185043351105269E-3</v>
      </c>
      <c r="I208" s="516">
        <v>13.794140126679075</v>
      </c>
      <c r="J208" s="517">
        <v>1.7042885914088837E-3</v>
      </c>
    </row>
    <row r="209" spans="2:10" x14ac:dyDescent="0.2">
      <c r="B209" s="514"/>
      <c r="C209" s="515">
        <v>50</v>
      </c>
      <c r="D209" s="164">
        <v>3.7835624751667511E-2</v>
      </c>
      <c r="E209" s="164">
        <v>0.21382896248587013</v>
      </c>
      <c r="F209" s="164">
        <v>0.20522072331931707</v>
      </c>
      <c r="G209" s="164">
        <v>3.2989898219504352E-4</v>
      </c>
      <c r="H209" s="164">
        <v>1.1340996580682031E-2</v>
      </c>
      <c r="I209" s="516">
        <v>25.519145338424273</v>
      </c>
      <c r="J209" s="517">
        <v>3.413848047070189E-3</v>
      </c>
    </row>
    <row r="210" spans="2:10" x14ac:dyDescent="0.2">
      <c r="B210" s="514"/>
      <c r="C210" s="515">
        <v>120</v>
      </c>
      <c r="D210" s="164">
        <v>3.343616308351631E-2</v>
      </c>
      <c r="E210" s="164">
        <v>0.27099321170914392</v>
      </c>
      <c r="F210" s="164">
        <v>0.26989943700473334</v>
      </c>
      <c r="G210" s="164">
        <v>5.0161817682389559E-4</v>
      </c>
      <c r="H210" s="164">
        <v>1.6996267706684672E-2</v>
      </c>
      <c r="I210" s="516">
        <v>42.761828415434159</v>
      </c>
      <c r="J210" s="517">
        <v>3.0168903712764067E-3</v>
      </c>
    </row>
    <row r="211" spans="2:10" x14ac:dyDescent="0.2">
      <c r="B211" s="518" t="s">
        <v>561</v>
      </c>
      <c r="C211" s="519"/>
      <c r="D211" s="520">
        <v>3.5166498470726969E-2</v>
      </c>
      <c r="E211" s="520">
        <v>0.22198415876960509</v>
      </c>
      <c r="F211" s="520">
        <v>0.21983175113905284</v>
      </c>
      <c r="G211" s="520">
        <v>3.7474945192618328E-4</v>
      </c>
      <c r="H211" s="520">
        <v>1.2776816798837637E-2</v>
      </c>
      <c r="I211" s="521">
        <v>30.276508045012687</v>
      </c>
      <c r="J211" s="522">
        <v>3.1730166557450705E-3</v>
      </c>
    </row>
    <row r="212" spans="2:10" x14ac:dyDescent="0.2">
      <c r="B212" s="514" t="s">
        <v>562</v>
      </c>
      <c r="C212" s="515">
        <v>50</v>
      </c>
      <c r="D212" s="164">
        <v>4.0795475312417097E-2</v>
      </c>
      <c r="E212" s="164">
        <v>0.13328795792205803</v>
      </c>
      <c r="F212" s="164">
        <v>0.12633759481758908</v>
      </c>
      <c r="G212" s="164">
        <v>1.8237659223085381E-4</v>
      </c>
      <c r="H212" s="164">
        <v>1.0111648611616756E-2</v>
      </c>
      <c r="I212" s="516">
        <v>14.107641696618787</v>
      </c>
      <c r="J212" s="517">
        <v>3.680910492053806E-3</v>
      </c>
    </row>
    <row r="213" spans="2:10" x14ac:dyDescent="0.2">
      <c r="B213" s="514"/>
      <c r="C213" s="515">
        <v>120</v>
      </c>
      <c r="D213" s="164">
        <v>8.4002892404505036E-2</v>
      </c>
      <c r="E213" s="164">
        <v>0.41510570079864784</v>
      </c>
      <c r="F213" s="164">
        <v>0.57561827759606243</v>
      </c>
      <c r="G213" s="164">
        <v>7.4801414897687974E-4</v>
      </c>
      <c r="H213" s="164">
        <v>4.3928966727234522E-2</v>
      </c>
      <c r="I213" s="516">
        <v>63.76654566929318</v>
      </c>
      <c r="J213" s="517">
        <v>7.579447943122629E-3</v>
      </c>
    </row>
    <row r="214" spans="2:10" x14ac:dyDescent="0.2">
      <c r="B214" s="514"/>
      <c r="C214" s="515">
        <v>175</v>
      </c>
      <c r="D214" s="164">
        <v>7.867789332139527E-2</v>
      </c>
      <c r="E214" s="164">
        <v>0.47048113490208759</v>
      </c>
      <c r="F214" s="164">
        <v>0.67055539466868186</v>
      </c>
      <c r="G214" s="164">
        <v>9.6510988391139483E-4</v>
      </c>
      <c r="H214" s="164">
        <v>3.3465339646930381E-2</v>
      </c>
      <c r="I214" s="516">
        <v>85.774462061299246</v>
      </c>
      <c r="J214" s="517">
        <v>7.0989797009695446E-3</v>
      </c>
    </row>
    <row r="215" spans="2:10" x14ac:dyDescent="0.2">
      <c r="B215" s="514"/>
      <c r="C215" s="515">
        <v>250</v>
      </c>
      <c r="D215" s="164">
        <v>8.909937032296622E-2</v>
      </c>
      <c r="E215" s="164">
        <v>0.31162886457916367</v>
      </c>
      <c r="F215" s="164">
        <v>0.93378851182478795</v>
      </c>
      <c r="G215" s="164">
        <v>1.5175082613881063E-3</v>
      </c>
      <c r="H215" s="164">
        <v>3.0925188359087148E-2</v>
      </c>
      <c r="I215" s="163">
        <v>134.869053642865</v>
      </c>
      <c r="J215" s="517">
        <v>8.0392935676006205E-3</v>
      </c>
    </row>
    <row r="216" spans="2:10" x14ac:dyDescent="0.2">
      <c r="B216" s="514"/>
      <c r="C216" s="515">
        <v>500</v>
      </c>
      <c r="D216" s="164">
        <v>0.13423813649488098</v>
      </c>
      <c r="E216" s="164">
        <v>0.57588484968157139</v>
      </c>
      <c r="F216" s="164">
        <v>1.3809278734270789</v>
      </c>
      <c r="G216" s="164">
        <v>2.1712270848720755E-3</v>
      </c>
      <c r="H216" s="164">
        <v>4.6842074907199244E-2</v>
      </c>
      <c r="I216" s="163">
        <v>221.20785315207794</v>
      </c>
      <c r="J216" s="517">
        <v>1.2112091547586563E-2</v>
      </c>
    </row>
    <row r="217" spans="2:10" x14ac:dyDescent="0.2">
      <c r="B217" s="514"/>
      <c r="C217" s="515">
        <v>750</v>
      </c>
      <c r="D217" s="164">
        <v>0.21387304143373856</v>
      </c>
      <c r="E217" s="164">
        <v>0.90199217928211117</v>
      </c>
      <c r="F217" s="164">
        <v>2.2264343887984057</v>
      </c>
      <c r="G217" s="164">
        <v>3.4894722483400993E-3</v>
      </c>
      <c r="H217" s="164">
        <v>7.4520839962914351E-2</v>
      </c>
      <c r="I217" s="163">
        <v>347.04793387360957</v>
      </c>
      <c r="J217" s="517">
        <v>1.9297422585032521E-2</v>
      </c>
    </row>
    <row r="218" spans="2:10" x14ac:dyDescent="0.2">
      <c r="B218" s="518" t="s">
        <v>563</v>
      </c>
      <c r="C218" s="519"/>
      <c r="D218" s="520">
        <v>0.11159573145829602</v>
      </c>
      <c r="E218" s="520">
        <v>0.47049467193534772</v>
      </c>
      <c r="F218" s="520">
        <v>1.0675385016818166</v>
      </c>
      <c r="G218" s="520">
        <v>1.6673409709043181E-3</v>
      </c>
      <c r="H218" s="520">
        <v>3.885527836253503E-2</v>
      </c>
      <c r="I218" s="523">
        <v>165.97523992553195</v>
      </c>
      <c r="J218" s="522">
        <v>1.0069103944827452E-2</v>
      </c>
    </row>
    <row r="219" spans="2:10" x14ac:dyDescent="0.2">
      <c r="B219" s="514" t="s">
        <v>564</v>
      </c>
      <c r="C219" s="515">
        <v>15</v>
      </c>
      <c r="D219" s="164">
        <v>1.2380693670662937E-2</v>
      </c>
      <c r="E219" s="164">
        <v>7.2893825043982438E-2</v>
      </c>
      <c r="F219" s="164">
        <v>8.7026408637726066E-2</v>
      </c>
      <c r="G219" s="164">
        <v>1.8576896664910519E-4</v>
      </c>
      <c r="H219" s="164">
        <v>3.4005909764093212E-3</v>
      </c>
      <c r="I219" s="516">
        <v>11.938201858138592</v>
      </c>
      <c r="J219" s="517">
        <v>1.117089946177271E-3</v>
      </c>
    </row>
    <row r="220" spans="2:10" x14ac:dyDescent="0.2">
      <c r="B220" s="514"/>
      <c r="C220" s="515">
        <v>25</v>
      </c>
      <c r="D220" s="164">
        <v>2.3660475019651E-2</v>
      </c>
      <c r="E220" s="164">
        <v>8.0756375187920407E-2</v>
      </c>
      <c r="F220" s="164">
        <v>0.14951524434435975</v>
      </c>
      <c r="G220" s="164">
        <v>2.4884869544998251E-4</v>
      </c>
      <c r="H220" s="164">
        <v>5.6234802499500131E-3</v>
      </c>
      <c r="I220" s="516">
        <v>19.612759779493551</v>
      </c>
      <c r="J220" s="517">
        <v>2.1348465597364591E-3</v>
      </c>
    </row>
    <row r="221" spans="2:10" x14ac:dyDescent="0.2">
      <c r="B221" s="514"/>
      <c r="C221" s="515">
        <v>50</v>
      </c>
      <c r="D221" s="164">
        <v>7.8246310131306437E-2</v>
      </c>
      <c r="E221" s="164">
        <v>0.3186493631811888</v>
      </c>
      <c r="F221" s="164">
        <v>0.28276689264012639</v>
      </c>
      <c r="G221" s="164">
        <v>4.0787520182463191E-4</v>
      </c>
      <c r="H221" s="164">
        <v>2.1106448674201212E-2</v>
      </c>
      <c r="I221" s="516">
        <v>31.550946234864139</v>
      </c>
      <c r="J221" s="517">
        <v>7.0600393425357018E-3</v>
      </c>
    </row>
    <row r="222" spans="2:10" x14ac:dyDescent="0.2">
      <c r="B222" s="514"/>
      <c r="C222" s="515">
        <v>120</v>
      </c>
      <c r="D222" s="164">
        <v>8.7955694152625344E-2</v>
      </c>
      <c r="E222" s="164">
        <v>0.50555270131761576</v>
      </c>
      <c r="F222" s="164">
        <v>0.58933946645446467</v>
      </c>
      <c r="G222" s="164">
        <v>8.8025899780622727E-4</v>
      </c>
      <c r="H222" s="164">
        <v>4.6600457252215434E-2</v>
      </c>
      <c r="I222" s="516">
        <v>75.040106767621964</v>
      </c>
      <c r="J222" s="517">
        <v>7.9361010948412886E-3</v>
      </c>
    </row>
    <row r="223" spans="2:10" x14ac:dyDescent="0.2">
      <c r="B223" s="514"/>
      <c r="C223" s="515">
        <v>175</v>
      </c>
      <c r="D223" s="164">
        <v>0.11926420655371976</v>
      </c>
      <c r="E223" s="164">
        <v>0.79992154687092631</v>
      </c>
      <c r="F223" s="164">
        <v>0.90506909931972401</v>
      </c>
      <c r="G223" s="164">
        <v>1.5639294884209115E-3</v>
      </c>
      <c r="H223" s="164">
        <v>4.880930157487811E-2</v>
      </c>
      <c r="I223" s="163">
        <v>138.99473563860531</v>
      </c>
      <c r="J223" s="517">
        <v>1.0761018909272316E-2</v>
      </c>
    </row>
    <row r="224" spans="2:10" x14ac:dyDescent="0.2">
      <c r="B224" s="514"/>
      <c r="C224" s="515">
        <v>250</v>
      </c>
      <c r="D224" s="164">
        <v>0.10292697154337113</v>
      </c>
      <c r="E224" s="164">
        <v>0.32861559141174346</v>
      </c>
      <c r="F224" s="164">
        <v>0.90942323110421819</v>
      </c>
      <c r="G224" s="164">
        <v>1.8229850806035755E-3</v>
      </c>
      <c r="H224" s="164">
        <v>2.8925052374470659E-2</v>
      </c>
      <c r="I224" s="163">
        <v>162.01842443713261</v>
      </c>
      <c r="J224" s="517">
        <v>9.2869379679622454E-3</v>
      </c>
    </row>
    <row r="225" spans="2:10" x14ac:dyDescent="0.2">
      <c r="B225" s="518" t="s">
        <v>565</v>
      </c>
      <c r="C225" s="519"/>
      <c r="D225" s="520">
        <v>9.1334149288123403E-2</v>
      </c>
      <c r="E225" s="520">
        <v>0.50340793659698446</v>
      </c>
      <c r="F225" s="520">
        <v>0.57463468576180976</v>
      </c>
      <c r="G225" s="520">
        <v>9.1561458043246612E-4</v>
      </c>
      <c r="H225" s="520">
        <v>3.8732261273235286E-2</v>
      </c>
      <c r="I225" s="521">
        <v>78.543278428504436</v>
      </c>
      <c r="J225" s="522">
        <v>8.2409340806209597E-3</v>
      </c>
    </row>
    <row r="226" spans="2:10" x14ac:dyDescent="0.2">
      <c r="B226" s="514" t="s">
        <v>566</v>
      </c>
      <c r="C226" s="515">
        <v>25</v>
      </c>
      <c r="D226" s="164">
        <v>1.9223634726107025E-2</v>
      </c>
      <c r="E226" s="164">
        <v>6.5317650045992978E-2</v>
      </c>
      <c r="F226" s="164">
        <v>0.12211950576991558</v>
      </c>
      <c r="G226" s="164">
        <v>2.0127464509109617E-4</v>
      </c>
      <c r="H226" s="164">
        <v>4.9071612092466133E-3</v>
      </c>
      <c r="I226" s="516">
        <v>15.863261427639912</v>
      </c>
      <c r="J226" s="517">
        <v>1.73451759095784E-3</v>
      </c>
    </row>
    <row r="227" spans="2:10" x14ac:dyDescent="0.2">
      <c r="B227" s="514"/>
      <c r="C227" s="515">
        <v>50</v>
      </c>
      <c r="D227" s="164">
        <v>7.0173102214144689E-2</v>
      </c>
      <c r="E227" s="164">
        <v>0.30201140587931841</v>
      </c>
      <c r="F227" s="164">
        <v>0.26459349714410885</v>
      </c>
      <c r="G227" s="164">
        <v>3.9231227050066892E-4</v>
      </c>
      <c r="H227" s="164">
        <v>1.8583804215757404E-2</v>
      </c>
      <c r="I227" s="516">
        <v>30.347104227570632</v>
      </c>
      <c r="J227" s="517">
        <v>6.3316070668453985E-3</v>
      </c>
    </row>
    <row r="228" spans="2:10" x14ac:dyDescent="0.2">
      <c r="B228" s="514"/>
      <c r="C228" s="515">
        <v>120</v>
      </c>
      <c r="D228" s="164">
        <v>5.7672641375143184E-2</v>
      </c>
      <c r="E228" s="164">
        <v>0.3479975066554708</v>
      </c>
      <c r="F228" s="164">
        <v>0.38703521800269541</v>
      </c>
      <c r="G228" s="164">
        <v>6.0679620351792641E-4</v>
      </c>
      <c r="H228" s="164">
        <v>2.9335264131260339E-2</v>
      </c>
      <c r="I228" s="516">
        <v>51.728015968434285</v>
      </c>
      <c r="J228" s="517">
        <v>5.2037096026823848E-3</v>
      </c>
    </row>
    <row r="229" spans="2:10" x14ac:dyDescent="0.2">
      <c r="B229" s="514"/>
      <c r="C229" s="515">
        <v>175</v>
      </c>
      <c r="D229" s="164">
        <v>8.5410250327329379E-2</v>
      </c>
      <c r="E229" s="164">
        <v>0.58527749617931357</v>
      </c>
      <c r="F229" s="164">
        <v>0.63311384719423103</v>
      </c>
      <c r="G229" s="164">
        <v>1.1407768876881817E-3</v>
      </c>
      <c r="H229" s="164">
        <v>3.3491474077577028E-2</v>
      </c>
      <c r="I229" s="163">
        <v>101.38692434673627</v>
      </c>
      <c r="J229" s="517">
        <v>7.7064299757983587E-3</v>
      </c>
    </row>
    <row r="230" spans="2:10" x14ac:dyDescent="0.2">
      <c r="B230" s="514"/>
      <c r="C230" s="515">
        <v>250</v>
      </c>
      <c r="D230" s="164">
        <v>0.10824236323845041</v>
      </c>
      <c r="E230" s="164">
        <v>0.35659920728676714</v>
      </c>
      <c r="F230" s="164">
        <v>0.90472270623996676</v>
      </c>
      <c r="G230" s="164">
        <v>1.9323367199593486E-3</v>
      </c>
      <c r="H230" s="164">
        <v>2.9362601551493599E-2</v>
      </c>
      <c r="I230" s="163">
        <v>171.73701086428801</v>
      </c>
      <c r="J230" s="517">
        <v>9.7665356801050606E-3</v>
      </c>
    </row>
    <row r="231" spans="2:10" x14ac:dyDescent="0.2">
      <c r="B231" s="514"/>
      <c r="C231" s="515">
        <v>500</v>
      </c>
      <c r="D231" s="164">
        <v>0.20849111130805925</v>
      </c>
      <c r="E231" s="164">
        <v>0.70888615417047063</v>
      </c>
      <c r="F231" s="164">
        <v>1.6069612076058912</v>
      </c>
      <c r="G231" s="164">
        <v>3.88019187193593E-3</v>
      </c>
      <c r="H231" s="164">
        <v>5.5887067374612562E-2</v>
      </c>
      <c r="I231" s="163">
        <v>344.85341952664498</v>
      </c>
      <c r="J231" s="517">
        <v>1.881181412321135E-2</v>
      </c>
    </row>
    <row r="232" spans="2:10" x14ac:dyDescent="0.2">
      <c r="B232" s="514"/>
      <c r="C232" s="515">
        <v>750</v>
      </c>
      <c r="D232" s="164">
        <v>0.31483135077438557</v>
      </c>
      <c r="E232" s="164">
        <v>1.063063532966664</v>
      </c>
      <c r="F232" s="164">
        <v>2.4922162681816471</v>
      </c>
      <c r="G232" s="164">
        <v>5.8202874540626429E-3</v>
      </c>
      <c r="H232" s="164">
        <v>8.5423199827089125E-2</v>
      </c>
      <c r="I232" s="163">
        <v>517.27990955078053</v>
      </c>
      <c r="J232" s="517">
        <v>2.8406731060859017E-2</v>
      </c>
    </row>
    <row r="233" spans="2:10" x14ac:dyDescent="0.2">
      <c r="B233" s="518" t="s">
        <v>567</v>
      </c>
      <c r="C233" s="519"/>
      <c r="D233" s="520">
        <v>6.6648674431230612E-2</v>
      </c>
      <c r="E233" s="520">
        <v>0.37157760513282356</v>
      </c>
      <c r="F233" s="520">
        <v>0.45007230723871416</v>
      </c>
      <c r="G233" s="520">
        <v>7.7505364000947125E-4</v>
      </c>
      <c r="H233" s="520">
        <v>2.9783012581028175E-2</v>
      </c>
      <c r="I233" s="521">
        <v>66.799043438681679</v>
      </c>
      <c r="J233" s="522">
        <v>6.0136026603426198E-3</v>
      </c>
    </row>
    <row r="234" spans="2:10" x14ac:dyDescent="0.2">
      <c r="B234" s="514" t="s">
        <v>568</v>
      </c>
      <c r="C234" s="515">
        <v>15</v>
      </c>
      <c r="D234" s="164">
        <v>9.8532211399631944E-3</v>
      </c>
      <c r="E234" s="164">
        <v>5.1684152506491901E-2</v>
      </c>
      <c r="F234" s="164">
        <v>6.1704636828297812E-2</v>
      </c>
      <c r="G234" s="164">
        <v>1.3171638752959713E-4</v>
      </c>
      <c r="H234" s="164">
        <v>2.4111325894917322E-3</v>
      </c>
      <c r="I234" s="516">
        <v>8.46458430368269</v>
      </c>
      <c r="J234" s="517">
        <v>8.8904029171585602E-4</v>
      </c>
    </row>
    <row r="235" spans="2:10" x14ac:dyDescent="0.2">
      <c r="B235" s="514"/>
      <c r="C235" s="515">
        <v>25</v>
      </c>
      <c r="D235" s="164">
        <v>3.9711480387855311E-2</v>
      </c>
      <c r="E235" s="164">
        <v>0.13554058530044324</v>
      </c>
      <c r="F235" s="164">
        <v>0.25094477357465567</v>
      </c>
      <c r="G235" s="164">
        <v>4.1766492036509858E-4</v>
      </c>
      <c r="H235" s="164">
        <v>9.4328113722331221E-3</v>
      </c>
      <c r="I235" s="516">
        <v>32.917831386459397</v>
      </c>
      <c r="J235" s="517">
        <v>3.5831031319513789E-3</v>
      </c>
    </row>
    <row r="236" spans="2:10" x14ac:dyDescent="0.2">
      <c r="B236" s="514"/>
      <c r="C236" s="515">
        <v>50</v>
      </c>
      <c r="D236" s="164">
        <v>0.1390021967064981</v>
      </c>
      <c r="E236" s="164">
        <v>0.39004571595178678</v>
      </c>
      <c r="F236" s="164">
        <v>0.32347888638291417</v>
      </c>
      <c r="G236" s="164">
        <v>4.2554525136598835E-4</v>
      </c>
      <c r="H236" s="164">
        <v>3.1285280953070621E-2</v>
      </c>
      <c r="I236" s="516">
        <v>32.917819544157915</v>
      </c>
      <c r="J236" s="517">
        <v>1.2541941855212431E-2</v>
      </c>
    </row>
    <row r="237" spans="2:10" x14ac:dyDescent="0.2">
      <c r="B237" s="514"/>
      <c r="C237" s="515">
        <v>120</v>
      </c>
      <c r="D237" s="164">
        <v>0.11442894180227765</v>
      </c>
      <c r="E237" s="164">
        <v>0.45995353007145423</v>
      </c>
      <c r="F237" s="164">
        <v>0.70596723385743398</v>
      </c>
      <c r="G237" s="164">
        <v>7.6125334857782018E-4</v>
      </c>
      <c r="H237" s="164">
        <v>5.8959209642611025E-2</v>
      </c>
      <c r="I237" s="516">
        <v>64.895143878919185</v>
      </c>
      <c r="J237" s="517">
        <v>1.0324742188913067E-2</v>
      </c>
    </row>
    <row r="238" spans="2:10" x14ac:dyDescent="0.2">
      <c r="B238" s="514"/>
      <c r="C238" s="515">
        <v>175</v>
      </c>
      <c r="D238" s="164">
        <v>0.17695852019754799</v>
      </c>
      <c r="E238" s="164">
        <v>0.85337336052374402</v>
      </c>
      <c r="F238" s="164">
        <v>1.3767465249786184</v>
      </c>
      <c r="G238" s="164">
        <v>1.6190987327393725E-3</v>
      </c>
      <c r="H238" s="164">
        <v>7.4829192202028508E-2</v>
      </c>
      <c r="I238" s="163">
        <v>143.89792692413232</v>
      </c>
      <c r="J238" s="517">
        <v>1.5966685986446617E-2</v>
      </c>
    </row>
    <row r="239" spans="2:10" x14ac:dyDescent="0.2">
      <c r="B239" s="514"/>
      <c r="C239" s="515">
        <v>250</v>
      </c>
      <c r="D239" s="164">
        <v>0.21046798954198298</v>
      </c>
      <c r="E239" s="164">
        <v>0.65102240124646804</v>
      </c>
      <c r="F239" s="164">
        <v>1.9455812341316623</v>
      </c>
      <c r="G239" s="164">
        <v>2.5080149928446895E-3</v>
      </c>
      <c r="H239" s="164">
        <v>7.5031415548398886E-2</v>
      </c>
      <c r="I239" s="163">
        <v>222.90060681471752</v>
      </c>
      <c r="J239" s="517">
        <v>1.8990189720047339E-2</v>
      </c>
    </row>
    <row r="240" spans="2:10" x14ac:dyDescent="0.2">
      <c r="B240" s="514"/>
      <c r="C240" s="515">
        <v>500</v>
      </c>
      <c r="D240" s="164">
        <v>0.26937576932394314</v>
      </c>
      <c r="E240" s="164">
        <v>1.1349206563054779</v>
      </c>
      <c r="F240" s="164">
        <v>2.4560314327081105</v>
      </c>
      <c r="G240" s="164">
        <v>3.0555953444108353E-3</v>
      </c>
      <c r="H240" s="164">
        <v>9.4679562700720518E-2</v>
      </c>
      <c r="I240" s="163">
        <v>311.30854236274052</v>
      </c>
      <c r="J240" s="517">
        <v>2.4305340396578258E-2</v>
      </c>
    </row>
    <row r="241" spans="2:10" x14ac:dyDescent="0.2">
      <c r="B241" s="514"/>
      <c r="C241" s="515">
        <v>750</v>
      </c>
      <c r="D241" s="164">
        <v>0.51068090258556154</v>
      </c>
      <c r="E241" s="164">
        <v>2.1334124931866314</v>
      </c>
      <c r="F241" s="164">
        <v>4.7299727787314421</v>
      </c>
      <c r="G241" s="164">
        <v>5.9008951013982593E-3</v>
      </c>
      <c r="H241" s="164">
        <v>0.18020397988298664</v>
      </c>
      <c r="I241" s="163">
        <v>586.87783010643011</v>
      </c>
      <c r="J241" s="517">
        <v>4.6077920191181759E-2</v>
      </c>
    </row>
    <row r="242" spans="2:10" x14ac:dyDescent="0.2">
      <c r="B242" s="518" t="s">
        <v>569</v>
      </c>
      <c r="C242" s="519"/>
      <c r="D242" s="520">
        <v>0.12736321569995479</v>
      </c>
      <c r="E242" s="520">
        <v>0.45405489143655392</v>
      </c>
      <c r="F242" s="520">
        <v>0.60432386417381012</v>
      </c>
      <c r="G242" s="520">
        <v>6.9605646715870128E-4</v>
      </c>
      <c r="H242" s="520">
        <v>4.846846259320961E-2</v>
      </c>
      <c r="I242" s="521">
        <v>58.715271177372649</v>
      </c>
      <c r="J242" s="522">
        <v>1.1491778690075038E-2</v>
      </c>
    </row>
    <row r="243" spans="2:10" x14ac:dyDescent="0.2">
      <c r="B243" s="514" t="s">
        <v>570</v>
      </c>
      <c r="C243" s="515">
        <v>15</v>
      </c>
      <c r="D243" s="164">
        <v>9.2510152637797025E-3</v>
      </c>
      <c r="E243" s="164">
        <v>4.0035107687509064E-2</v>
      </c>
      <c r="F243" s="164">
        <v>5.7102583497072666E-2</v>
      </c>
      <c r="G243" s="164">
        <v>9.6592043041569941E-5</v>
      </c>
      <c r="H243" s="164">
        <v>3.4414748668795971E-3</v>
      </c>
      <c r="I243" s="516">
        <v>6.2073650433698981</v>
      </c>
      <c r="J243" s="517">
        <v>8.3470429953943072E-4</v>
      </c>
    </row>
    <row r="244" spans="2:10" x14ac:dyDescent="0.2">
      <c r="B244" s="514"/>
      <c r="C244" s="515">
        <v>25</v>
      </c>
      <c r="D244" s="164">
        <v>1.7910973953731743E-2</v>
      </c>
      <c r="E244" s="164">
        <v>5.3214723154077444E-2</v>
      </c>
      <c r="F244" s="164">
        <v>9.740997482258025E-2</v>
      </c>
      <c r="G244" s="164">
        <v>1.431993510678626E-4</v>
      </c>
      <c r="H244" s="164">
        <v>5.4220952059902371E-3</v>
      </c>
      <c r="I244" s="516">
        <v>11.286110045159967</v>
      </c>
      <c r="J244" s="517">
        <v>1.6160783177887751E-3</v>
      </c>
    </row>
    <row r="245" spans="2:10" x14ac:dyDescent="0.2">
      <c r="B245" s="514"/>
      <c r="C245" s="515">
        <v>50</v>
      </c>
      <c r="D245" s="164">
        <v>8.0051021415691648E-2</v>
      </c>
      <c r="E245" s="164">
        <v>0.25641560435513566</v>
      </c>
      <c r="F245" s="164">
        <v>0.23455708806069014</v>
      </c>
      <c r="G245" s="164">
        <v>3.3557289968977165E-4</v>
      </c>
      <c r="H245" s="164">
        <v>1.9982951458240649E-2</v>
      </c>
      <c r="I245" s="516">
        <v>25.958053853715608</v>
      </c>
      <c r="J245" s="517">
        <v>7.2228745344954121E-3</v>
      </c>
    </row>
    <row r="246" spans="2:10" x14ac:dyDescent="0.2">
      <c r="B246" s="514"/>
      <c r="C246" s="515">
        <v>120</v>
      </c>
      <c r="D246" s="164">
        <v>5.4673674669776691E-2</v>
      </c>
      <c r="E246" s="164">
        <v>0.26060667279322353</v>
      </c>
      <c r="F246" s="164">
        <v>0.35669050613964493</v>
      </c>
      <c r="G246" s="164">
        <v>4.6337160590953578E-4</v>
      </c>
      <c r="H246" s="164">
        <v>2.9631680248448942E-2</v>
      </c>
      <c r="I246" s="516">
        <v>39.501392329643885</v>
      </c>
      <c r="J246" s="517">
        <v>4.9331170837888507E-3</v>
      </c>
    </row>
    <row r="247" spans="2:10" x14ac:dyDescent="0.2">
      <c r="B247" s="514"/>
      <c r="C247" s="515">
        <v>175</v>
      </c>
      <c r="D247" s="164">
        <v>9.356743438051332E-2</v>
      </c>
      <c r="E247" s="164">
        <v>0.54236501167384021</v>
      </c>
      <c r="F247" s="164">
        <v>0.77131113587095168</v>
      </c>
      <c r="G247" s="164">
        <v>1.1047965019439882E-3</v>
      </c>
      <c r="H247" s="164">
        <v>4.0519363626124835E-2</v>
      </c>
      <c r="I247" s="516">
        <v>98.189170005700788</v>
      </c>
      <c r="J247" s="517">
        <v>8.4424408571092437E-3</v>
      </c>
    </row>
    <row r="248" spans="2:10" x14ac:dyDescent="0.2">
      <c r="B248" s="514"/>
      <c r="C248" s="515">
        <v>250</v>
      </c>
      <c r="D248" s="164">
        <v>7.4938314315636204E-2</v>
      </c>
      <c r="E248" s="164">
        <v>0.24829856283946661</v>
      </c>
      <c r="F248" s="164">
        <v>0.82488359610403217</v>
      </c>
      <c r="G248" s="164">
        <v>1.3397247068939546E-3</v>
      </c>
      <c r="H248" s="164">
        <v>2.4792017251333211E-2</v>
      </c>
      <c r="I248" s="163">
        <v>119.06844882186297</v>
      </c>
      <c r="J248" s="517">
        <v>6.7615639337813534E-3</v>
      </c>
    </row>
    <row r="249" spans="2:10" x14ac:dyDescent="0.2">
      <c r="B249" s="514"/>
      <c r="C249" s="515">
        <v>500</v>
      </c>
      <c r="D249" s="164">
        <v>9.6827586093463813E-2</v>
      </c>
      <c r="E249" s="164">
        <v>0.34906723804506207</v>
      </c>
      <c r="F249" s="164">
        <v>1.0170760229347708</v>
      </c>
      <c r="G249" s="164">
        <v>1.6450366191737449E-3</v>
      </c>
      <c r="H249" s="164">
        <v>3.249636522554783E-2</v>
      </c>
      <c r="I249" s="163">
        <v>167.59873405250684</v>
      </c>
      <c r="J249" s="517">
        <v>8.7365961651438406E-3</v>
      </c>
    </row>
    <row r="250" spans="2:10" ht="10.8" thickBot="1" x14ac:dyDescent="0.25">
      <c r="B250" s="525" t="s">
        <v>571</v>
      </c>
      <c r="C250" s="526"/>
      <c r="D250" s="527">
        <v>5.34306800163813E-2</v>
      </c>
      <c r="E250" s="527">
        <v>0.19935890579400189</v>
      </c>
      <c r="F250" s="527">
        <v>0.23012492577481455</v>
      </c>
      <c r="G250" s="527">
        <v>3.1746437941254988E-4</v>
      </c>
      <c r="H250" s="527">
        <v>1.8677362706024978E-2</v>
      </c>
      <c r="I250" s="528">
        <v>25.602675398812433</v>
      </c>
      <c r="J250" s="529">
        <v>4.8209639724681409E-3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workbookViewId="0">
      <selection activeCell="I19" sqref="I19:J1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2016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1.0072183770484511E-2</v>
      </c>
      <c r="E9" s="164">
        <v>5.2832692999133499E-2</v>
      </c>
      <c r="F9" s="164">
        <v>6.3075839635705261E-2</v>
      </c>
      <c r="G9" s="164">
        <v>1.3464341548464478E-4</v>
      </c>
      <c r="H9" s="164">
        <v>2.5019273961646928E-3</v>
      </c>
      <c r="I9" s="516">
        <v>8.6526848302234143</v>
      </c>
      <c r="J9" s="517">
        <v>9.0879688618008408E-4</v>
      </c>
    </row>
    <row r="10" spans="1:10" x14ac:dyDescent="0.2">
      <c r="B10" s="514"/>
      <c r="C10" s="515">
        <v>25</v>
      </c>
      <c r="D10" s="164">
        <v>1.5026387334655269E-2</v>
      </c>
      <c r="E10" s="164">
        <v>4.791477441138893E-2</v>
      </c>
      <c r="F10" s="164">
        <v>8.8679651245102714E-2</v>
      </c>
      <c r="G10" s="164">
        <v>1.3906251606554947E-4</v>
      </c>
      <c r="H10" s="164">
        <v>4.3159807536623847E-3</v>
      </c>
      <c r="I10" s="516">
        <v>10.960070341017083</v>
      </c>
      <c r="J10" s="517">
        <v>1.3558068003557944E-3</v>
      </c>
    </row>
    <row r="11" spans="1:10" x14ac:dyDescent="0.2">
      <c r="B11" s="514"/>
      <c r="C11" s="515">
        <v>50</v>
      </c>
      <c r="D11" s="164">
        <v>4.2958246826547246E-2</v>
      </c>
      <c r="E11" s="164">
        <v>0.15921007979994548</v>
      </c>
      <c r="F11" s="164">
        <v>0.16372712481482085</v>
      </c>
      <c r="G11" s="164">
        <v>2.5354395629026156E-4</v>
      </c>
      <c r="H11" s="164">
        <v>1.1622654466011134E-2</v>
      </c>
      <c r="I11" s="516">
        <v>19.612761378367495</v>
      </c>
      <c r="J11" s="517">
        <v>3.8760529708525369E-3</v>
      </c>
    </row>
    <row r="12" spans="1:10" x14ac:dyDescent="0.2">
      <c r="B12" s="514"/>
      <c r="C12" s="515">
        <v>120</v>
      </c>
      <c r="D12" s="164">
        <v>4.1256103283421976E-2</v>
      </c>
      <c r="E12" s="164">
        <v>0.23554716265080974</v>
      </c>
      <c r="F12" s="164">
        <v>0.30214888123747818</v>
      </c>
      <c r="G12" s="164">
        <v>4.4660184460307463E-4</v>
      </c>
      <c r="H12" s="164">
        <v>2.1901020883826179E-2</v>
      </c>
      <c r="I12" s="516">
        <v>38.071823208441309</v>
      </c>
      <c r="J12" s="517">
        <v>3.7224725625345937E-3</v>
      </c>
    </row>
    <row r="13" spans="1:10" x14ac:dyDescent="0.2">
      <c r="B13" s="514"/>
      <c r="C13" s="515">
        <v>500</v>
      </c>
      <c r="D13" s="164">
        <v>9.5072639064784789E-2</v>
      </c>
      <c r="E13" s="164">
        <v>0.41030054715201952</v>
      </c>
      <c r="F13" s="164">
        <v>1.1061750845736846</v>
      </c>
      <c r="G13" s="164">
        <v>2.0892509824215091E-3</v>
      </c>
      <c r="H13" s="164">
        <v>3.3091187307928017E-2</v>
      </c>
      <c r="I13" s="163">
        <v>212.8559826114867</v>
      </c>
      <c r="J13" s="517">
        <v>8.5782524062043407E-3</v>
      </c>
    </row>
    <row r="14" spans="1:10" x14ac:dyDescent="0.2">
      <c r="B14" s="514"/>
      <c r="C14" s="515">
        <v>750</v>
      </c>
      <c r="D14" s="164">
        <v>0.1770700549076229</v>
      </c>
      <c r="E14" s="164">
        <v>0.74165428791272225</v>
      </c>
      <c r="F14" s="164">
        <v>2.0747765901844892</v>
      </c>
      <c r="G14" s="164">
        <v>3.8686163041460045E-3</v>
      </c>
      <c r="H14" s="164">
        <v>6.1120320212324532E-2</v>
      </c>
      <c r="I14" s="163">
        <v>384.75604258075924</v>
      </c>
      <c r="J14" s="517">
        <v>1.5976746136299885E-2</v>
      </c>
    </row>
    <row r="15" spans="1:10" x14ac:dyDescent="0.2">
      <c r="B15" s="518" t="s">
        <v>505</v>
      </c>
      <c r="C15" s="519"/>
      <c r="D15" s="520">
        <v>3.9702132092281718E-2</v>
      </c>
      <c r="E15" s="520">
        <v>0.18000949551169465</v>
      </c>
      <c r="F15" s="520">
        <v>0.24816088798733868</v>
      </c>
      <c r="G15" s="520">
        <v>3.9920782472271769E-4</v>
      </c>
      <c r="H15" s="520">
        <v>1.5000193173742548E-2</v>
      </c>
      <c r="I15" s="521">
        <v>34.721700283917357</v>
      </c>
      <c r="J15" s="522">
        <v>3.582259609665002E-3</v>
      </c>
    </row>
    <row r="16" spans="1:10" x14ac:dyDescent="0.2">
      <c r="B16" s="514" t="s">
        <v>506</v>
      </c>
      <c r="C16" s="515">
        <v>15</v>
      </c>
      <c r="D16" s="164">
        <v>1.0350022417133767E-2</v>
      </c>
      <c r="E16" s="164">
        <v>4.6113462676750747E-2</v>
      </c>
      <c r="F16" s="164">
        <v>6.4174478184830477E-2</v>
      </c>
      <c r="G16" s="164">
        <v>1.1239798239770851E-4</v>
      </c>
      <c r="H16" s="164">
        <v>3.723726664195866E-3</v>
      </c>
      <c r="I16" s="516">
        <v>7.2231123984213186</v>
      </c>
      <c r="J16" s="517">
        <v>9.3386566556942442E-4</v>
      </c>
    </row>
    <row r="17" spans="2:10" x14ac:dyDescent="0.2">
      <c r="B17" s="514"/>
      <c r="C17" s="515">
        <v>25</v>
      </c>
      <c r="D17" s="164">
        <v>2.1915494867590032E-2</v>
      </c>
      <c r="E17" s="164">
        <v>6.6470742022386245E-2</v>
      </c>
      <c r="F17" s="164">
        <v>0.12241851829066057</v>
      </c>
      <c r="G17" s="164">
        <v>1.8329522296285525E-4</v>
      </c>
      <c r="H17" s="164">
        <v>6.5504031419817161E-3</v>
      </c>
      <c r="I17" s="516">
        <v>14.446227052707631</v>
      </c>
      <c r="J17" s="517">
        <v>1.9774000592091539E-3</v>
      </c>
    </row>
    <row r="18" spans="2:10" x14ac:dyDescent="0.2">
      <c r="B18" s="514"/>
      <c r="C18" s="515">
        <v>50</v>
      </c>
      <c r="D18" s="164">
        <v>6.6702029095281182E-2</v>
      </c>
      <c r="E18" s="164">
        <v>0.2281100709626119</v>
      </c>
      <c r="F18" s="164">
        <v>0.19821179343479425</v>
      </c>
      <c r="G18" s="164">
        <v>2.8791175201714529E-4</v>
      </c>
      <c r="H18" s="164">
        <v>1.6487534328171863E-2</v>
      </c>
      <c r="I18" s="516">
        <v>22.271256112007169</v>
      </c>
      <c r="J18" s="517">
        <v>6.0184173846369749E-3</v>
      </c>
    </row>
    <row r="19" spans="2:10" x14ac:dyDescent="0.2">
      <c r="B19" s="514"/>
      <c r="C19" s="515">
        <v>120</v>
      </c>
      <c r="D19" s="164">
        <v>6.2432730803469526E-2</v>
      </c>
      <c r="E19" s="164">
        <v>0.31499587467723356</v>
      </c>
      <c r="F19" s="164">
        <v>0.39938269890484918</v>
      </c>
      <c r="G19" s="164">
        <v>5.50750139140712E-4</v>
      </c>
      <c r="H19" s="164">
        <v>3.3339367110253953E-2</v>
      </c>
      <c r="I19" s="516">
        <v>46.950228471538232</v>
      </c>
      <c r="J19" s="517">
        <v>5.6332043878243613E-3</v>
      </c>
    </row>
    <row r="20" spans="2:10" x14ac:dyDescent="0.2">
      <c r="B20" s="514"/>
      <c r="C20" s="515">
        <v>175</v>
      </c>
      <c r="D20" s="164">
        <v>8.2440227538961339E-2</v>
      </c>
      <c r="E20" s="164">
        <v>0.50063277099223547</v>
      </c>
      <c r="F20" s="164">
        <v>0.63777073500955173</v>
      </c>
      <c r="G20" s="164">
        <v>9.9558717673350352E-4</v>
      </c>
      <c r="H20" s="164">
        <v>3.4599226910307777E-2</v>
      </c>
      <c r="I20" s="516">
        <v>88.483140617864464</v>
      </c>
      <c r="J20" s="517">
        <v>7.4384500877202843E-3</v>
      </c>
    </row>
    <row r="21" spans="2:10" x14ac:dyDescent="0.2">
      <c r="B21" s="514"/>
      <c r="C21" s="515">
        <v>250</v>
      </c>
      <c r="D21" s="164">
        <v>8.3848457797121204E-2</v>
      </c>
      <c r="E21" s="164">
        <v>0.27406363747053702</v>
      </c>
      <c r="F21" s="164">
        <v>0.83079800072928156</v>
      </c>
      <c r="G21" s="164">
        <v>1.476448825981958E-3</v>
      </c>
      <c r="H21" s="164">
        <v>2.5679488689524417E-2</v>
      </c>
      <c r="I21" s="163">
        <v>131.21983767047496</v>
      </c>
      <c r="J21" s="517">
        <v>7.5655114010969504E-3</v>
      </c>
    </row>
    <row r="22" spans="2:10" x14ac:dyDescent="0.2">
      <c r="B22" s="514"/>
      <c r="C22" s="515">
        <v>500</v>
      </c>
      <c r="D22" s="164">
        <v>0.13872253259820252</v>
      </c>
      <c r="E22" s="164">
        <v>0.47335046835386052</v>
      </c>
      <c r="F22" s="164">
        <v>1.2718678790667879</v>
      </c>
      <c r="G22" s="164">
        <v>2.2746177762264044E-3</v>
      </c>
      <c r="H22" s="164">
        <v>4.2243982395272883E-2</v>
      </c>
      <c r="I22" s="163">
        <v>231.74146614135915</v>
      </c>
      <c r="J22" s="517">
        <v>1.2516712306270458E-2</v>
      </c>
    </row>
    <row r="23" spans="2:10" x14ac:dyDescent="0.2">
      <c r="B23" s="514"/>
      <c r="C23" s="515">
        <v>750</v>
      </c>
      <c r="D23" s="164">
        <v>0.21641066260290723</v>
      </c>
      <c r="E23" s="164">
        <v>0.73154169683114689</v>
      </c>
      <c r="F23" s="164">
        <v>2.0431377831691107</v>
      </c>
      <c r="G23" s="164">
        <v>3.6010599626737265E-3</v>
      </c>
      <c r="H23" s="164">
        <v>6.6812588512052143E-2</v>
      </c>
      <c r="I23" s="163">
        <v>358.14602136458615</v>
      </c>
      <c r="J23" s="517">
        <v>1.9526386904503392E-2</v>
      </c>
    </row>
    <row r="24" spans="2:10" x14ac:dyDescent="0.2">
      <c r="B24" s="514"/>
      <c r="C24" s="515">
        <v>1000</v>
      </c>
      <c r="D24" s="164">
        <v>0.33153469545744296</v>
      </c>
      <c r="E24" s="164">
        <v>1.1175064441262188</v>
      </c>
      <c r="F24" s="164">
        <v>4.188225893157596</v>
      </c>
      <c r="G24" s="164">
        <v>4.89017802034408E-3</v>
      </c>
      <c r="H24" s="164">
        <v>0.1136512809862309</v>
      </c>
      <c r="I24" s="163">
        <v>486.35622459494726</v>
      </c>
      <c r="J24" s="517">
        <v>2.9913838961798798E-2</v>
      </c>
    </row>
    <row r="25" spans="2:10" x14ac:dyDescent="0.2">
      <c r="B25" s="518" t="s">
        <v>507</v>
      </c>
      <c r="C25" s="519"/>
      <c r="D25" s="520">
        <v>7.0440337099728911E-2</v>
      </c>
      <c r="E25" s="520">
        <v>0.32071580895879093</v>
      </c>
      <c r="F25" s="520">
        <v>0.47291838447409634</v>
      </c>
      <c r="G25" s="520">
        <v>7.1132445213246856E-4</v>
      </c>
      <c r="H25" s="520">
        <v>3.1841634833308194E-2</v>
      </c>
      <c r="I25" s="521">
        <v>63.607314356417731</v>
      </c>
      <c r="J25" s="522">
        <v>6.3557181273110209E-3</v>
      </c>
    </row>
    <row r="26" spans="2:10" x14ac:dyDescent="0.2">
      <c r="B26" s="514" t="s">
        <v>508</v>
      </c>
      <c r="C26" s="515">
        <v>15</v>
      </c>
      <c r="D26" s="164">
        <v>1.2042827063722533E-2</v>
      </c>
      <c r="E26" s="164">
        <v>6.3169533591556984E-2</v>
      </c>
      <c r="F26" s="164">
        <v>7.5416778685439653E-2</v>
      </c>
      <c r="G26" s="164">
        <v>1.6098673301561024E-4</v>
      </c>
      <c r="H26" s="164">
        <v>2.9469403852629425E-3</v>
      </c>
      <c r="I26" s="516">
        <v>10.345605028030164</v>
      </c>
      <c r="J26" s="517">
        <v>1.0866049987580076E-3</v>
      </c>
    </row>
    <row r="27" spans="2:10" x14ac:dyDescent="0.2">
      <c r="B27" s="514"/>
      <c r="C27" s="515">
        <v>25</v>
      </c>
      <c r="D27" s="164">
        <v>1.9288430996536279E-2</v>
      </c>
      <c r="E27" s="164">
        <v>6.5833997230212521E-2</v>
      </c>
      <c r="F27" s="164">
        <v>0.12188743243735975</v>
      </c>
      <c r="G27" s="164">
        <v>2.0286576942152429E-4</v>
      </c>
      <c r="H27" s="164">
        <v>4.6158434760940146E-3</v>
      </c>
      <c r="I27" s="516">
        <v>15.988656377405711</v>
      </c>
      <c r="J27" s="517">
        <v>1.7403641597846873E-3</v>
      </c>
    </row>
    <row r="28" spans="2:10" x14ac:dyDescent="0.2">
      <c r="B28" s="514"/>
      <c r="C28" s="515">
        <v>50</v>
      </c>
      <c r="D28" s="164">
        <v>2.2012242185564922E-2</v>
      </c>
      <c r="E28" s="164">
        <v>0.22234801202023916</v>
      </c>
      <c r="F28" s="164">
        <v>0.21062241268915038</v>
      </c>
      <c r="G28" s="164">
        <v>4.0122849950615969E-4</v>
      </c>
      <c r="H28" s="164">
        <v>5.7897014685319003E-3</v>
      </c>
      <c r="I28" s="516">
        <v>31.036808833637217</v>
      </c>
      <c r="J28" s="517">
        <v>1.9861292583029395E-3</v>
      </c>
    </row>
    <row r="29" spans="2:10" x14ac:dyDescent="0.2">
      <c r="B29" s="514"/>
      <c r="C29" s="515">
        <v>120</v>
      </c>
      <c r="D29" s="164">
        <v>3.490161163394627E-2</v>
      </c>
      <c r="E29" s="164">
        <v>0.46707432326303477</v>
      </c>
      <c r="F29" s="164">
        <v>0.33078758885871434</v>
      </c>
      <c r="G29" s="164">
        <v>9.0467784425450159E-4</v>
      </c>
      <c r="H29" s="164">
        <v>1.2484572301372371E-2</v>
      </c>
      <c r="I29" s="516">
        <v>77.121750016602093</v>
      </c>
      <c r="J29" s="517">
        <v>3.149115809265884E-3</v>
      </c>
    </row>
    <row r="30" spans="2:10" x14ac:dyDescent="0.2">
      <c r="B30" s="514"/>
      <c r="C30" s="515">
        <v>175</v>
      </c>
      <c r="D30" s="164">
        <v>5.6588490025044937E-2</v>
      </c>
      <c r="E30" s="164">
        <v>0.75402479146815571</v>
      </c>
      <c r="F30" s="164">
        <v>0.43758805438989684</v>
      </c>
      <c r="G30" s="164">
        <v>1.5873513787969121E-3</v>
      </c>
      <c r="H30" s="164">
        <v>1.5610291540950614E-2</v>
      </c>
      <c r="I30" s="163">
        <v>141.0763885744378</v>
      </c>
      <c r="J30" s="517">
        <v>5.1058888379934249E-3</v>
      </c>
    </row>
    <row r="31" spans="2:10" x14ac:dyDescent="0.2">
      <c r="B31" s="514"/>
      <c r="C31" s="515">
        <v>250</v>
      </c>
      <c r="D31" s="164">
        <v>6.2790873105083092E-2</v>
      </c>
      <c r="E31" s="164">
        <v>0.34252426132399488</v>
      </c>
      <c r="F31" s="164">
        <v>0.38867890535453359</v>
      </c>
      <c r="G31" s="164">
        <v>2.1164691524191807E-3</v>
      </c>
      <c r="H31" s="164">
        <v>1.1351043185608735E-2</v>
      </c>
      <c r="I31" s="163">
        <v>188.10191609701681</v>
      </c>
      <c r="J31" s="517">
        <v>5.6655174456468503E-3</v>
      </c>
    </row>
    <row r="32" spans="2:10" x14ac:dyDescent="0.2">
      <c r="B32" s="514"/>
      <c r="C32" s="515">
        <v>500</v>
      </c>
      <c r="D32" s="164">
        <v>0.10332170036953436</v>
      </c>
      <c r="E32" s="164">
        <v>0.55108497743230722</v>
      </c>
      <c r="F32" s="164">
        <v>0.62522997052789697</v>
      </c>
      <c r="G32" s="164">
        <v>3.0555944858104327E-3</v>
      </c>
      <c r="H32" s="164">
        <v>1.8609304548141067E-2</v>
      </c>
      <c r="I32" s="163">
        <v>311.30848918343634</v>
      </c>
      <c r="J32" s="517">
        <v>9.3225523753724289E-3</v>
      </c>
    </row>
    <row r="33" spans="2:10" x14ac:dyDescent="0.2">
      <c r="B33" s="514"/>
      <c r="C33" s="515">
        <v>750</v>
      </c>
      <c r="D33" s="164">
        <v>0.2045333552525104</v>
      </c>
      <c r="E33" s="164">
        <v>1.0889213823567692</v>
      </c>
      <c r="F33" s="164">
        <v>1.2439607103340689</v>
      </c>
      <c r="G33" s="164">
        <v>6.1845933027413601E-3</v>
      </c>
      <c r="H33" s="164">
        <v>3.6857152244530234E-2</v>
      </c>
      <c r="I33" s="163">
        <v>615.09338837891403</v>
      </c>
      <c r="J33" s="517">
        <v>1.8454714804024872E-2</v>
      </c>
    </row>
    <row r="34" spans="2:10" x14ac:dyDescent="0.2">
      <c r="B34" s="514"/>
      <c r="C34" s="515">
        <v>1000</v>
      </c>
      <c r="D34" s="164">
        <v>0.32731605661418517</v>
      </c>
      <c r="E34" s="164">
        <v>1.6483876093874965</v>
      </c>
      <c r="F34" s="164">
        <v>4.6464637680575303</v>
      </c>
      <c r="G34" s="164">
        <v>9.333625554337803E-3</v>
      </c>
      <c r="H34" s="164">
        <v>0.10111367896712167</v>
      </c>
      <c r="I34" s="163">
        <v>928.28287182890119</v>
      </c>
      <c r="J34" s="517">
        <v>2.9533200643575255E-2</v>
      </c>
    </row>
    <row r="35" spans="2:10" x14ac:dyDescent="0.2">
      <c r="B35" s="518" t="s">
        <v>509</v>
      </c>
      <c r="C35" s="519"/>
      <c r="D35" s="520">
        <v>6.2251805443835712E-2</v>
      </c>
      <c r="E35" s="520">
        <v>0.50164007237687935</v>
      </c>
      <c r="F35" s="520">
        <v>0.53397784360524159</v>
      </c>
      <c r="G35" s="520">
        <v>1.7463070121022418E-3</v>
      </c>
      <c r="H35" s="520">
        <v>1.5962129856225235E-2</v>
      </c>
      <c r="I35" s="523">
        <v>164.90928014566543</v>
      </c>
      <c r="J35" s="522">
        <v>5.6168802046527022E-3</v>
      </c>
    </row>
    <row r="36" spans="2:10" x14ac:dyDescent="0.2">
      <c r="B36" s="514" t="s">
        <v>510</v>
      </c>
      <c r="C36" s="515">
        <v>15</v>
      </c>
      <c r="D36" s="164">
        <v>7.368082165869658E-3</v>
      </c>
      <c r="E36" s="164">
        <v>3.8590837740679701E-2</v>
      </c>
      <c r="F36" s="164">
        <v>4.6186912705205342E-2</v>
      </c>
      <c r="G36" s="164">
        <v>9.8348246426082286E-5</v>
      </c>
      <c r="H36" s="164">
        <v>1.8638765402762222E-3</v>
      </c>
      <c r="I36" s="516">
        <v>6.3202233274290505</v>
      </c>
      <c r="J36" s="517">
        <v>6.6481009637317371E-4</v>
      </c>
    </row>
    <row r="37" spans="2:10" x14ac:dyDescent="0.2">
      <c r="B37" s="514"/>
      <c r="C37" s="515">
        <v>25</v>
      </c>
      <c r="D37" s="164">
        <v>2.4348888152135869E-2</v>
      </c>
      <c r="E37" s="164">
        <v>7.7125545683451438E-2</v>
      </c>
      <c r="F37" s="164">
        <v>0.1432321212802444</v>
      </c>
      <c r="G37" s="164">
        <v>2.2275458414478471E-4</v>
      </c>
      <c r="H37" s="164">
        <v>7.0378642671181293E-3</v>
      </c>
      <c r="I37" s="516">
        <v>17.556176432901918</v>
      </c>
      <c r="J37" s="517">
        <v>2.1969606463239813E-3</v>
      </c>
    </row>
    <row r="38" spans="2:10" x14ac:dyDescent="0.2">
      <c r="B38" s="518" t="s">
        <v>511</v>
      </c>
      <c r="C38" s="519"/>
      <c r="D38" s="520">
        <v>8.7704467412257521E-3</v>
      </c>
      <c r="E38" s="520">
        <v>4.1773237291345473E-2</v>
      </c>
      <c r="F38" s="520">
        <v>5.420141819003025E-2</v>
      </c>
      <c r="G38" s="520">
        <v>1.0862237835524974E-4</v>
      </c>
      <c r="H38" s="520">
        <v>2.2911717527248346E-3</v>
      </c>
      <c r="I38" s="521">
        <v>7.248147633155253</v>
      </c>
      <c r="J38" s="522">
        <v>7.9134317478542042E-4</v>
      </c>
    </row>
    <row r="39" spans="2:10" x14ac:dyDescent="0.2">
      <c r="B39" s="514" t="s">
        <v>512</v>
      </c>
      <c r="C39" s="515">
        <v>25</v>
      </c>
      <c r="D39" s="164">
        <v>1.9878432547483112E-2</v>
      </c>
      <c r="E39" s="164">
        <v>6.7847753518275197E-2</v>
      </c>
      <c r="F39" s="164">
        <v>0.1256158079040364</v>
      </c>
      <c r="G39" s="164">
        <v>2.0907113820381576E-4</v>
      </c>
      <c r="H39" s="164">
        <v>4.6871809913083149E-3</v>
      </c>
      <c r="I39" s="516">
        <v>16.477727862669589</v>
      </c>
      <c r="J39" s="517">
        <v>1.7935988450524555E-3</v>
      </c>
    </row>
    <row r="40" spans="2:10" x14ac:dyDescent="0.2">
      <c r="B40" s="514"/>
      <c r="C40" s="515">
        <v>50</v>
      </c>
      <c r="D40" s="164">
        <v>7.0276758830985372E-2</v>
      </c>
      <c r="E40" s="164">
        <v>0.26731528335710841</v>
      </c>
      <c r="F40" s="164">
        <v>0.2561577755163495</v>
      </c>
      <c r="G40" s="164">
        <v>3.905290918907323E-4</v>
      </c>
      <c r="H40" s="164">
        <v>1.8605874193205214E-2</v>
      </c>
      <c r="I40" s="516">
        <v>30.209161254053228</v>
      </c>
      <c r="J40" s="517">
        <v>6.3409600805010647E-3</v>
      </c>
    </row>
    <row r="41" spans="2:10" x14ac:dyDescent="0.2">
      <c r="B41" s="514"/>
      <c r="C41" s="515">
        <v>120</v>
      </c>
      <c r="D41" s="164">
        <v>8.088743621564265E-2</v>
      </c>
      <c r="E41" s="164">
        <v>0.47242368137001767</v>
      </c>
      <c r="F41" s="164">
        <v>0.57832333595570939</v>
      </c>
      <c r="G41" s="164">
        <v>8.6981466581136514E-4</v>
      </c>
      <c r="H41" s="164">
        <v>4.3553220005783246E-2</v>
      </c>
      <c r="I41" s="516">
        <v>74.149761562139503</v>
      </c>
      <c r="J41" s="517">
        <v>7.2983432328555444E-3</v>
      </c>
    </row>
    <row r="42" spans="2:10" x14ac:dyDescent="0.2">
      <c r="B42" s="514"/>
      <c r="C42" s="515">
        <v>175</v>
      </c>
      <c r="D42" s="164">
        <v>0.12261017278804727</v>
      </c>
      <c r="E42" s="164">
        <v>0.86675441684455012</v>
      </c>
      <c r="F42" s="164">
        <v>1.0453519528144117</v>
      </c>
      <c r="G42" s="164">
        <v>1.8025259908174074E-3</v>
      </c>
      <c r="H42" s="164">
        <v>5.2508721627226314E-2</v>
      </c>
      <c r="I42" s="163">
        <v>160.20009204778043</v>
      </c>
      <c r="J42" s="517">
        <v>1.1062919326997376E-2</v>
      </c>
    </row>
    <row r="43" spans="2:10" x14ac:dyDescent="0.2">
      <c r="B43" s="518" t="s">
        <v>513</v>
      </c>
      <c r="C43" s="519"/>
      <c r="D43" s="520">
        <v>7.5626868985607901E-2</v>
      </c>
      <c r="E43" s="520">
        <v>0.39364526947358036</v>
      </c>
      <c r="F43" s="520">
        <v>0.45891010620309441</v>
      </c>
      <c r="G43" s="520">
        <v>6.9733473373411142E-4</v>
      </c>
      <c r="H43" s="520">
        <v>3.362082120218398E-2</v>
      </c>
      <c r="I43" s="521">
        <v>58.463653264847551</v>
      </c>
      <c r="J43" s="522">
        <v>6.8236911336269782E-3</v>
      </c>
    </row>
    <row r="44" spans="2:10" x14ac:dyDescent="0.2">
      <c r="B44" s="514" t="s">
        <v>514</v>
      </c>
      <c r="C44" s="515">
        <v>50</v>
      </c>
      <c r="D44" s="164">
        <v>7.7861139063717819E-2</v>
      </c>
      <c r="E44" s="164">
        <v>0.26554618002391106</v>
      </c>
      <c r="F44" s="164">
        <v>0.21590200563166273</v>
      </c>
      <c r="G44" s="164">
        <v>2.9974611733763585E-4</v>
      </c>
      <c r="H44" s="164">
        <v>1.8462746736161915E-2</v>
      </c>
      <c r="I44" s="516">
        <v>23.186696900609736</v>
      </c>
      <c r="J44" s="517">
        <v>7.0252869653921572E-3</v>
      </c>
    </row>
    <row r="45" spans="2:10" x14ac:dyDescent="0.2">
      <c r="B45" s="514"/>
      <c r="C45" s="515">
        <v>120</v>
      </c>
      <c r="D45" s="164">
        <v>7.4390309773906996E-2</v>
      </c>
      <c r="E45" s="164">
        <v>0.35331106418905761</v>
      </c>
      <c r="F45" s="164">
        <v>0.44761805151912359</v>
      </c>
      <c r="G45" s="164">
        <v>5.8826123668460656E-4</v>
      </c>
      <c r="H45" s="164">
        <v>3.7764132703622492E-2</v>
      </c>
      <c r="I45" s="516">
        <v>50.14796460866976</v>
      </c>
      <c r="J45" s="517">
        <v>6.7121175739670268E-3</v>
      </c>
    </row>
    <row r="46" spans="2:10" x14ac:dyDescent="0.2">
      <c r="B46" s="514"/>
      <c r="C46" s="515">
        <v>175</v>
      </c>
      <c r="D46" s="164">
        <v>8.6223971208826578E-2</v>
      </c>
      <c r="E46" s="164">
        <v>0.4783063823642264</v>
      </c>
      <c r="F46" s="164">
        <v>0.60993333747409773</v>
      </c>
      <c r="G46" s="164">
        <v>9.0401458635910967E-4</v>
      </c>
      <c r="H46" s="164">
        <v>3.4586827671382853E-2</v>
      </c>
      <c r="I46" s="516">
        <v>80.344570135294802</v>
      </c>
      <c r="J46" s="517">
        <v>7.7798489864826514E-3</v>
      </c>
    </row>
    <row r="47" spans="2:10" x14ac:dyDescent="0.2">
      <c r="B47" s="514"/>
      <c r="C47" s="515">
        <v>250</v>
      </c>
      <c r="D47" s="164">
        <v>8.7543992047587019E-2</v>
      </c>
      <c r="E47" s="164">
        <v>0.26335546087309181</v>
      </c>
      <c r="F47" s="164">
        <v>0.75344142332028841</v>
      </c>
      <c r="G47" s="164">
        <v>1.2619798186026521E-3</v>
      </c>
      <c r="H47" s="164">
        <v>2.5928370945466902E-2</v>
      </c>
      <c r="I47" s="163">
        <v>112.1588919437727</v>
      </c>
      <c r="J47" s="517">
        <v>7.898953097270742E-3</v>
      </c>
    </row>
    <row r="48" spans="2:10" x14ac:dyDescent="0.2">
      <c r="B48" s="514"/>
      <c r="C48" s="515">
        <v>500</v>
      </c>
      <c r="D48" s="164">
        <v>0.13249726882716423</v>
      </c>
      <c r="E48" s="164">
        <v>0.44311528808837403</v>
      </c>
      <c r="F48" s="164">
        <v>1.072339125462817</v>
      </c>
      <c r="G48" s="164">
        <v>1.7677532588218458E-3</v>
      </c>
      <c r="H48" s="164">
        <v>3.8704096471644717E-2</v>
      </c>
      <c r="I48" s="163">
        <v>180.10130637401463</v>
      </c>
      <c r="J48" s="517">
        <v>1.1955016897318338E-2</v>
      </c>
    </row>
    <row r="49" spans="2:10" x14ac:dyDescent="0.2">
      <c r="B49" s="514"/>
      <c r="C49" s="515">
        <v>750</v>
      </c>
      <c r="D49" s="164">
        <v>0.22437386311699337</v>
      </c>
      <c r="E49" s="164">
        <v>0.744762856250753</v>
      </c>
      <c r="F49" s="164">
        <v>1.863490278089531</v>
      </c>
      <c r="G49" s="164">
        <v>3.0470318572144786E-3</v>
      </c>
      <c r="H49" s="164">
        <v>6.6284661187358457E-2</v>
      </c>
      <c r="I49" s="163">
        <v>303.04464342842351</v>
      </c>
      <c r="J49" s="517">
        <v>2.0244888710209383E-2</v>
      </c>
    </row>
    <row r="50" spans="2:10" x14ac:dyDescent="0.2">
      <c r="B50" s="514"/>
      <c r="C50" s="515">
        <v>9999</v>
      </c>
      <c r="D50" s="164">
        <v>0.82463924700259839</v>
      </c>
      <c r="E50" s="164">
        <v>2.7017185074137355</v>
      </c>
      <c r="F50" s="164">
        <v>8.7643825921955223</v>
      </c>
      <c r="G50" s="164">
        <v>9.7591710473258694E-3</v>
      </c>
      <c r="H50" s="164">
        <v>0.25552250037715679</v>
      </c>
      <c r="I50" s="163">
        <v>970.60543124704259</v>
      </c>
      <c r="J50" s="517">
        <v>7.440588376769823E-2</v>
      </c>
    </row>
    <row r="51" spans="2:10" x14ac:dyDescent="0.2">
      <c r="B51" s="518" t="s">
        <v>515</v>
      </c>
      <c r="C51" s="519"/>
      <c r="D51" s="520">
        <v>0.11368378496393428</v>
      </c>
      <c r="E51" s="520">
        <v>0.42632367148554617</v>
      </c>
      <c r="F51" s="520">
        <v>0.93870130412833364</v>
      </c>
      <c r="G51" s="520">
        <v>1.3768202583185919E-3</v>
      </c>
      <c r="H51" s="520">
        <v>3.8784880778568738E-2</v>
      </c>
      <c r="I51" s="523">
        <v>128.62922911996495</v>
      </c>
      <c r="J51" s="522">
        <v>1.0257504976783243E-2</v>
      </c>
    </row>
    <row r="52" spans="2:10" x14ac:dyDescent="0.2">
      <c r="B52" s="514" t="s">
        <v>516</v>
      </c>
      <c r="C52" s="515">
        <v>50</v>
      </c>
      <c r="D52" s="164">
        <v>9.440762646360383E-2</v>
      </c>
      <c r="E52" s="164">
        <v>0.30148148173449835</v>
      </c>
      <c r="F52" s="164">
        <v>0.23864147712508468</v>
      </c>
      <c r="G52" s="164">
        <v>3.2163127225733735E-4</v>
      </c>
      <c r="H52" s="164">
        <v>2.1452084321386521E-2</v>
      </c>
      <c r="I52" s="516">
        <v>24.87960785359757</v>
      </c>
      <c r="J52" s="517">
        <v>8.5182473607191226E-3</v>
      </c>
    </row>
    <row r="53" spans="2:10" x14ac:dyDescent="0.2">
      <c r="B53" s="514"/>
      <c r="C53" s="515">
        <v>120</v>
      </c>
      <c r="D53" s="164">
        <v>0.10733475721444895</v>
      </c>
      <c r="E53" s="164">
        <v>0.47387492642200102</v>
      </c>
      <c r="F53" s="164">
        <v>0.63786366366738856</v>
      </c>
      <c r="G53" s="164">
        <v>7.7199165273652941E-4</v>
      </c>
      <c r="H53" s="164">
        <v>5.3297942526765965E-2</v>
      </c>
      <c r="I53" s="516">
        <v>65.810570066575764</v>
      </c>
      <c r="J53" s="517">
        <v>9.6846433756272235E-3</v>
      </c>
    </row>
    <row r="54" spans="2:10" x14ac:dyDescent="0.2">
      <c r="B54" s="514"/>
      <c r="C54" s="515">
        <v>175</v>
      </c>
      <c r="D54" s="164">
        <v>0.14270118640334106</v>
      </c>
      <c r="E54" s="164">
        <v>0.73605233980507956</v>
      </c>
      <c r="F54" s="164">
        <v>1.0097026260841171</v>
      </c>
      <c r="G54" s="164">
        <v>1.3635698144281608E-3</v>
      </c>
      <c r="H54" s="164">
        <v>5.6722390565369409E-2</v>
      </c>
      <c r="I54" s="163">
        <v>121.18774581505939</v>
      </c>
      <c r="J54" s="517">
        <v>1.2875697670697274E-2</v>
      </c>
    </row>
    <row r="55" spans="2:10" x14ac:dyDescent="0.2">
      <c r="B55" s="514"/>
      <c r="C55" s="515">
        <v>250</v>
      </c>
      <c r="D55" s="164">
        <v>0.1495867512131826</v>
      </c>
      <c r="E55" s="164">
        <v>0.4451810508353547</v>
      </c>
      <c r="F55" s="164">
        <v>1.2430726718266503</v>
      </c>
      <c r="G55" s="164">
        <v>1.8692647984559735E-3</v>
      </c>
      <c r="H55" s="164">
        <v>4.6814033176959417E-2</v>
      </c>
      <c r="I55" s="163">
        <v>166.13151317377029</v>
      </c>
      <c r="J55" s="517">
        <v>1.3496971715771702E-2</v>
      </c>
    </row>
    <row r="56" spans="2:10" x14ac:dyDescent="0.2">
      <c r="B56" s="514"/>
      <c r="C56" s="515">
        <v>500</v>
      </c>
      <c r="D56" s="164">
        <v>0.21826400601365795</v>
      </c>
      <c r="E56" s="164">
        <v>0.79029241144916973</v>
      </c>
      <c r="F56" s="164">
        <v>1.743823129231703</v>
      </c>
      <c r="G56" s="164">
        <v>2.5444215439556594E-3</v>
      </c>
      <c r="H56" s="164">
        <v>6.6874703262142968E-2</v>
      </c>
      <c r="I56" s="163">
        <v>259.22948498444816</v>
      </c>
      <c r="J56" s="517">
        <v>1.969361436708824E-2</v>
      </c>
    </row>
    <row r="57" spans="2:10" x14ac:dyDescent="0.2">
      <c r="B57" s="514"/>
      <c r="C57" s="515">
        <v>750</v>
      </c>
      <c r="D57" s="164">
        <v>0.39297733652135258</v>
      </c>
      <c r="E57" s="164">
        <v>1.4136790273939643</v>
      </c>
      <c r="F57" s="164">
        <v>3.2045136606328475</v>
      </c>
      <c r="G57" s="164">
        <v>4.6722996034404256E-3</v>
      </c>
      <c r="H57" s="164">
        <v>0.12133145974738888</v>
      </c>
      <c r="I57" s="163">
        <v>464.68704808448643</v>
      </c>
      <c r="J57" s="517">
        <v>3.5457718476318026E-2</v>
      </c>
    </row>
    <row r="58" spans="2:10" x14ac:dyDescent="0.2">
      <c r="B58" s="514"/>
      <c r="C58" s="515">
        <v>1000</v>
      </c>
      <c r="D58" s="164">
        <v>0.59703922593125791</v>
      </c>
      <c r="E58" s="164">
        <v>2.2313107901877891</v>
      </c>
      <c r="F58" s="164">
        <v>6.3308181697032788</v>
      </c>
      <c r="G58" s="164">
        <v>6.6170712556497709E-3</v>
      </c>
      <c r="H58" s="164">
        <v>0.19299182906009515</v>
      </c>
      <c r="I58" s="163">
        <v>658.10571199452727</v>
      </c>
      <c r="J58" s="517">
        <v>5.3869889859453048E-2</v>
      </c>
    </row>
    <row r="59" spans="2:10" x14ac:dyDescent="0.2">
      <c r="B59" s="518" t="s">
        <v>517</v>
      </c>
      <c r="C59" s="519"/>
      <c r="D59" s="520">
        <v>0.13346786656778239</v>
      </c>
      <c r="E59" s="520">
        <v>0.55493296750525711</v>
      </c>
      <c r="F59" s="520">
        <v>0.93145714834098725</v>
      </c>
      <c r="G59" s="520">
        <v>1.2581606093917635E-3</v>
      </c>
      <c r="H59" s="520">
        <v>5.4579512355809129E-2</v>
      </c>
      <c r="I59" s="523">
        <v>114.01878261425576</v>
      </c>
      <c r="J59" s="522">
        <v>1.204259166470968E-2</v>
      </c>
    </row>
    <row r="60" spans="2:10" x14ac:dyDescent="0.2">
      <c r="B60" s="514" t="s">
        <v>518</v>
      </c>
      <c r="C60" s="515">
        <v>50</v>
      </c>
      <c r="D60" s="164">
        <v>0.12338107789516158</v>
      </c>
      <c r="E60" s="164">
        <v>0.44932825991163722</v>
      </c>
      <c r="F60" s="164">
        <v>0.38772418825433747</v>
      </c>
      <c r="G60" s="164">
        <v>5.690150153862516E-4</v>
      </c>
      <c r="H60" s="164">
        <v>3.0952272907323834E-2</v>
      </c>
      <c r="I60" s="516">
        <v>44.015839493168357</v>
      </c>
      <c r="J60" s="517">
        <v>1.1132474413111951E-2</v>
      </c>
    </row>
    <row r="61" spans="2:10" x14ac:dyDescent="0.2">
      <c r="B61" s="514"/>
      <c r="C61" s="515">
        <v>120</v>
      </c>
      <c r="D61" s="164">
        <v>0.1053900677134727</v>
      </c>
      <c r="E61" s="164">
        <v>0.55936611992968899</v>
      </c>
      <c r="F61" s="164">
        <v>0.67746948304735854</v>
      </c>
      <c r="G61" s="164">
        <v>9.7528674948548725E-4</v>
      </c>
      <c r="H61" s="164">
        <v>5.5488341008544537E-2</v>
      </c>
      <c r="I61" s="516">
        <v>83.141015454507183</v>
      </c>
      <c r="J61" s="517">
        <v>9.5091756960655246E-3</v>
      </c>
    </row>
    <row r="62" spans="2:10" x14ac:dyDescent="0.2">
      <c r="B62" s="514"/>
      <c r="C62" s="515">
        <v>175</v>
      </c>
      <c r="D62" s="164">
        <v>0.15125520464208694</v>
      </c>
      <c r="E62" s="164">
        <v>0.95391779079414329</v>
      </c>
      <c r="F62" s="164">
        <v>1.1428109183341337</v>
      </c>
      <c r="G62" s="164">
        <v>1.8819646780475169E-3</v>
      </c>
      <c r="H62" s="164">
        <v>6.2030322717796085E-2</v>
      </c>
      <c r="I62" s="163">
        <v>167.26023317153803</v>
      </c>
      <c r="J62" s="517">
        <v>1.3647514837655464E-2</v>
      </c>
    </row>
    <row r="63" spans="2:10" x14ac:dyDescent="0.2">
      <c r="B63" s="514"/>
      <c r="C63" s="515">
        <v>250</v>
      </c>
      <c r="D63" s="164">
        <v>0.15525488776438753</v>
      </c>
      <c r="E63" s="164">
        <v>0.50711495957426023</v>
      </c>
      <c r="F63" s="164">
        <v>1.4546557388903887</v>
      </c>
      <c r="G63" s="164">
        <v>2.7514090388116794E-3</v>
      </c>
      <c r="H63" s="164">
        <v>4.5334906228370518E-2</v>
      </c>
      <c r="I63" s="163">
        <v>244.53242248073536</v>
      </c>
      <c r="J63" s="517">
        <v>1.4008402714612232E-2</v>
      </c>
    </row>
    <row r="64" spans="2:10" x14ac:dyDescent="0.2">
      <c r="B64" s="514"/>
      <c r="C64" s="515">
        <v>500</v>
      </c>
      <c r="D64" s="164">
        <v>0.22403755941403189</v>
      </c>
      <c r="E64" s="164">
        <v>0.75409602542693233</v>
      </c>
      <c r="F64" s="164">
        <v>1.9255985962234266</v>
      </c>
      <c r="G64" s="164">
        <v>3.6674525655594984E-3</v>
      </c>
      <c r="H64" s="164">
        <v>6.4767536216404409E-2</v>
      </c>
      <c r="I64" s="163">
        <v>373.64552298715569</v>
      </c>
      <c r="J64" s="517">
        <v>2.0214546641577562E-2</v>
      </c>
    </row>
    <row r="65" spans="2:10" x14ac:dyDescent="0.2">
      <c r="B65" s="514"/>
      <c r="C65" s="515">
        <v>750</v>
      </c>
      <c r="D65" s="164">
        <v>0.35244944162047459</v>
      </c>
      <c r="E65" s="164">
        <v>1.1817169329085284</v>
      </c>
      <c r="F65" s="164">
        <v>3.1407532511973928</v>
      </c>
      <c r="G65" s="164">
        <v>5.9205619817907446E-3</v>
      </c>
      <c r="H65" s="164">
        <v>0.1031455110689484</v>
      </c>
      <c r="I65" s="163">
        <v>588.83411148301786</v>
      </c>
      <c r="J65" s="517">
        <v>3.1800936902327492E-2</v>
      </c>
    </row>
    <row r="66" spans="2:10" x14ac:dyDescent="0.2">
      <c r="B66" s="514"/>
      <c r="C66" s="515">
        <v>9999</v>
      </c>
      <c r="D66" s="164">
        <v>0.91520329092493469</v>
      </c>
      <c r="E66" s="164">
        <v>2.9318391194997164</v>
      </c>
      <c r="F66" s="164">
        <v>10.827974416389379</v>
      </c>
      <c r="G66" s="164">
        <v>1.3149158982308434E-2</v>
      </c>
      <c r="H66" s="164">
        <v>0.29401524511592864</v>
      </c>
      <c r="I66" s="524">
        <v>1307.7590325493097</v>
      </c>
      <c r="J66" s="517">
        <v>8.2577327590858854E-2</v>
      </c>
    </row>
    <row r="67" spans="2:10" x14ac:dyDescent="0.2">
      <c r="B67" s="518" t="s">
        <v>519</v>
      </c>
      <c r="C67" s="519"/>
      <c r="D67" s="520">
        <v>0.13373643920997144</v>
      </c>
      <c r="E67" s="520">
        <v>0.64609560384321252</v>
      </c>
      <c r="F67" s="520">
        <v>0.89654484271463797</v>
      </c>
      <c r="G67" s="520">
        <v>1.456450936138464E-3</v>
      </c>
      <c r="H67" s="520">
        <v>5.3785936387663449E-2</v>
      </c>
      <c r="I67" s="523">
        <v>132.30897990406183</v>
      </c>
      <c r="J67" s="522">
        <v>1.2066823257789884E-2</v>
      </c>
    </row>
    <row r="68" spans="2:10" x14ac:dyDescent="0.2">
      <c r="B68" s="514" t="s">
        <v>520</v>
      </c>
      <c r="C68" s="515">
        <v>25</v>
      </c>
      <c r="D68" s="164">
        <v>9.2610945667317042E-3</v>
      </c>
      <c r="E68" s="164">
        <v>3.1428458701796343E-2</v>
      </c>
      <c r="F68" s="164">
        <v>5.8746682270580428E-2</v>
      </c>
      <c r="G68" s="164">
        <v>9.6739108875574392E-5</v>
      </c>
      <c r="H68" s="164">
        <v>2.3607209928926884E-3</v>
      </c>
      <c r="I68" s="516">
        <v>7.6243954192083141</v>
      </c>
      <c r="J68" s="517">
        <v>8.3561355246462084E-4</v>
      </c>
    </row>
    <row r="69" spans="2:10" x14ac:dyDescent="0.2">
      <c r="B69" s="518" t="s">
        <v>521</v>
      </c>
      <c r="C69" s="519"/>
      <c r="D69" s="520">
        <v>9.2610945667317042E-3</v>
      </c>
      <c r="E69" s="520">
        <v>3.1428458701796343E-2</v>
      </c>
      <c r="F69" s="520">
        <v>5.8746682270580428E-2</v>
      </c>
      <c r="G69" s="520">
        <v>9.6739108875574392E-5</v>
      </c>
      <c r="H69" s="520">
        <v>2.3607209928926884E-3</v>
      </c>
      <c r="I69" s="521">
        <v>7.6243954192083141</v>
      </c>
      <c r="J69" s="522">
        <v>8.3561355246462084E-4</v>
      </c>
    </row>
    <row r="70" spans="2:10" x14ac:dyDescent="0.2">
      <c r="B70" s="514" t="s">
        <v>522</v>
      </c>
      <c r="C70" s="515">
        <v>25</v>
      </c>
      <c r="D70" s="164">
        <v>1.9833046498055108E-2</v>
      </c>
      <c r="E70" s="164">
        <v>6.7692854150264076E-2</v>
      </c>
      <c r="F70" s="164">
        <v>0.12532898813430648</v>
      </c>
      <c r="G70" s="164">
        <v>2.0859377479114002E-4</v>
      </c>
      <c r="H70" s="164">
        <v>4.6766481192994022E-3</v>
      </c>
      <c r="I70" s="516">
        <v>16.440105816559932</v>
      </c>
      <c r="J70" s="517">
        <v>1.7895038444199504E-3</v>
      </c>
    </row>
    <row r="71" spans="2:10" x14ac:dyDescent="0.2">
      <c r="B71" s="514"/>
      <c r="C71" s="515">
        <v>50</v>
      </c>
      <c r="D71" s="164">
        <v>5.8137942071840011E-2</v>
      </c>
      <c r="E71" s="164">
        <v>0.26214624050685648</v>
      </c>
      <c r="F71" s="164">
        <v>0.21660156358807239</v>
      </c>
      <c r="G71" s="164">
        <v>3.234144925628436E-4</v>
      </c>
      <c r="H71" s="164">
        <v>1.4699504663173825E-2</v>
      </c>
      <c r="I71" s="516">
        <v>25.017550274399024</v>
      </c>
      <c r="J71" s="517">
        <v>5.2456923265371755E-3</v>
      </c>
    </row>
    <row r="72" spans="2:10" x14ac:dyDescent="0.2">
      <c r="B72" s="514"/>
      <c r="C72" s="515">
        <v>120</v>
      </c>
      <c r="D72" s="164">
        <v>8.3280907709573013E-2</v>
      </c>
      <c r="E72" s="164">
        <v>0.50701358268576269</v>
      </c>
      <c r="F72" s="164">
        <v>0.52923431531095622</v>
      </c>
      <c r="G72" s="164">
        <v>8.6363650971597839E-4</v>
      </c>
      <c r="H72" s="164">
        <v>3.9514788181745204E-2</v>
      </c>
      <c r="I72" s="516">
        <v>73.623078644625892</v>
      </c>
      <c r="J72" s="517">
        <v>7.5143016812491631E-3</v>
      </c>
    </row>
    <row r="73" spans="2:10" x14ac:dyDescent="0.2">
      <c r="B73" s="514"/>
      <c r="C73" s="515">
        <v>175</v>
      </c>
      <c r="D73" s="164">
        <v>9.7211873502789536E-2</v>
      </c>
      <c r="E73" s="164">
        <v>0.6647841820992122</v>
      </c>
      <c r="F73" s="164">
        <v>0.65627116852114553</v>
      </c>
      <c r="G73" s="164">
        <v>1.2626853161967942E-3</v>
      </c>
      <c r="H73" s="164">
        <v>3.5470793544836988E-2</v>
      </c>
      <c r="I73" s="163">
        <v>112.22158673621641</v>
      </c>
      <c r="J73" s="517">
        <v>8.7712691733410116E-3</v>
      </c>
    </row>
    <row r="74" spans="2:10" x14ac:dyDescent="0.2">
      <c r="B74" s="514"/>
      <c r="C74" s="515">
        <v>250</v>
      </c>
      <c r="D74" s="164">
        <v>0.10538121904022381</v>
      </c>
      <c r="E74" s="164">
        <v>0.33890908180591384</v>
      </c>
      <c r="F74" s="164">
        <v>0.78623375174885157</v>
      </c>
      <c r="G74" s="164">
        <v>1.7854526007361673E-3</v>
      </c>
      <c r="H74" s="164">
        <v>2.626375579700356E-2</v>
      </c>
      <c r="I74" s="163">
        <v>158.68273885248257</v>
      </c>
      <c r="J74" s="517">
        <v>9.5083794920756918E-3</v>
      </c>
    </row>
    <row r="75" spans="2:10" x14ac:dyDescent="0.2">
      <c r="B75" s="514"/>
      <c r="C75" s="515">
        <v>500</v>
      </c>
      <c r="D75" s="164">
        <v>0.14955077841248507</v>
      </c>
      <c r="E75" s="164">
        <v>0.48505267188754209</v>
      </c>
      <c r="F75" s="164">
        <v>1.0236210425618641</v>
      </c>
      <c r="G75" s="164">
        <v>2.2941887108755294E-3</v>
      </c>
      <c r="H75" s="164">
        <v>3.6614618148107118E-2</v>
      </c>
      <c r="I75" s="163">
        <v>233.73531392991876</v>
      </c>
      <c r="J75" s="517">
        <v>1.3493728077234307E-2</v>
      </c>
    </row>
    <row r="76" spans="2:10" x14ac:dyDescent="0.2">
      <c r="B76" s="514"/>
      <c r="C76" s="515">
        <v>750</v>
      </c>
      <c r="D76" s="164">
        <v>0.24927114552438415</v>
      </c>
      <c r="E76" s="164">
        <v>0.80372645970379841</v>
      </c>
      <c r="F76" s="164">
        <v>1.7546130093508312</v>
      </c>
      <c r="G76" s="164">
        <v>3.8953468413047273E-3</v>
      </c>
      <c r="H76" s="164">
        <v>6.1807372009200327E-2</v>
      </c>
      <c r="I76" s="163">
        <v>387.41460475987611</v>
      </c>
      <c r="J76" s="517">
        <v>2.2491333187062285E-2</v>
      </c>
    </row>
    <row r="77" spans="2:10" x14ac:dyDescent="0.2">
      <c r="B77" s="518" t="s">
        <v>523</v>
      </c>
      <c r="C77" s="519"/>
      <c r="D77" s="520">
        <v>9.8789823738726606E-2</v>
      </c>
      <c r="E77" s="520">
        <v>0.52126365524322305</v>
      </c>
      <c r="F77" s="520">
        <v>0.66026521475240108</v>
      </c>
      <c r="G77" s="520">
        <v>1.3153792624295332E-3</v>
      </c>
      <c r="H77" s="520">
        <v>3.3236890389946878E-2</v>
      </c>
      <c r="I77" s="523">
        <v>119.5800214362928</v>
      </c>
      <c r="J77" s="522">
        <v>8.9136464478364735E-3</v>
      </c>
    </row>
    <row r="78" spans="2:10" x14ac:dyDescent="0.2">
      <c r="B78" s="514" t="s">
        <v>524</v>
      </c>
      <c r="C78" s="515">
        <v>50</v>
      </c>
      <c r="D78" s="164">
        <v>2.8387016599947738E-2</v>
      </c>
      <c r="E78" s="164">
        <v>0.14887606302019482</v>
      </c>
      <c r="F78" s="164">
        <v>0.1275744604566911</v>
      </c>
      <c r="G78" s="164">
        <v>1.8967161926434765E-4</v>
      </c>
      <c r="H78" s="164">
        <v>7.9691411166441049E-3</v>
      </c>
      <c r="I78" s="516">
        <v>14.671948255199647</v>
      </c>
      <c r="J78" s="517">
        <v>2.5613151552982862E-3</v>
      </c>
    </row>
    <row r="79" spans="2:10" x14ac:dyDescent="0.2">
      <c r="B79" s="514"/>
      <c r="C79" s="515">
        <v>120</v>
      </c>
      <c r="D79" s="164">
        <v>3.1299143418485928E-2</v>
      </c>
      <c r="E79" s="164">
        <v>0.21331695341558959</v>
      </c>
      <c r="F79" s="164">
        <v>0.21157858595280923</v>
      </c>
      <c r="G79" s="164">
        <v>3.6628416504597507E-4</v>
      </c>
      <c r="H79" s="164">
        <v>1.4904665614115317E-2</v>
      </c>
      <c r="I79" s="516">
        <v>31.224910804932758</v>
      </c>
      <c r="J79" s="517">
        <v>2.8240715793914342E-3</v>
      </c>
    </row>
    <row r="80" spans="2:10" x14ac:dyDescent="0.2">
      <c r="B80" s="514"/>
      <c r="C80" s="515">
        <v>175</v>
      </c>
      <c r="D80" s="164">
        <v>4.5436839752385792E-2</v>
      </c>
      <c r="E80" s="164">
        <v>0.33197082085507285</v>
      </c>
      <c r="F80" s="164">
        <v>0.30499387620320667</v>
      </c>
      <c r="G80" s="164">
        <v>6.3070772528787836E-4</v>
      </c>
      <c r="H80" s="164">
        <v>1.6655229931547666E-2</v>
      </c>
      <c r="I80" s="516">
        <v>56.054349926148234</v>
      </c>
      <c r="J80" s="517">
        <v>4.0996931739035718E-3</v>
      </c>
    </row>
    <row r="81" spans="2:10" x14ac:dyDescent="0.2">
      <c r="B81" s="514"/>
      <c r="C81" s="515">
        <v>250</v>
      </c>
      <c r="D81" s="164">
        <v>4.9287947747182911E-2</v>
      </c>
      <c r="E81" s="164">
        <v>0.15723385976110094</v>
      </c>
      <c r="F81" s="164">
        <v>0.35314603182715643</v>
      </c>
      <c r="G81" s="164">
        <v>8.6775231234186999E-4</v>
      </c>
      <c r="H81" s="164">
        <v>1.1790742677146443E-2</v>
      </c>
      <c r="I81" s="516">
        <v>77.12178347024367</v>
      </c>
      <c r="J81" s="517">
        <v>4.4471716700414422E-3</v>
      </c>
    </row>
    <row r="82" spans="2:10" x14ac:dyDescent="0.2">
      <c r="B82" s="514"/>
      <c r="C82" s="515">
        <v>500</v>
      </c>
      <c r="D82" s="164">
        <v>6.9268495295159896E-2</v>
      </c>
      <c r="E82" s="164">
        <v>0.21501522074846036</v>
      </c>
      <c r="F82" s="164">
        <v>0.45320189207940476</v>
      </c>
      <c r="G82" s="164">
        <v>1.0893060446738963E-3</v>
      </c>
      <c r="H82" s="164">
        <v>1.6487256288263721E-2</v>
      </c>
      <c r="I82" s="163">
        <v>110.98012874478312</v>
      </c>
      <c r="J82" s="517">
        <v>6.2499858185030175E-3</v>
      </c>
    </row>
    <row r="83" spans="2:10" x14ac:dyDescent="0.2">
      <c r="B83" s="518" t="s">
        <v>525</v>
      </c>
      <c r="C83" s="519"/>
      <c r="D83" s="520">
        <v>4.2734365737914254E-2</v>
      </c>
      <c r="E83" s="520">
        <v>0.21896132818163108</v>
      </c>
      <c r="F83" s="520">
        <v>0.28158360904072804</v>
      </c>
      <c r="G83" s="520">
        <v>6.0284193107888696E-4</v>
      </c>
      <c r="H83" s="520">
        <v>1.3652571120855607E-2</v>
      </c>
      <c r="I83" s="521">
        <v>54.395756283771178</v>
      </c>
      <c r="J83" s="522">
        <v>3.8558531884925642E-3</v>
      </c>
    </row>
    <row r="84" spans="2:10" x14ac:dyDescent="0.2">
      <c r="B84" s="514" t="s">
        <v>526</v>
      </c>
      <c r="C84" s="515">
        <v>15</v>
      </c>
      <c r="D84" s="164">
        <v>1.3017040437477556E-2</v>
      </c>
      <c r="E84" s="164">
        <v>6.5167276557315607E-2</v>
      </c>
      <c r="F84" s="164">
        <v>8.9854268841180029E-2</v>
      </c>
      <c r="G84" s="164">
        <v>1.5884018609263405E-4</v>
      </c>
      <c r="H84" s="164">
        <v>4.7952387580691659E-3</v>
      </c>
      <c r="I84" s="516">
        <v>10.207657655204184</v>
      </c>
      <c r="J84" s="517">
        <v>1.1745064923794301E-3</v>
      </c>
    </row>
    <row r="85" spans="2:10" x14ac:dyDescent="0.2">
      <c r="B85" s="514"/>
      <c r="C85" s="515">
        <v>25</v>
      </c>
      <c r="D85" s="164">
        <v>2.4095788020693024E-2</v>
      </c>
      <c r="E85" s="164">
        <v>8.1126649814317386E-2</v>
      </c>
      <c r="F85" s="164">
        <v>0.14941015825922521</v>
      </c>
      <c r="G85" s="164">
        <v>2.2370934338388721E-4</v>
      </c>
      <c r="H85" s="164">
        <v>7.63817441271225E-3</v>
      </c>
      <c r="I85" s="516">
        <v>17.631419220513102</v>
      </c>
      <c r="J85" s="517">
        <v>2.1741235578904743E-3</v>
      </c>
    </row>
    <row r="86" spans="2:10" x14ac:dyDescent="0.2">
      <c r="B86" s="514"/>
      <c r="C86" s="515">
        <v>50</v>
      </c>
      <c r="D86" s="164">
        <v>6.2998237286384887E-2</v>
      </c>
      <c r="E86" s="164">
        <v>0.23925289429897215</v>
      </c>
      <c r="F86" s="164">
        <v>0.25320613786833462</v>
      </c>
      <c r="G86" s="164">
        <v>3.9587859262300688E-4</v>
      </c>
      <c r="H86" s="164">
        <v>1.741877713709046E-2</v>
      </c>
      <c r="I86" s="516">
        <v>30.622984344660455</v>
      </c>
      <c r="J86" s="517">
        <v>5.6842300324256344E-3</v>
      </c>
    </row>
    <row r="87" spans="2:10" x14ac:dyDescent="0.2">
      <c r="B87" s="514"/>
      <c r="C87" s="515">
        <v>120</v>
      </c>
      <c r="D87" s="164">
        <v>8.1378302509401576E-2</v>
      </c>
      <c r="E87" s="164">
        <v>0.47669167299591225</v>
      </c>
      <c r="F87" s="164">
        <v>0.61016449154783448</v>
      </c>
      <c r="G87" s="164">
        <v>9.1438678611331225E-4</v>
      </c>
      <c r="H87" s="164">
        <v>4.3116168389128948E-2</v>
      </c>
      <c r="I87" s="516">
        <v>77.949436873720572</v>
      </c>
      <c r="J87" s="517">
        <v>7.3426341145777273E-3</v>
      </c>
    </row>
    <row r="88" spans="2:10" x14ac:dyDescent="0.2">
      <c r="B88" s="514"/>
      <c r="C88" s="515">
        <v>175</v>
      </c>
      <c r="D88" s="164">
        <v>0.10062996083987794</v>
      </c>
      <c r="E88" s="164">
        <v>0.7336228788198178</v>
      </c>
      <c r="F88" s="164">
        <v>0.94160163193116286</v>
      </c>
      <c r="G88" s="164">
        <v>1.5975107568988729E-3</v>
      </c>
      <c r="H88" s="164">
        <v>4.3238585239608718E-2</v>
      </c>
      <c r="I88" s="163">
        <v>141.97929128271153</v>
      </c>
      <c r="J88" s="517">
        <v>9.0796807917814405E-3</v>
      </c>
    </row>
    <row r="89" spans="2:10" x14ac:dyDescent="0.2">
      <c r="B89" s="514"/>
      <c r="C89" s="515">
        <v>250</v>
      </c>
      <c r="D89" s="164">
        <v>0.1003443726775743</v>
      </c>
      <c r="E89" s="164">
        <v>0.40592390025831843</v>
      </c>
      <c r="F89" s="164">
        <v>1.2338856837160015</v>
      </c>
      <c r="G89" s="164">
        <v>2.3910458075780175E-3</v>
      </c>
      <c r="H89" s="164">
        <v>3.424253176405892E-2</v>
      </c>
      <c r="I89" s="163">
        <v>212.50493237688258</v>
      </c>
      <c r="J89" s="517">
        <v>9.0539114784326628E-3</v>
      </c>
    </row>
    <row r="90" spans="2:10" x14ac:dyDescent="0.2">
      <c r="B90" s="514"/>
      <c r="C90" s="515">
        <v>500</v>
      </c>
      <c r="D90" s="164">
        <v>0.14374324379805412</v>
      </c>
      <c r="E90" s="164">
        <v>0.6410968119442042</v>
      </c>
      <c r="F90" s="164">
        <v>1.7298805237412274</v>
      </c>
      <c r="G90" s="164">
        <v>3.306319302143217E-3</v>
      </c>
      <c r="H90" s="164">
        <v>5.0920569466419215E-2</v>
      </c>
      <c r="I90" s="163">
        <v>336.85273483300159</v>
      </c>
      <c r="J90" s="517">
        <v>1.2969718957370478E-2</v>
      </c>
    </row>
    <row r="91" spans="2:10" x14ac:dyDescent="0.2">
      <c r="B91" s="514"/>
      <c r="C91" s="515">
        <v>750</v>
      </c>
      <c r="D91" s="164">
        <v>0.23985278814337205</v>
      </c>
      <c r="E91" s="164">
        <v>1.034938977348242</v>
      </c>
      <c r="F91" s="164">
        <v>2.8965005111134059</v>
      </c>
      <c r="G91" s="164">
        <v>5.4676596434749701E-3</v>
      </c>
      <c r="H91" s="164">
        <v>8.3969910117738078E-2</v>
      </c>
      <c r="I91" s="163">
        <v>543.78989957839724</v>
      </c>
      <c r="J91" s="517">
        <v>2.1641533328340099E-2</v>
      </c>
    </row>
    <row r="92" spans="2:10" x14ac:dyDescent="0.2">
      <c r="B92" s="514"/>
      <c r="C92" s="515">
        <v>9999</v>
      </c>
      <c r="D92" s="164">
        <v>0.6052089547421946</v>
      </c>
      <c r="E92" s="164">
        <v>2.2398419633155044</v>
      </c>
      <c r="F92" s="164">
        <v>8.4479942549565781</v>
      </c>
      <c r="G92" s="164">
        <v>1.0543440107315973E-2</v>
      </c>
      <c r="H92" s="164">
        <v>0.21144863610645109</v>
      </c>
      <c r="I92" s="524">
        <v>1048.6050872392618</v>
      </c>
      <c r="J92" s="517">
        <v>5.4607025172695764E-2</v>
      </c>
    </row>
    <row r="93" spans="2:10" x14ac:dyDescent="0.2">
      <c r="B93" s="518" t="s">
        <v>527</v>
      </c>
      <c r="C93" s="519"/>
      <c r="D93" s="520">
        <v>5.8085098216518298E-2</v>
      </c>
      <c r="E93" s="520">
        <v>0.28622143870618649</v>
      </c>
      <c r="F93" s="520">
        <v>0.43698452809582611</v>
      </c>
      <c r="G93" s="520">
        <v>6.9799325222744373E-4</v>
      </c>
      <c r="H93" s="520">
        <v>2.40740471403708E-2</v>
      </c>
      <c r="I93" s="521">
        <v>60.992683692584095</v>
      </c>
      <c r="J93" s="522">
        <v>5.24092514772714E-3</v>
      </c>
    </row>
    <row r="94" spans="2:10" x14ac:dyDescent="0.2">
      <c r="B94" s="514" t="s">
        <v>528</v>
      </c>
      <c r="C94" s="515">
        <v>50</v>
      </c>
      <c r="D94" s="164">
        <v>8.1645297682159945E-2</v>
      </c>
      <c r="E94" s="164">
        <v>0.30029152691378042</v>
      </c>
      <c r="F94" s="164">
        <v>0.24755079217435347</v>
      </c>
      <c r="G94" s="164">
        <v>3.5599901967059639E-4</v>
      </c>
      <c r="H94" s="164">
        <v>1.958350222392357E-2</v>
      </c>
      <c r="I94" s="516">
        <v>27.538108519491423</v>
      </c>
      <c r="J94" s="517">
        <v>7.3667232077374682E-3</v>
      </c>
    </row>
    <row r="95" spans="2:10" x14ac:dyDescent="0.2">
      <c r="B95" s="514"/>
      <c r="C95" s="515">
        <v>120</v>
      </c>
      <c r="D95" s="164">
        <v>0.10022236229730146</v>
      </c>
      <c r="E95" s="164">
        <v>0.51963974396715396</v>
      </c>
      <c r="F95" s="164">
        <v>0.62203302892651624</v>
      </c>
      <c r="G95" s="164">
        <v>8.79376192086401E-4</v>
      </c>
      <c r="H95" s="164">
        <v>4.9935715765088477E-2</v>
      </c>
      <c r="I95" s="516">
        <v>74.964849079014996</v>
      </c>
      <c r="J95" s="517">
        <v>9.0429030805475544E-3</v>
      </c>
    </row>
    <row r="96" spans="2:10" x14ac:dyDescent="0.2">
      <c r="B96" s="514"/>
      <c r="C96" s="515">
        <v>175</v>
      </c>
      <c r="D96" s="164">
        <v>0.12153885438656534</v>
      </c>
      <c r="E96" s="164">
        <v>0.73097029592669438</v>
      </c>
      <c r="F96" s="164">
        <v>0.86244083024855533</v>
      </c>
      <c r="G96" s="164">
        <v>1.3943292941406354E-3</v>
      </c>
      <c r="H96" s="164">
        <v>4.7626684199077965E-2</v>
      </c>
      <c r="I96" s="163">
        <v>123.92145822830227</v>
      </c>
      <c r="J96" s="517">
        <v>1.0966253373769601E-2</v>
      </c>
    </row>
    <row r="97" spans="2:10" x14ac:dyDescent="0.2">
      <c r="B97" s="514"/>
      <c r="C97" s="515">
        <v>250</v>
      </c>
      <c r="D97" s="164">
        <v>0.12502860042983707</v>
      </c>
      <c r="E97" s="164">
        <v>0.39364769557371021</v>
      </c>
      <c r="F97" s="164">
        <v>1.0443625688644029</v>
      </c>
      <c r="G97" s="164">
        <v>1.9365685260860298E-3</v>
      </c>
      <c r="H97" s="164">
        <v>3.5850172070204148E-2</v>
      </c>
      <c r="I97" s="163">
        <v>172.11316949070743</v>
      </c>
      <c r="J97" s="517">
        <v>1.1281128673523056E-2</v>
      </c>
    </row>
    <row r="98" spans="2:10" x14ac:dyDescent="0.2">
      <c r="B98" s="514"/>
      <c r="C98" s="515">
        <v>500</v>
      </c>
      <c r="D98" s="164">
        <v>0.15786834601199012</v>
      </c>
      <c r="E98" s="164">
        <v>0.55245741687522776</v>
      </c>
      <c r="F98" s="164">
        <v>1.2393951315389484</v>
      </c>
      <c r="G98" s="164">
        <v>2.2524634107676184E-3</v>
      </c>
      <c r="H98" s="164">
        <v>4.4590117894040812E-2</v>
      </c>
      <c r="I98" s="163">
        <v>229.48431544436346</v>
      </c>
      <c r="J98" s="517">
        <v>1.4244206783455365E-2</v>
      </c>
    </row>
    <row r="99" spans="2:10" x14ac:dyDescent="0.2">
      <c r="B99" s="514"/>
      <c r="C99" s="515">
        <v>750</v>
      </c>
      <c r="D99" s="164">
        <v>0.33620225882031873</v>
      </c>
      <c r="E99" s="164">
        <v>1.1682493713213646</v>
      </c>
      <c r="F99" s="164">
        <v>2.7049673118307007</v>
      </c>
      <c r="G99" s="164">
        <v>4.8839997251928632E-3</v>
      </c>
      <c r="H99" s="164">
        <v>9.5973571361938029E-2</v>
      </c>
      <c r="I99" s="163">
        <v>485.74179683834734</v>
      </c>
      <c r="J99" s="517">
        <v>3.0334989660852907E-2</v>
      </c>
    </row>
    <row r="100" spans="2:10" x14ac:dyDescent="0.2">
      <c r="B100" s="518" t="s">
        <v>529</v>
      </c>
      <c r="C100" s="519"/>
      <c r="D100" s="520">
        <v>0.11969414453740015</v>
      </c>
      <c r="E100" s="520">
        <v>0.58830604808064213</v>
      </c>
      <c r="F100" s="520">
        <v>0.88661591251046756</v>
      </c>
      <c r="G100" s="520">
        <v>1.4960727208001047E-3</v>
      </c>
      <c r="H100" s="520">
        <v>4.4113861377414215E-2</v>
      </c>
      <c r="I100" s="523">
        <v>132.74298319654832</v>
      </c>
      <c r="J100" s="522">
        <v>1.0799808930605035E-2</v>
      </c>
    </row>
    <row r="101" spans="2:10" x14ac:dyDescent="0.2">
      <c r="B101" s="514" t="s">
        <v>530</v>
      </c>
      <c r="C101" s="515">
        <v>120</v>
      </c>
      <c r="D101" s="164">
        <v>0.18060956931109517</v>
      </c>
      <c r="E101" s="164">
        <v>0.69883139255944415</v>
      </c>
      <c r="F101" s="164">
        <v>1.0550343171378689</v>
      </c>
      <c r="G101" s="164">
        <v>1.0995878538036903E-3</v>
      </c>
      <c r="H101" s="164">
        <v>8.9221496961958094E-2</v>
      </c>
      <c r="I101" s="516">
        <v>93.737411815220355</v>
      </c>
      <c r="J101" s="517">
        <v>1.6296113007580423E-2</v>
      </c>
    </row>
    <row r="102" spans="2:10" x14ac:dyDescent="0.2">
      <c r="B102" s="514"/>
      <c r="C102" s="515">
        <v>175</v>
      </c>
      <c r="D102" s="164">
        <v>0.17821645283507359</v>
      </c>
      <c r="E102" s="164">
        <v>0.81658805327683548</v>
      </c>
      <c r="F102" s="164">
        <v>1.2824502159589273</v>
      </c>
      <c r="G102" s="164">
        <v>1.4674184503227052E-3</v>
      </c>
      <c r="H102" s="164">
        <v>7.2325428532530822E-2</v>
      </c>
      <c r="I102" s="163">
        <v>130.41728564486471</v>
      </c>
      <c r="J102" s="517">
        <v>1.6080182830329866E-2</v>
      </c>
    </row>
    <row r="103" spans="2:10" x14ac:dyDescent="0.2">
      <c r="B103" s="514"/>
      <c r="C103" s="515">
        <v>250</v>
      </c>
      <c r="D103" s="164">
        <v>0.14153931644243278</v>
      </c>
      <c r="E103" s="164">
        <v>0.41545431384527604</v>
      </c>
      <c r="F103" s="164">
        <v>1.1803026391048184</v>
      </c>
      <c r="G103" s="164">
        <v>1.4674184190390793E-3</v>
      </c>
      <c r="H103" s="164">
        <v>4.8204737767722577E-2</v>
      </c>
      <c r="I103" s="163">
        <v>130.4173098224837</v>
      </c>
      <c r="J103" s="517">
        <v>1.2770862262512386E-2</v>
      </c>
    </row>
    <row r="104" spans="2:10" x14ac:dyDescent="0.2">
      <c r="B104" s="514"/>
      <c r="C104" s="515">
        <v>750</v>
      </c>
      <c r="D104" s="164">
        <v>0.57012444233918336</v>
      </c>
      <c r="E104" s="164">
        <v>2.3586355158939214</v>
      </c>
      <c r="F104" s="164">
        <v>4.7515146447893102</v>
      </c>
      <c r="G104" s="164">
        <v>5.7123949685831416E-3</v>
      </c>
      <c r="H104" s="164">
        <v>0.1903212235183161</v>
      </c>
      <c r="I104" s="163">
        <v>568.13031062506946</v>
      </c>
      <c r="J104" s="517">
        <v>5.1441403877857089E-2</v>
      </c>
    </row>
    <row r="105" spans="2:10" x14ac:dyDescent="0.2">
      <c r="B105" s="514"/>
      <c r="C105" s="515">
        <v>1000</v>
      </c>
      <c r="D105" s="164">
        <v>0.86076715340427956</v>
      </c>
      <c r="E105" s="164">
        <v>3.693926543042406</v>
      </c>
      <c r="F105" s="164">
        <v>8.8128144378959519</v>
      </c>
      <c r="G105" s="164">
        <v>8.1874946000251407E-3</v>
      </c>
      <c r="H105" s="164">
        <v>0.28751063150548373</v>
      </c>
      <c r="I105" s="163">
        <v>814.29321877932819</v>
      </c>
      <c r="J105" s="517">
        <v>7.7665652917377176E-2</v>
      </c>
    </row>
    <row r="106" spans="2:10" x14ac:dyDescent="0.2">
      <c r="B106" s="518" t="s">
        <v>531</v>
      </c>
      <c r="C106" s="519"/>
      <c r="D106" s="520">
        <v>0.18033777540563897</v>
      </c>
      <c r="E106" s="520">
        <v>0.70666091089539851</v>
      </c>
      <c r="F106" s="520">
        <v>1.4107506827960936</v>
      </c>
      <c r="G106" s="520">
        <v>1.6714783815791291E-3</v>
      </c>
      <c r="H106" s="520">
        <v>6.6950037485390759E-2</v>
      </c>
      <c r="I106" s="523">
        <v>151.41970839693684</v>
      </c>
      <c r="J106" s="522">
        <v>1.6271585451175588E-2</v>
      </c>
    </row>
    <row r="107" spans="2:10" x14ac:dyDescent="0.2">
      <c r="B107" s="514" t="s">
        <v>532</v>
      </c>
      <c r="C107" s="515">
        <v>175</v>
      </c>
      <c r="D107" s="164">
        <v>0.1163579342693543</v>
      </c>
      <c r="E107" s="164">
        <v>0.75518325276052201</v>
      </c>
      <c r="F107" s="164">
        <v>0.764735762240766</v>
      </c>
      <c r="G107" s="164">
        <v>1.4074516282747288E-3</v>
      </c>
      <c r="H107" s="164">
        <v>4.1735049944382832E-2</v>
      </c>
      <c r="I107" s="163">
        <v>125.0877407086688</v>
      </c>
      <c r="J107" s="517">
        <v>1.0498787139997544E-2</v>
      </c>
    </row>
    <row r="108" spans="2:10" x14ac:dyDescent="0.2">
      <c r="B108" s="514"/>
      <c r="C108" s="515">
        <v>250</v>
      </c>
      <c r="D108" s="164">
        <v>0.11792220738547983</v>
      </c>
      <c r="E108" s="164">
        <v>0.36512193352152528</v>
      </c>
      <c r="F108" s="164">
        <v>0.86781464282266541</v>
      </c>
      <c r="G108" s="164">
        <v>1.8739217498104396E-3</v>
      </c>
      <c r="H108" s="164">
        <v>2.9041712295589866E-2</v>
      </c>
      <c r="I108" s="163">
        <v>166.54541562452522</v>
      </c>
      <c r="J108" s="517">
        <v>1.063993297769634E-2</v>
      </c>
    </row>
    <row r="109" spans="2:10" x14ac:dyDescent="0.2">
      <c r="B109" s="514"/>
      <c r="C109" s="515">
        <v>500</v>
      </c>
      <c r="D109" s="164">
        <v>0.18553470911077993</v>
      </c>
      <c r="E109" s="164">
        <v>0.57956772121140698</v>
      </c>
      <c r="F109" s="164">
        <v>1.2523979210769924</v>
      </c>
      <c r="G109" s="164">
        <v>2.6730457491231348E-3</v>
      </c>
      <c r="H109" s="164">
        <v>4.4827947982520766E-2</v>
      </c>
      <c r="I109" s="163">
        <v>272.33380251586107</v>
      </c>
      <c r="J109" s="517">
        <v>1.6740496842659349E-2</v>
      </c>
    </row>
    <row r="110" spans="2:10" x14ac:dyDescent="0.2">
      <c r="B110" s="514"/>
      <c r="C110" s="515">
        <v>750</v>
      </c>
      <c r="D110" s="164">
        <v>0.30262678522835251</v>
      </c>
      <c r="E110" s="164">
        <v>0.93971847507496764</v>
      </c>
      <c r="F110" s="164">
        <v>2.1025304683156936</v>
      </c>
      <c r="G110" s="164">
        <v>4.4415580325308304E-3</v>
      </c>
      <c r="H110" s="164">
        <v>7.4092149025702547E-2</v>
      </c>
      <c r="I110" s="163">
        <v>441.73855620073772</v>
      </c>
      <c r="J110" s="517">
        <v>2.730552681266623E-2</v>
      </c>
    </row>
    <row r="111" spans="2:10" x14ac:dyDescent="0.2">
      <c r="B111" s="514"/>
      <c r="C111" s="515">
        <v>1000</v>
      </c>
      <c r="D111" s="164">
        <v>0.45757604076290753</v>
      </c>
      <c r="E111" s="164">
        <v>1.4116704490824743</v>
      </c>
      <c r="F111" s="164">
        <v>4.8929055740074743</v>
      </c>
      <c r="G111" s="164">
        <v>6.2814258975005437E-3</v>
      </c>
      <c r="H111" s="164">
        <v>0.13595930445600854</v>
      </c>
      <c r="I111" s="163">
        <v>624.72399380198306</v>
      </c>
      <c r="J111" s="517">
        <v>4.1286342788792681E-2</v>
      </c>
    </row>
    <row r="112" spans="2:10" x14ac:dyDescent="0.2">
      <c r="B112" s="518" t="s">
        <v>533</v>
      </c>
      <c r="C112" s="519"/>
      <c r="D112" s="520">
        <v>0.18164046029018416</v>
      </c>
      <c r="E112" s="520">
        <v>0.5830895915171358</v>
      </c>
      <c r="F112" s="520">
        <v>1.332183480813506</v>
      </c>
      <c r="G112" s="520">
        <v>2.6582597072481898E-3</v>
      </c>
      <c r="H112" s="520">
        <v>4.5876941592876502E-2</v>
      </c>
      <c r="I112" s="523">
        <v>260.05156517171838</v>
      </c>
      <c r="J112" s="522">
        <v>1.6389125946733578E-2</v>
      </c>
    </row>
    <row r="113" spans="2:10" x14ac:dyDescent="0.2">
      <c r="B113" s="514" t="s">
        <v>534</v>
      </c>
      <c r="C113" s="515">
        <v>15</v>
      </c>
      <c r="D113" s="164">
        <v>1.1765479064338774E-2</v>
      </c>
      <c r="E113" s="164">
        <v>6.1714712422279903E-2</v>
      </c>
      <c r="F113" s="164">
        <v>7.3679898690290249E-2</v>
      </c>
      <c r="G113" s="164">
        <v>1.5727915874240951E-4</v>
      </c>
      <c r="H113" s="164">
        <v>2.8790714915146775E-3</v>
      </c>
      <c r="I113" s="516">
        <v>10.107339932266072</v>
      </c>
      <c r="J113" s="517">
        <v>1.0615801067499801E-3</v>
      </c>
    </row>
    <row r="114" spans="2:10" x14ac:dyDescent="0.2">
      <c r="B114" s="514"/>
      <c r="C114" s="515">
        <v>25</v>
      </c>
      <c r="D114" s="164">
        <v>1.594510335063087E-2</v>
      </c>
      <c r="E114" s="164">
        <v>5.4422783744872555E-2</v>
      </c>
      <c r="F114" s="164">
        <v>0.10076028789088502</v>
      </c>
      <c r="G114" s="164">
        <v>1.6770240347751571E-4</v>
      </c>
      <c r="H114" s="164">
        <v>3.8157649715352916E-3</v>
      </c>
      <c r="I114" s="516">
        <v>13.217292257606214</v>
      </c>
      <c r="J114" s="517">
        <v>1.4387014990348871E-3</v>
      </c>
    </row>
    <row r="115" spans="2:10" x14ac:dyDescent="0.2">
      <c r="B115" s="514"/>
      <c r="C115" s="515">
        <v>50</v>
      </c>
      <c r="D115" s="164">
        <v>5.2992107757074039E-2</v>
      </c>
      <c r="E115" s="164">
        <v>0.24469604258670691</v>
      </c>
      <c r="F115" s="164">
        <v>0.22742284209654104</v>
      </c>
      <c r="G115" s="164">
        <v>3.618351510001189E-4</v>
      </c>
      <c r="H115" s="164">
        <v>1.4313106363605716E-2</v>
      </c>
      <c r="I115" s="516">
        <v>27.989564608136931</v>
      </c>
      <c r="J115" s="517">
        <v>4.7813940130405162E-3</v>
      </c>
    </row>
    <row r="116" spans="2:10" x14ac:dyDescent="0.2">
      <c r="B116" s="514"/>
      <c r="C116" s="515">
        <v>120</v>
      </c>
      <c r="D116" s="164">
        <v>7.4650452496718187E-2</v>
      </c>
      <c r="E116" s="164">
        <v>0.51704798310022193</v>
      </c>
      <c r="F116" s="164">
        <v>0.54950177714480786</v>
      </c>
      <c r="G116" s="164">
        <v>9.4851426923544743E-4</v>
      </c>
      <c r="H116" s="164">
        <v>3.8381056388611327E-2</v>
      </c>
      <c r="I116" s="516">
        <v>80.858731042593661</v>
      </c>
      <c r="J116" s="517">
        <v>6.7355901549098016E-3</v>
      </c>
    </row>
    <row r="117" spans="2:10" x14ac:dyDescent="0.2">
      <c r="B117" s="514"/>
      <c r="C117" s="515">
        <v>175</v>
      </c>
      <c r="D117" s="164">
        <v>7.286061057649322E-2</v>
      </c>
      <c r="E117" s="164">
        <v>0.58616128308347026</v>
      </c>
      <c r="F117" s="164">
        <v>0.58561044097076953</v>
      </c>
      <c r="G117" s="164">
        <v>1.1984861301590408E-3</v>
      </c>
      <c r="H117" s="164">
        <v>2.9059944528891633E-2</v>
      </c>
      <c r="I117" s="163">
        <v>106.51585692695846</v>
      </c>
      <c r="J117" s="517">
        <v>6.5740964019932796E-3</v>
      </c>
    </row>
    <row r="118" spans="2:10" x14ac:dyDescent="0.2">
      <c r="B118" s="514"/>
      <c r="C118" s="515">
        <v>500</v>
      </c>
      <c r="D118" s="164">
        <v>0.12431762378554365</v>
      </c>
      <c r="E118" s="164">
        <v>0.4868439847761532</v>
      </c>
      <c r="F118" s="164">
        <v>1.0415214118246066</v>
      </c>
      <c r="G118" s="164">
        <v>2.4954334272364047E-3</v>
      </c>
      <c r="H118" s="164">
        <v>3.5011591348186828E-2</v>
      </c>
      <c r="I118" s="163">
        <v>254.23851177178003</v>
      </c>
      <c r="J118" s="517">
        <v>1.1216977037398481E-2</v>
      </c>
    </row>
    <row r="119" spans="2:10" x14ac:dyDescent="0.2">
      <c r="B119" s="518" t="s">
        <v>535</v>
      </c>
      <c r="C119" s="519"/>
      <c r="D119" s="520">
        <v>7.198083202493491E-2</v>
      </c>
      <c r="E119" s="520">
        <v>0.36021944116186827</v>
      </c>
      <c r="F119" s="520">
        <v>0.56798339550194243</v>
      </c>
      <c r="G119" s="520">
        <v>1.2668702329375085E-3</v>
      </c>
      <c r="H119" s="520">
        <v>2.3372030714702671E-2</v>
      </c>
      <c r="I119" s="523">
        <v>122.56288723314424</v>
      </c>
      <c r="J119" s="522">
        <v>6.4947140764190711E-3</v>
      </c>
    </row>
    <row r="120" spans="2:10" x14ac:dyDescent="0.2">
      <c r="B120" s="514" t="s">
        <v>536</v>
      </c>
      <c r="C120" s="515">
        <v>15</v>
      </c>
      <c r="D120" s="164">
        <v>6.6325135045854668E-3</v>
      </c>
      <c r="E120" s="164">
        <v>3.9050254675723518E-2</v>
      </c>
      <c r="F120" s="164">
        <v>4.6621272092194507E-2</v>
      </c>
      <c r="G120" s="164">
        <v>9.9519056042593303E-5</v>
      </c>
      <c r="H120" s="164">
        <v>1.8217452366204125E-3</v>
      </c>
      <c r="I120" s="516">
        <v>6.3954638293428037</v>
      </c>
      <c r="J120" s="517">
        <v>5.9844102057165756E-4</v>
      </c>
    </row>
    <row r="121" spans="2:10" x14ac:dyDescent="0.2">
      <c r="B121" s="514"/>
      <c r="C121" s="515">
        <v>25</v>
      </c>
      <c r="D121" s="164">
        <v>1.8516896795609826E-2</v>
      </c>
      <c r="E121" s="164">
        <v>6.3200649566669612E-2</v>
      </c>
      <c r="F121" s="164">
        <v>0.11701196307429683</v>
      </c>
      <c r="G121" s="164">
        <v>1.9475118863437993E-4</v>
      </c>
      <c r="H121" s="164">
        <v>4.3658630550636682E-3</v>
      </c>
      <c r="I121" s="516">
        <v>15.349114582837901</v>
      </c>
      <c r="J121" s="517">
        <v>1.6707498496521581E-3</v>
      </c>
    </row>
    <row r="122" spans="2:10" x14ac:dyDescent="0.2">
      <c r="B122" s="514"/>
      <c r="C122" s="515">
        <v>50</v>
      </c>
      <c r="D122" s="164">
        <v>6.9958712021384969E-2</v>
      </c>
      <c r="E122" s="164">
        <v>0.24491760872214718</v>
      </c>
      <c r="F122" s="164">
        <v>0.20033427431500403</v>
      </c>
      <c r="G122" s="164">
        <v>2.8110315112579021E-4</v>
      </c>
      <c r="H122" s="164">
        <v>1.7080476173783353E-2</v>
      </c>
      <c r="I122" s="516">
        <v>21.744576277867967</v>
      </c>
      <c r="J122" s="517">
        <v>6.3122635526684286E-3</v>
      </c>
    </row>
    <row r="123" spans="2:10" x14ac:dyDescent="0.2">
      <c r="B123" s="514"/>
      <c r="C123" s="515">
        <v>120</v>
      </c>
      <c r="D123" s="164">
        <v>8.9542123097713838E-2</v>
      </c>
      <c r="E123" s="164">
        <v>0.43430674500449429</v>
      </c>
      <c r="F123" s="164">
        <v>0.53941126676069429</v>
      </c>
      <c r="G123" s="164">
        <v>7.2771407976158782E-4</v>
      </c>
      <c r="H123" s="164">
        <v>4.6080740024482619E-2</v>
      </c>
      <c r="I123" s="516">
        <v>62.0360129915749</v>
      </c>
      <c r="J123" s="517">
        <v>8.0792422457300582E-3</v>
      </c>
    </row>
    <row r="124" spans="2:10" x14ac:dyDescent="0.2">
      <c r="B124" s="514"/>
      <c r="C124" s="515">
        <v>175</v>
      </c>
      <c r="D124" s="164">
        <v>9.9317590486178067E-2</v>
      </c>
      <c r="E124" s="164">
        <v>0.56705947833521697</v>
      </c>
      <c r="F124" s="164">
        <v>0.70585272099285945</v>
      </c>
      <c r="G124" s="164">
        <v>1.0793990883147936E-3</v>
      </c>
      <c r="H124" s="164">
        <v>3.9759223328352487E-2</v>
      </c>
      <c r="I124" s="516">
        <v>95.931972740392865</v>
      </c>
      <c r="J124" s="517">
        <v>8.9612674823845578E-3</v>
      </c>
    </row>
    <row r="125" spans="2:10" x14ac:dyDescent="0.2">
      <c r="B125" s="514"/>
      <c r="C125" s="515">
        <v>250</v>
      </c>
      <c r="D125" s="164">
        <v>9.9015122534418049E-2</v>
      </c>
      <c r="E125" s="164">
        <v>0.29497968063742314</v>
      </c>
      <c r="F125" s="164">
        <v>0.87565235911125516</v>
      </c>
      <c r="G125" s="164">
        <v>1.5255507061156183E-3</v>
      </c>
      <c r="H125" s="164">
        <v>2.7939980339420311E-2</v>
      </c>
      <c r="I125" s="163">
        <v>135.58384041722326</v>
      </c>
      <c r="J125" s="517">
        <v>8.9339766212674435E-3</v>
      </c>
    </row>
    <row r="126" spans="2:10" x14ac:dyDescent="0.2">
      <c r="B126" s="514"/>
      <c r="C126" s="515">
        <v>500</v>
      </c>
      <c r="D126" s="164">
        <v>0.18324322247990182</v>
      </c>
      <c r="E126" s="164">
        <v>0.55989966063789476</v>
      </c>
      <c r="F126" s="164">
        <v>1.4849056208538594</v>
      </c>
      <c r="G126" s="164">
        <v>2.6051035922551652E-3</v>
      </c>
      <c r="H126" s="164">
        <v>5.1053567170304189E-2</v>
      </c>
      <c r="I126" s="163">
        <v>265.41177251463455</v>
      </c>
      <c r="J126" s="517">
        <v>1.6533737520888648E-2</v>
      </c>
    </row>
    <row r="127" spans="2:10" x14ac:dyDescent="0.2">
      <c r="B127" s="514"/>
      <c r="C127" s="515">
        <v>750</v>
      </c>
      <c r="D127" s="164">
        <v>0.30431973902192921</v>
      </c>
      <c r="E127" s="164">
        <v>0.92282238610646483</v>
      </c>
      <c r="F127" s="164">
        <v>2.5435622362366215</v>
      </c>
      <c r="G127" s="164">
        <v>4.3984364167578421E-3</v>
      </c>
      <c r="H127" s="164">
        <v>8.6051518085567685E-2</v>
      </c>
      <c r="I127" s="163">
        <v>437.44975836143482</v>
      </c>
      <c r="J127" s="517">
        <v>2.7458279938985322E-2</v>
      </c>
    </row>
    <row r="128" spans="2:10" x14ac:dyDescent="0.2">
      <c r="B128" s="514"/>
      <c r="C128" s="515">
        <v>1000</v>
      </c>
      <c r="D128" s="164">
        <v>0.42830576874130866</v>
      </c>
      <c r="E128" s="164">
        <v>1.3243632896555029</v>
      </c>
      <c r="F128" s="164">
        <v>4.9259315819926988</v>
      </c>
      <c r="G128" s="164">
        <v>5.6266560120332224E-3</v>
      </c>
      <c r="H128" s="164">
        <v>0.13853673899190536</v>
      </c>
      <c r="I128" s="163">
        <v>559.60322303112321</v>
      </c>
      <c r="J128" s="517">
        <v>3.864533873638136E-2</v>
      </c>
    </row>
    <row r="129" spans="2:10" x14ac:dyDescent="0.2">
      <c r="B129" s="518" t="s">
        <v>537</v>
      </c>
      <c r="C129" s="519"/>
      <c r="D129" s="520">
        <v>0.12667912344511995</v>
      </c>
      <c r="E129" s="520">
        <v>0.47306402638010936</v>
      </c>
      <c r="F129" s="520">
        <v>1.0121671468189737</v>
      </c>
      <c r="G129" s="520">
        <v>1.6001049084599325E-3</v>
      </c>
      <c r="H129" s="520">
        <v>4.2505312297876158E-2</v>
      </c>
      <c r="I129" s="523">
        <v>152.23992710030143</v>
      </c>
      <c r="J129" s="522">
        <v>1.1430053384573249E-2</v>
      </c>
    </row>
    <row r="130" spans="2:10" x14ac:dyDescent="0.2">
      <c r="B130" s="514" t="s">
        <v>538</v>
      </c>
      <c r="C130" s="515">
        <v>50</v>
      </c>
      <c r="D130" s="164">
        <v>9.7020991379234631E-2</v>
      </c>
      <c r="E130" s="164">
        <v>0.33837576747713172</v>
      </c>
      <c r="F130" s="164">
        <v>0.27848373972330576</v>
      </c>
      <c r="G130" s="164">
        <v>3.9215021093672573E-4</v>
      </c>
      <c r="H130" s="164">
        <v>2.3742908994059321E-2</v>
      </c>
      <c r="I130" s="516">
        <v>30.334560246522912</v>
      </c>
      <c r="J130" s="517">
        <v>8.75404990452445E-3</v>
      </c>
    </row>
    <row r="131" spans="2:10" x14ac:dyDescent="0.2">
      <c r="B131" s="514"/>
      <c r="C131" s="515">
        <v>120</v>
      </c>
      <c r="D131" s="164">
        <v>8.6891989263191804E-2</v>
      </c>
      <c r="E131" s="164">
        <v>0.42280387735190045</v>
      </c>
      <c r="F131" s="164">
        <v>0.5267418836881067</v>
      </c>
      <c r="G131" s="164">
        <v>7.116799392301316E-4</v>
      </c>
      <c r="H131" s="164">
        <v>4.4955527519775884E-2</v>
      </c>
      <c r="I131" s="516">
        <v>60.66913267862428</v>
      </c>
      <c r="J131" s="517">
        <v>7.8401274174223351E-3</v>
      </c>
    </row>
    <row r="132" spans="2:10" x14ac:dyDescent="0.2">
      <c r="B132" s="514"/>
      <c r="C132" s="515">
        <v>175</v>
      </c>
      <c r="D132" s="164">
        <v>0.12508456674389559</v>
      </c>
      <c r="E132" s="164">
        <v>0.71818133241128401</v>
      </c>
      <c r="F132" s="164">
        <v>0.89694984591904336</v>
      </c>
      <c r="G132" s="164">
        <v>1.3735881265675768E-3</v>
      </c>
      <c r="H132" s="164">
        <v>5.0374291829509352E-2</v>
      </c>
      <c r="I132" s="163">
        <v>122.07808703665653</v>
      </c>
      <c r="J132" s="517">
        <v>1.1286177172622749E-2</v>
      </c>
    </row>
    <row r="133" spans="2:10" x14ac:dyDescent="0.2">
      <c r="B133" s="514"/>
      <c r="C133" s="515">
        <v>250</v>
      </c>
      <c r="D133" s="164">
        <v>0.10455781956139669</v>
      </c>
      <c r="E133" s="164">
        <v>0.31410969517681497</v>
      </c>
      <c r="F133" s="164">
        <v>0.9354579207014565</v>
      </c>
      <c r="G133" s="164">
        <v>1.631656033820979E-3</v>
      </c>
      <c r="H133" s="164">
        <v>2.9775606232054955E-2</v>
      </c>
      <c r="I133" s="163">
        <v>145.01400566933944</v>
      </c>
      <c r="J133" s="517">
        <v>9.4340856194682701E-3</v>
      </c>
    </row>
    <row r="134" spans="2:10" x14ac:dyDescent="0.2">
      <c r="B134" s="514"/>
      <c r="C134" s="515">
        <v>500</v>
      </c>
      <c r="D134" s="164">
        <v>0.13052441999872386</v>
      </c>
      <c r="E134" s="164">
        <v>0.40287181604404915</v>
      </c>
      <c r="F134" s="164">
        <v>1.0706413434689275</v>
      </c>
      <c r="G134" s="164">
        <v>1.8808680225980362E-3</v>
      </c>
      <c r="H134" s="164">
        <v>3.6719005735084458E-2</v>
      </c>
      <c r="I134" s="163">
        <v>191.62560055006011</v>
      </c>
      <c r="J134" s="517">
        <v>1.1777007039243255E-2</v>
      </c>
    </row>
    <row r="135" spans="2:10" x14ac:dyDescent="0.2">
      <c r="B135" s="514"/>
      <c r="C135" s="515">
        <v>9999</v>
      </c>
      <c r="D135" s="164">
        <v>0.58737062483806701</v>
      </c>
      <c r="E135" s="164">
        <v>1.7491716352878814</v>
      </c>
      <c r="F135" s="164">
        <v>6.5147590655254106</v>
      </c>
      <c r="G135" s="164">
        <v>7.2765631088637104E-3</v>
      </c>
      <c r="H135" s="164">
        <v>0.18267808259403392</v>
      </c>
      <c r="I135" s="163">
        <v>741.34726703351907</v>
      </c>
      <c r="J135" s="517">
        <v>5.2997514217678787E-2</v>
      </c>
    </row>
    <row r="136" spans="2:10" x14ac:dyDescent="0.2">
      <c r="B136" s="518" t="s">
        <v>539</v>
      </c>
      <c r="C136" s="519"/>
      <c r="D136" s="520">
        <v>0.12017539533405973</v>
      </c>
      <c r="E136" s="520">
        <v>0.46082272717108846</v>
      </c>
      <c r="F136" s="520">
        <v>0.9913245124310085</v>
      </c>
      <c r="G136" s="520">
        <v>1.5432202843653178E-3</v>
      </c>
      <c r="H136" s="520">
        <v>4.1134864415630017E-2</v>
      </c>
      <c r="I136" s="523">
        <v>141.19406664564329</v>
      </c>
      <c r="J136" s="522">
        <v>1.0843233711788032E-2</v>
      </c>
    </row>
    <row r="137" spans="2:10" x14ac:dyDescent="0.2">
      <c r="B137" s="514" t="s">
        <v>540</v>
      </c>
      <c r="C137" s="515">
        <v>25</v>
      </c>
      <c r="D137" s="164">
        <v>2.3008808089557822E-2</v>
      </c>
      <c r="E137" s="164">
        <v>7.7446355953141158E-2</v>
      </c>
      <c r="F137" s="164">
        <v>0.14476086188065565</v>
      </c>
      <c r="G137" s="164">
        <v>2.3675621248503924E-4</v>
      </c>
      <c r="H137" s="164">
        <v>6.1449308636393925E-3</v>
      </c>
      <c r="I137" s="516">
        <v>18.659703153700409</v>
      </c>
      <c r="J137" s="517">
        <v>2.076047448408756E-3</v>
      </c>
    </row>
    <row r="138" spans="2:10" x14ac:dyDescent="0.2">
      <c r="B138" s="514"/>
      <c r="C138" s="515">
        <v>50</v>
      </c>
      <c r="D138" s="164">
        <v>0.11171980245362528</v>
      </c>
      <c r="E138" s="164">
        <v>0.33391532554836167</v>
      </c>
      <c r="F138" s="164">
        <v>0.26936234235331902</v>
      </c>
      <c r="G138" s="164">
        <v>3.6183508413366403E-4</v>
      </c>
      <c r="H138" s="164">
        <v>2.5218607566480342E-2</v>
      </c>
      <c r="I138" s="516">
        <v>27.989555891372799</v>
      </c>
      <c r="J138" s="517">
        <v>1.0080299518255079E-2</v>
      </c>
    </row>
    <row r="139" spans="2:10" x14ac:dyDescent="0.2">
      <c r="B139" s="514"/>
      <c r="C139" s="515">
        <v>120</v>
      </c>
      <c r="D139" s="164">
        <v>0.11635040360705146</v>
      </c>
      <c r="E139" s="164">
        <v>0.49298728640105194</v>
      </c>
      <c r="F139" s="164">
        <v>0.70297971913787716</v>
      </c>
      <c r="G139" s="164">
        <v>8.1170939879604781E-4</v>
      </c>
      <c r="H139" s="164">
        <v>5.9138876945025211E-2</v>
      </c>
      <c r="I139" s="516">
        <v>69.196402457357294</v>
      </c>
      <c r="J139" s="517">
        <v>1.0498110430359643E-2</v>
      </c>
    </row>
    <row r="140" spans="2:10" x14ac:dyDescent="0.2">
      <c r="B140" s="514"/>
      <c r="C140" s="515">
        <v>175</v>
      </c>
      <c r="D140" s="164">
        <v>0.15242654999045901</v>
      </c>
      <c r="E140" s="164">
        <v>0.76779600176551743</v>
      </c>
      <c r="F140" s="164">
        <v>1.1274183645762683</v>
      </c>
      <c r="G140" s="164">
        <v>1.4434317970158123E-3</v>
      </c>
      <c r="H140" s="164">
        <v>6.2653153301220788E-2</v>
      </c>
      <c r="I140" s="163">
        <v>128.28548104599514</v>
      </c>
      <c r="J140" s="517">
        <v>1.3753202222369806E-2</v>
      </c>
    </row>
    <row r="141" spans="2:10" x14ac:dyDescent="0.2">
      <c r="B141" s="514"/>
      <c r="C141" s="515">
        <v>250</v>
      </c>
      <c r="D141" s="164">
        <v>0.17584441271182336</v>
      </c>
      <c r="E141" s="164">
        <v>0.53690043575575386</v>
      </c>
      <c r="F141" s="164">
        <v>1.5484974022543727</v>
      </c>
      <c r="G141" s="164">
        <v>2.1870176908105284E-3</v>
      </c>
      <c r="H141" s="164">
        <v>5.8690452228393704E-2</v>
      </c>
      <c r="I141" s="163">
        <v>194.37192428979588</v>
      </c>
      <c r="J141" s="517">
        <v>1.5866158833132284E-2</v>
      </c>
    </row>
    <row r="142" spans="2:10" x14ac:dyDescent="0.2">
      <c r="B142" s="514"/>
      <c r="C142" s="515">
        <v>500</v>
      </c>
      <c r="D142" s="164">
        <v>0.19562295253054718</v>
      </c>
      <c r="E142" s="164">
        <v>0.76456561407940793</v>
      </c>
      <c r="F142" s="164">
        <v>1.6718099257830905</v>
      </c>
      <c r="G142" s="164">
        <v>2.2893893020872751E-3</v>
      </c>
      <c r="H142" s="164">
        <v>6.4076568342247231E-2</v>
      </c>
      <c r="I142" s="163">
        <v>233.24632991102229</v>
      </c>
      <c r="J142" s="517">
        <v>1.7650747340192893E-2</v>
      </c>
    </row>
    <row r="143" spans="2:10" x14ac:dyDescent="0.2">
      <c r="B143" s="518" t="s">
        <v>541</v>
      </c>
      <c r="C143" s="519"/>
      <c r="D143" s="520">
        <v>0.12685913736643031</v>
      </c>
      <c r="E143" s="520">
        <v>0.51349679428544748</v>
      </c>
      <c r="F143" s="520">
        <v>0.71275202039913388</v>
      </c>
      <c r="G143" s="520">
        <v>8.9492745811948235E-4</v>
      </c>
      <c r="H143" s="520">
        <v>4.8893934328937766E-2</v>
      </c>
      <c r="I143" s="521">
        <v>77.933534926799865</v>
      </c>
      <c r="J143" s="522">
        <v>1.1446296674057626E-2</v>
      </c>
    </row>
    <row r="144" spans="2:10" x14ac:dyDescent="0.2">
      <c r="B144" s="514" t="s">
        <v>542</v>
      </c>
      <c r="C144" s="515">
        <v>25</v>
      </c>
      <c r="D144" s="164">
        <v>1.523408123310549E-2</v>
      </c>
      <c r="E144" s="164">
        <v>5.1995946287023372E-2</v>
      </c>
      <c r="F144" s="164">
        <v>9.6267171085001893E-2</v>
      </c>
      <c r="G144" s="164">
        <v>1.6022419501816862E-4</v>
      </c>
      <c r="H144" s="164">
        <v>3.6456114634958615E-3</v>
      </c>
      <c r="I144" s="516">
        <v>12.627906177856008</v>
      </c>
      <c r="J144" s="517">
        <v>1.3745462455935866E-3</v>
      </c>
    </row>
    <row r="145" spans="2:10" x14ac:dyDescent="0.2">
      <c r="B145" s="514"/>
      <c r="C145" s="515">
        <v>50</v>
      </c>
      <c r="D145" s="164">
        <v>9.5279943611020337E-2</v>
      </c>
      <c r="E145" s="164">
        <v>0.28289397009552691</v>
      </c>
      <c r="F145" s="164">
        <v>0.22969810687570164</v>
      </c>
      <c r="G145" s="164">
        <v>3.0931067921299675E-4</v>
      </c>
      <c r="H145" s="164">
        <v>2.1567576098954159E-2</v>
      </c>
      <c r="I145" s="516">
        <v>23.926555702798439</v>
      </c>
      <c r="J145" s="517">
        <v>8.5969561850055953E-3</v>
      </c>
    </row>
    <row r="146" spans="2:10" x14ac:dyDescent="0.2">
      <c r="B146" s="514"/>
      <c r="C146" s="515">
        <v>120</v>
      </c>
      <c r="D146" s="164">
        <v>9.1200429935198821E-2</v>
      </c>
      <c r="E146" s="164">
        <v>0.38616931132685484</v>
      </c>
      <c r="F146" s="164">
        <v>0.55224873363899141</v>
      </c>
      <c r="G146" s="164">
        <v>6.3930550374640587E-4</v>
      </c>
      <c r="H146" s="164">
        <v>4.6757244530697455E-2</v>
      </c>
      <c r="I146" s="516">
        <v>54.499377463768809</v>
      </c>
      <c r="J146" s="517">
        <v>8.228868799522799E-3</v>
      </c>
    </row>
    <row r="147" spans="2:10" x14ac:dyDescent="0.2">
      <c r="B147" s="514"/>
      <c r="C147" s="515">
        <v>175</v>
      </c>
      <c r="D147" s="164">
        <v>0.11884157828124291</v>
      </c>
      <c r="E147" s="164">
        <v>0.60044971248975565</v>
      </c>
      <c r="F147" s="164">
        <v>0.88567082209785197</v>
      </c>
      <c r="G147" s="164">
        <v>1.136684652645928E-3</v>
      </c>
      <c r="H147" s="164">
        <v>4.9226040288428245E-2</v>
      </c>
      <c r="I147" s="163">
        <v>101.02322004276736</v>
      </c>
      <c r="J147" s="517">
        <v>1.0722885020967885E-2</v>
      </c>
    </row>
    <row r="148" spans="2:10" x14ac:dyDescent="0.2">
      <c r="B148" s="514"/>
      <c r="C148" s="515">
        <v>250</v>
      </c>
      <c r="D148" s="164">
        <v>0.10769604427626804</v>
      </c>
      <c r="E148" s="164">
        <v>0.33022450508719187</v>
      </c>
      <c r="F148" s="164">
        <v>0.97034810339381017</v>
      </c>
      <c r="G148" s="164">
        <v>1.375986845962912E-3</v>
      </c>
      <c r="H148" s="164">
        <v>3.6027757303989744E-2</v>
      </c>
      <c r="I148" s="163">
        <v>122.2912630757787</v>
      </c>
      <c r="J148" s="517">
        <v>9.7172448410866256E-3</v>
      </c>
    </row>
    <row r="149" spans="2:10" x14ac:dyDescent="0.2">
      <c r="B149" s="518" t="s">
        <v>543</v>
      </c>
      <c r="C149" s="519"/>
      <c r="D149" s="520">
        <v>9.6493113657252175E-2</v>
      </c>
      <c r="E149" s="520">
        <v>0.41979052684470025</v>
      </c>
      <c r="F149" s="520">
        <v>0.63929988859336384</v>
      </c>
      <c r="G149" s="520">
        <v>7.9301888164489136E-4</v>
      </c>
      <c r="H149" s="520">
        <v>4.3610446426589754E-2</v>
      </c>
      <c r="I149" s="521">
        <v>68.941225240652699</v>
      </c>
      <c r="J149" s="522">
        <v>8.706419277857742E-3</v>
      </c>
    </row>
    <row r="150" spans="2:10" x14ac:dyDescent="0.2">
      <c r="B150" s="514" t="s">
        <v>544</v>
      </c>
      <c r="C150" s="515">
        <v>15</v>
      </c>
      <c r="D150" s="164">
        <v>5.0214940278324668E-3</v>
      </c>
      <c r="E150" s="164">
        <v>2.6339774587451667E-2</v>
      </c>
      <c r="F150" s="164">
        <v>3.1446504141850358E-2</v>
      </c>
      <c r="G150" s="164">
        <v>6.712657291041718E-5</v>
      </c>
      <c r="H150" s="164">
        <v>1.227129368117209E-3</v>
      </c>
      <c r="I150" s="516">
        <v>4.3138021214338096</v>
      </c>
      <c r="J150" s="517">
        <v>4.5308129267759552E-4</v>
      </c>
    </row>
    <row r="151" spans="2:10" x14ac:dyDescent="0.2">
      <c r="B151" s="518" t="s">
        <v>545</v>
      </c>
      <c r="C151" s="519"/>
      <c r="D151" s="520">
        <v>5.0214940278324668E-3</v>
      </c>
      <c r="E151" s="520">
        <v>2.6339774587451667E-2</v>
      </c>
      <c r="F151" s="520">
        <v>3.1446504141850358E-2</v>
      </c>
      <c r="G151" s="520">
        <v>6.712657291041718E-5</v>
      </c>
      <c r="H151" s="520">
        <v>1.227129368117209E-3</v>
      </c>
      <c r="I151" s="521">
        <v>4.3138021214338096</v>
      </c>
      <c r="J151" s="522">
        <v>4.5308129267759552E-4</v>
      </c>
    </row>
    <row r="152" spans="2:10" x14ac:dyDescent="0.2">
      <c r="B152" s="514" t="s">
        <v>546</v>
      </c>
      <c r="C152" s="515">
        <v>15</v>
      </c>
      <c r="D152" s="164">
        <v>6.236668407408082E-3</v>
      </c>
      <c r="E152" s="164">
        <v>3.1222666205069957E-2</v>
      </c>
      <c r="F152" s="164">
        <v>4.3050601527585636E-2</v>
      </c>
      <c r="G152" s="164">
        <v>7.6102798903168715E-5</v>
      </c>
      <c r="H152" s="164">
        <v>2.2974739926019164E-3</v>
      </c>
      <c r="I152" s="516">
        <v>4.8906487403786638</v>
      </c>
      <c r="J152" s="517">
        <v>5.6272452022230091E-4</v>
      </c>
    </row>
    <row r="153" spans="2:10" x14ac:dyDescent="0.2">
      <c r="B153" s="514"/>
      <c r="C153" s="515">
        <v>25</v>
      </c>
      <c r="D153" s="164">
        <v>9.7685596558124161E-3</v>
      </c>
      <c r="E153" s="164">
        <v>3.2889187113345902E-2</v>
      </c>
      <c r="F153" s="164">
        <v>6.0571666869069556E-2</v>
      </c>
      <c r="G153" s="164">
        <v>9.0692938537499581E-5</v>
      </c>
      <c r="H153" s="164">
        <v>3.0965566420898521E-3</v>
      </c>
      <c r="I153" s="516">
        <v>7.1478713311491422</v>
      </c>
      <c r="J153" s="517">
        <v>8.8140153089778306E-4</v>
      </c>
    </row>
    <row r="154" spans="2:10" x14ac:dyDescent="0.2">
      <c r="B154" s="514"/>
      <c r="C154" s="515">
        <v>50</v>
      </c>
      <c r="D154" s="164">
        <v>2.2188656208491583E-2</v>
      </c>
      <c r="E154" s="164">
        <v>9.4297922179808341E-2</v>
      </c>
      <c r="F154" s="164">
        <v>0.11389186636126085</v>
      </c>
      <c r="G154" s="164">
        <v>1.8480835063477662E-4</v>
      </c>
      <c r="H154" s="164">
        <v>6.8594933973085163E-3</v>
      </c>
      <c r="I154" s="516">
        <v>14.295745538987484</v>
      </c>
      <c r="J154" s="517">
        <v>2.0020462894935818E-3</v>
      </c>
    </row>
    <row r="155" spans="2:10" x14ac:dyDescent="0.2">
      <c r="B155" s="514"/>
      <c r="C155" s="515">
        <v>120</v>
      </c>
      <c r="D155" s="164">
        <v>2.1705704627600221E-2</v>
      </c>
      <c r="E155" s="164">
        <v>0.14037752389530928</v>
      </c>
      <c r="F155" s="164">
        <v>0.17978330060247047</v>
      </c>
      <c r="G155" s="164">
        <v>2.8243602418278517E-4</v>
      </c>
      <c r="H155" s="164">
        <v>1.1354237747574023E-2</v>
      </c>
      <c r="I155" s="516">
        <v>24.077039572227328</v>
      </c>
      <c r="J155" s="517">
        <v>1.9584708532774885E-3</v>
      </c>
    </row>
    <row r="156" spans="2:10" x14ac:dyDescent="0.2">
      <c r="B156" s="518" t="s">
        <v>547</v>
      </c>
      <c r="C156" s="519"/>
      <c r="D156" s="520">
        <v>1.2144819609904375E-2</v>
      </c>
      <c r="E156" s="520">
        <v>5.7916666931787673E-2</v>
      </c>
      <c r="F156" s="520">
        <v>7.6395159450903694E-2</v>
      </c>
      <c r="G156" s="520">
        <v>1.253979863974093E-4</v>
      </c>
      <c r="H156" s="520">
        <v>4.4295280453672901E-3</v>
      </c>
      <c r="I156" s="521">
        <v>9.4135485959038512</v>
      </c>
      <c r="J156" s="522">
        <v>1.0958074199469371E-3</v>
      </c>
    </row>
    <row r="157" spans="2:10" x14ac:dyDescent="0.2">
      <c r="B157" s="514" t="s">
        <v>548</v>
      </c>
      <c r="C157" s="515">
        <v>15</v>
      </c>
      <c r="D157" s="164">
        <v>1.0637523816605817E-2</v>
      </c>
      <c r="E157" s="164">
        <v>4.7394383849710953E-2</v>
      </c>
      <c r="F157" s="164">
        <v>6.5957099555890603E-2</v>
      </c>
      <c r="G157" s="164">
        <v>1.1552013981105552E-4</v>
      </c>
      <c r="H157" s="164">
        <v>3.8271643377118881E-3</v>
      </c>
      <c r="I157" s="516">
        <v>7.4237530800645422</v>
      </c>
      <c r="J157" s="517">
        <v>9.5980656302861289E-4</v>
      </c>
    </row>
    <row r="158" spans="2:10" x14ac:dyDescent="0.2">
      <c r="B158" s="514"/>
      <c r="C158" s="515">
        <v>25</v>
      </c>
      <c r="D158" s="164">
        <v>2.9563092726613199E-2</v>
      </c>
      <c r="E158" s="164">
        <v>8.9666291084658289E-2</v>
      </c>
      <c r="F158" s="164">
        <v>0.16513749968140848</v>
      </c>
      <c r="G158" s="164">
        <v>2.4725758855074912E-4</v>
      </c>
      <c r="H158" s="164">
        <v>8.8362248559424091E-3</v>
      </c>
      <c r="I158" s="516">
        <v>19.487353438784375</v>
      </c>
      <c r="J158" s="517">
        <v>2.6674300165318034E-3</v>
      </c>
    </row>
    <row r="159" spans="2:10" x14ac:dyDescent="0.2">
      <c r="B159" s="514"/>
      <c r="C159" s="515">
        <v>50</v>
      </c>
      <c r="D159" s="164">
        <v>7.6461582739240502E-2</v>
      </c>
      <c r="E159" s="164">
        <v>0.28229710879021341</v>
      </c>
      <c r="F159" s="164">
        <v>0.28738150254743811</v>
      </c>
      <c r="G159" s="164">
        <v>4.4386411558839999E-4</v>
      </c>
      <c r="H159" s="164">
        <v>2.0557095786188147E-2</v>
      </c>
      <c r="I159" s="516">
        <v>34.334876758470408</v>
      </c>
      <c r="J159" s="517">
        <v>6.8990045672220768E-3</v>
      </c>
    </row>
    <row r="160" spans="2:10" x14ac:dyDescent="0.2">
      <c r="B160" s="514"/>
      <c r="C160" s="515">
        <v>120</v>
      </c>
      <c r="D160" s="164">
        <v>8.5109885458100498E-2</v>
      </c>
      <c r="E160" s="164">
        <v>0.4841607866040229</v>
      </c>
      <c r="F160" s="164">
        <v>0.61960284437310942</v>
      </c>
      <c r="G160" s="164">
        <v>9.1438666388873532E-4</v>
      </c>
      <c r="H160" s="164">
        <v>4.5252238767383338E-2</v>
      </c>
      <c r="I160" s="516">
        <v>77.949427898838707</v>
      </c>
      <c r="J160" s="517">
        <v>7.6793278315315872E-3</v>
      </c>
    </row>
    <row r="161" spans="2:10" x14ac:dyDescent="0.2">
      <c r="B161" s="514"/>
      <c r="C161" s="515">
        <v>175</v>
      </c>
      <c r="D161" s="164">
        <v>0.10442614998295621</v>
      </c>
      <c r="E161" s="164">
        <v>0.73503369715336064</v>
      </c>
      <c r="F161" s="164">
        <v>0.94403088644546218</v>
      </c>
      <c r="G161" s="164">
        <v>1.5766278628692313E-3</v>
      </c>
      <c r="H161" s="164">
        <v>4.479724687156552E-2</v>
      </c>
      <c r="I161" s="163">
        <v>140.12334724640007</v>
      </c>
      <c r="J161" s="517">
        <v>9.4222038191697517E-3</v>
      </c>
    </row>
    <row r="162" spans="2:10" x14ac:dyDescent="0.2">
      <c r="B162" s="514"/>
      <c r="C162" s="515">
        <v>250</v>
      </c>
      <c r="D162" s="164">
        <v>0.10054478279374734</v>
      </c>
      <c r="E162" s="164">
        <v>0.39107603034092325</v>
      </c>
      <c r="F162" s="164">
        <v>1.1886826645737467</v>
      </c>
      <c r="G162" s="164">
        <v>2.2657506187662201E-3</v>
      </c>
      <c r="H162" s="164">
        <v>3.3812072473212662E-2</v>
      </c>
      <c r="I162" s="163">
        <v>201.36929112678339</v>
      </c>
      <c r="J162" s="517">
        <v>9.0719953922089418E-3</v>
      </c>
    </row>
    <row r="163" spans="2:10" x14ac:dyDescent="0.2">
      <c r="B163" s="514"/>
      <c r="C163" s="515">
        <v>500</v>
      </c>
      <c r="D163" s="164">
        <v>0.1565767316594068</v>
      </c>
      <c r="E163" s="164">
        <v>0.66722944772650006</v>
      </c>
      <c r="F163" s="164">
        <v>1.7954501762313082</v>
      </c>
      <c r="G163" s="164">
        <v>3.3882954284910885E-3</v>
      </c>
      <c r="H163" s="164">
        <v>5.4211411531513071E-2</v>
      </c>
      <c r="I163" s="163">
        <v>345.20452904960985</v>
      </c>
      <c r="J163" s="517">
        <v>1.4127672494325432E-2</v>
      </c>
    </row>
    <row r="164" spans="2:10" x14ac:dyDescent="0.2">
      <c r="B164" s="514"/>
      <c r="C164" s="515">
        <v>750</v>
      </c>
      <c r="D164" s="164">
        <v>0.2663049358071915</v>
      </c>
      <c r="E164" s="164">
        <v>1.1030808496855993</v>
      </c>
      <c r="F164" s="164">
        <v>3.0795000490661844</v>
      </c>
      <c r="G164" s="164">
        <v>5.7382426069739687E-3</v>
      </c>
      <c r="H164" s="164">
        <v>9.156497700614831E-2</v>
      </c>
      <c r="I164" s="163">
        <v>570.70105957944736</v>
      </c>
      <c r="J164" s="517">
        <v>2.4028267636329315E-2</v>
      </c>
    </row>
    <row r="165" spans="2:10" x14ac:dyDescent="0.2">
      <c r="B165" s="514"/>
      <c r="C165" s="515">
        <v>9999</v>
      </c>
      <c r="D165" s="164">
        <v>0.80958043977324579</v>
      </c>
      <c r="E165" s="164">
        <v>2.9411004210160803</v>
      </c>
      <c r="F165" s="164">
        <v>11.044436251424857</v>
      </c>
      <c r="G165" s="164">
        <v>1.3622491863893971E-2</v>
      </c>
      <c r="H165" s="164">
        <v>0.27978681001313199</v>
      </c>
      <c r="I165" s="524">
        <v>1354.8349805914791</v>
      </c>
      <c r="J165" s="517">
        <v>7.3047125641799465E-2</v>
      </c>
    </row>
    <row r="166" spans="2:10" x14ac:dyDescent="0.2">
      <c r="B166" s="518" t="s">
        <v>549</v>
      </c>
      <c r="C166" s="519"/>
      <c r="D166" s="520">
        <v>5.618504394458549E-2</v>
      </c>
      <c r="E166" s="520">
        <v>0.27849665866130269</v>
      </c>
      <c r="F166" s="520">
        <v>0.38302466106666117</v>
      </c>
      <c r="G166" s="520">
        <v>5.9045664999505599E-4</v>
      </c>
      <c r="H166" s="520">
        <v>2.3940468668800289E-2</v>
      </c>
      <c r="I166" s="521">
        <v>49.606656704852568</v>
      </c>
      <c r="J166" s="522">
        <v>5.0694858407464363E-3</v>
      </c>
    </row>
    <row r="167" spans="2:10" x14ac:dyDescent="0.2">
      <c r="B167" s="514" t="s">
        <v>550</v>
      </c>
      <c r="C167" s="515">
        <v>15</v>
      </c>
      <c r="D167" s="164">
        <v>7.3570740534297406E-3</v>
      </c>
      <c r="E167" s="164">
        <v>3.8590837659616725E-2</v>
      </c>
      <c r="F167" s="164">
        <v>4.6072792806605513E-2</v>
      </c>
      <c r="G167" s="164">
        <v>9.8348243867328648E-5</v>
      </c>
      <c r="H167" s="164">
        <v>1.8003126595945568E-3</v>
      </c>
      <c r="I167" s="516">
        <v>6.3202228433730321</v>
      </c>
      <c r="J167" s="517">
        <v>6.6381702719056569E-4</v>
      </c>
    </row>
    <row r="168" spans="2:10" x14ac:dyDescent="0.2">
      <c r="B168" s="514"/>
      <c r="C168" s="515">
        <v>25</v>
      </c>
      <c r="D168" s="164">
        <v>1.6096384875949856E-2</v>
      </c>
      <c r="E168" s="164">
        <v>5.4939112451161953E-2</v>
      </c>
      <c r="F168" s="164">
        <v>0.10171626355031888</v>
      </c>
      <c r="G168" s="164">
        <v>1.6929349111452689E-4</v>
      </c>
      <c r="H168" s="164">
        <v>3.8519669005463433E-3</v>
      </c>
      <c r="I168" s="516">
        <v>13.342693448240437</v>
      </c>
      <c r="J168" s="517">
        <v>1.4523511359813921E-3</v>
      </c>
    </row>
    <row r="169" spans="2:10" x14ac:dyDescent="0.2">
      <c r="B169" s="514"/>
      <c r="C169" s="515">
        <v>50</v>
      </c>
      <c r="D169" s="164">
        <v>7.982070523645507E-2</v>
      </c>
      <c r="E169" s="164">
        <v>0.26804729334024135</v>
      </c>
      <c r="F169" s="164">
        <v>0.23229109544200724</v>
      </c>
      <c r="G169" s="164">
        <v>3.35897164755154E-4</v>
      </c>
      <c r="H169" s="164">
        <v>1.9129444916836304E-2</v>
      </c>
      <c r="I169" s="516">
        <v>25.98314205939031</v>
      </c>
      <c r="J169" s="517">
        <v>7.2020948167680794E-3</v>
      </c>
    </row>
    <row r="170" spans="2:10" x14ac:dyDescent="0.2">
      <c r="B170" s="514"/>
      <c r="C170" s="515">
        <v>120</v>
      </c>
      <c r="D170" s="164">
        <v>7.9534395197012789E-2</v>
      </c>
      <c r="E170" s="164">
        <v>0.39707737194789633</v>
      </c>
      <c r="F170" s="164">
        <v>0.51117722774534902</v>
      </c>
      <c r="G170" s="164">
        <v>6.919683449222655E-4</v>
      </c>
      <c r="H170" s="164">
        <v>4.1591817012846012E-2</v>
      </c>
      <c r="I170" s="516">
        <v>58.988758883590208</v>
      </c>
      <c r="J170" s="517">
        <v>7.1762614079323517E-3</v>
      </c>
    </row>
    <row r="171" spans="2:10" x14ac:dyDescent="0.2">
      <c r="B171" s="514"/>
      <c r="C171" s="515">
        <v>175</v>
      </c>
      <c r="D171" s="164">
        <v>0.10325844418011101</v>
      </c>
      <c r="E171" s="164">
        <v>0.61522157464317662</v>
      </c>
      <c r="F171" s="164">
        <v>0.79684009630256725</v>
      </c>
      <c r="G171" s="164">
        <v>1.2168288608768582E-3</v>
      </c>
      <c r="H171" s="164">
        <v>4.314905722948871E-2</v>
      </c>
      <c r="I171" s="163">
        <v>108.14606183462521</v>
      </c>
      <c r="J171" s="517">
        <v>9.3168436152878519E-3</v>
      </c>
    </row>
    <row r="172" spans="2:10" x14ac:dyDescent="0.2">
      <c r="B172" s="514"/>
      <c r="C172" s="515">
        <v>250</v>
      </c>
      <c r="D172" s="164">
        <v>0.10421407891555058</v>
      </c>
      <c r="E172" s="164">
        <v>0.34634027743296963</v>
      </c>
      <c r="F172" s="164">
        <v>0.99610727887460127</v>
      </c>
      <c r="G172" s="164">
        <v>1.7225238017196767E-3</v>
      </c>
      <c r="H172" s="164">
        <v>3.3325948190671834E-2</v>
      </c>
      <c r="I172" s="163">
        <v>153.08990422247768</v>
      </c>
      <c r="J172" s="517">
        <v>9.4030671029605162E-3</v>
      </c>
    </row>
    <row r="173" spans="2:10" x14ac:dyDescent="0.2">
      <c r="B173" s="514"/>
      <c r="C173" s="515">
        <v>500</v>
      </c>
      <c r="D173" s="164">
        <v>0.13912804989661726</v>
      </c>
      <c r="E173" s="164">
        <v>0.53194551328671891</v>
      </c>
      <c r="F173" s="164">
        <v>1.2666041486673139</v>
      </c>
      <c r="G173" s="164">
        <v>2.150548465965612E-3</v>
      </c>
      <c r="H173" s="164">
        <v>4.4213444901667308E-2</v>
      </c>
      <c r="I173" s="163">
        <v>219.10108833531297</v>
      </c>
      <c r="J173" s="517">
        <v>1.2553299593628121E-2</v>
      </c>
    </row>
    <row r="174" spans="2:10" x14ac:dyDescent="0.2">
      <c r="B174" s="518" t="s">
        <v>551</v>
      </c>
      <c r="C174" s="519"/>
      <c r="D174" s="520">
        <v>7.9202756396148766E-2</v>
      </c>
      <c r="E174" s="520">
        <v>0.39442437568850125</v>
      </c>
      <c r="F174" s="520">
        <v>0.52733169561171234</v>
      </c>
      <c r="G174" s="520">
        <v>7.6965643252905561E-4</v>
      </c>
      <c r="H174" s="520">
        <v>3.5330839258602538E-2</v>
      </c>
      <c r="I174" s="521">
        <v>67.048297507501871</v>
      </c>
      <c r="J174" s="522">
        <v>7.1463378772302372E-3</v>
      </c>
    </row>
    <row r="175" spans="2:10" x14ac:dyDescent="0.2">
      <c r="B175" s="514" t="s">
        <v>164</v>
      </c>
      <c r="C175" s="515">
        <v>50</v>
      </c>
      <c r="D175" s="164">
        <v>8.3970377683616509E-2</v>
      </c>
      <c r="E175" s="164">
        <v>0.3459375039572315</v>
      </c>
      <c r="F175" s="164">
        <v>0.29540033587073922</v>
      </c>
      <c r="G175" s="164">
        <v>4.3770383633004938E-4</v>
      </c>
      <c r="H175" s="164">
        <v>2.1625656131627112E-2</v>
      </c>
      <c r="I175" s="516">
        <v>33.858340123055207</v>
      </c>
      <c r="J175" s="517">
        <v>7.5765126422258867E-3</v>
      </c>
    </row>
    <row r="176" spans="2:10" x14ac:dyDescent="0.2">
      <c r="B176" s="514"/>
      <c r="C176" s="515">
        <v>120</v>
      </c>
      <c r="D176" s="164">
        <v>7.2866722082413127E-2</v>
      </c>
      <c r="E176" s="164">
        <v>0.42308149090611613</v>
      </c>
      <c r="F176" s="164">
        <v>0.47417632610132338</v>
      </c>
      <c r="G176" s="164">
        <v>7.3256819626599462E-4</v>
      </c>
      <c r="H176" s="164">
        <v>3.6898964024090097E-2</v>
      </c>
      <c r="I176" s="516">
        <v>62.449813687089097</v>
      </c>
      <c r="J176" s="517">
        <v>6.5746473685758828E-3</v>
      </c>
    </row>
    <row r="177" spans="2:10" x14ac:dyDescent="0.2">
      <c r="B177" s="514"/>
      <c r="C177" s="515">
        <v>175</v>
      </c>
      <c r="D177" s="164">
        <v>0.10805959246431193</v>
      </c>
      <c r="E177" s="164">
        <v>0.72362281655545546</v>
      </c>
      <c r="F177" s="164">
        <v>0.77966869017739904</v>
      </c>
      <c r="G177" s="164">
        <v>1.4053354392988982E-3</v>
      </c>
      <c r="H177" s="164">
        <v>4.2280363740928958E-2</v>
      </c>
      <c r="I177" s="163">
        <v>124.89965965292717</v>
      </c>
      <c r="J177" s="517">
        <v>9.7500417050805123E-3</v>
      </c>
    </row>
    <row r="178" spans="2:10" x14ac:dyDescent="0.2">
      <c r="B178" s="514"/>
      <c r="C178" s="515">
        <v>250</v>
      </c>
      <c r="D178" s="164">
        <v>0.1106987062146227</v>
      </c>
      <c r="E178" s="164">
        <v>0.35915897242367645</v>
      </c>
      <c r="F178" s="164">
        <v>0.92069260880701342</v>
      </c>
      <c r="G178" s="164">
        <v>1.9217541496869973E-3</v>
      </c>
      <c r="H178" s="164">
        <v>3.0248722998186674E-2</v>
      </c>
      <c r="I178" s="163">
        <v>170.79658133294615</v>
      </c>
      <c r="J178" s="517">
        <v>9.9881647421294784E-3</v>
      </c>
    </row>
    <row r="179" spans="2:10" x14ac:dyDescent="0.2">
      <c r="B179" s="514"/>
      <c r="C179" s="515">
        <v>500</v>
      </c>
      <c r="D179" s="164">
        <v>0.15899675706892222</v>
      </c>
      <c r="E179" s="164">
        <v>0.5204946342074277</v>
      </c>
      <c r="F179" s="164">
        <v>1.2088991661482074</v>
      </c>
      <c r="G179" s="164">
        <v>2.5183274963330262E-3</v>
      </c>
      <c r="H179" s="164">
        <v>4.2769594276709746E-2</v>
      </c>
      <c r="I179" s="163">
        <v>256.57091570591751</v>
      </c>
      <c r="J179" s="517">
        <v>1.4346024434101445E-2</v>
      </c>
    </row>
    <row r="180" spans="2:10" x14ac:dyDescent="0.2">
      <c r="B180" s="518" t="s">
        <v>552</v>
      </c>
      <c r="C180" s="519"/>
      <c r="D180" s="520">
        <v>7.75320456448884E-2</v>
      </c>
      <c r="E180" s="520">
        <v>0.45486108870620484</v>
      </c>
      <c r="F180" s="520">
        <v>0.51039927389777895</v>
      </c>
      <c r="G180" s="520">
        <v>8.1606479268444502E-4</v>
      </c>
      <c r="H180" s="520">
        <v>3.7200933262080134E-2</v>
      </c>
      <c r="I180" s="521">
        <v>70.280778990124332</v>
      </c>
      <c r="J180" s="522">
        <v>6.9955918213321852E-3</v>
      </c>
    </row>
    <row r="181" spans="2:10" x14ac:dyDescent="0.2">
      <c r="B181" s="514" t="s">
        <v>553</v>
      </c>
      <c r="C181" s="515">
        <v>175</v>
      </c>
      <c r="D181" s="164">
        <v>0.18518026178236532</v>
      </c>
      <c r="E181" s="164">
        <v>0.82796812400567732</v>
      </c>
      <c r="F181" s="164">
        <v>1.3073019166567947</v>
      </c>
      <c r="G181" s="164">
        <v>1.4568363640815817E-3</v>
      </c>
      <c r="H181" s="164">
        <v>7.4023146570938281E-2</v>
      </c>
      <c r="I181" s="163">
        <v>129.47680375214503</v>
      </c>
      <c r="J181" s="517">
        <v>1.6708514463637067E-2</v>
      </c>
    </row>
    <row r="182" spans="2:10" x14ac:dyDescent="0.2">
      <c r="B182" s="514"/>
      <c r="C182" s="515">
        <v>250</v>
      </c>
      <c r="D182" s="164">
        <v>0.20987521536160883</v>
      </c>
      <c r="E182" s="164">
        <v>0.60659434855302019</v>
      </c>
      <c r="F182" s="164">
        <v>1.708444796778869</v>
      </c>
      <c r="G182" s="164">
        <v>2.0645453228695814E-3</v>
      </c>
      <c r="H182" s="164">
        <v>7.0688314103457175E-2</v>
      </c>
      <c r="I182" s="163">
        <v>183.48712384589459</v>
      </c>
      <c r="J182" s="517">
        <v>1.893670228563547E-2</v>
      </c>
    </row>
    <row r="183" spans="2:10" x14ac:dyDescent="0.2">
      <c r="B183" s="514"/>
      <c r="C183" s="515">
        <v>500</v>
      </c>
      <c r="D183" s="164">
        <v>0.27937428148624566</v>
      </c>
      <c r="E183" s="164">
        <v>1.1678145818175554</v>
      </c>
      <c r="F183" s="164">
        <v>2.2383978363033092</v>
      </c>
      <c r="G183" s="164">
        <v>2.5998104036399888E-3</v>
      </c>
      <c r="H183" s="164">
        <v>9.1519466186646026E-2</v>
      </c>
      <c r="I183" s="163">
        <v>264.87256951539769</v>
      </c>
      <c r="J183" s="517">
        <v>2.5207486969571574E-2</v>
      </c>
    </row>
    <row r="184" spans="2:10" x14ac:dyDescent="0.2">
      <c r="B184" s="514"/>
      <c r="C184" s="515">
        <v>750</v>
      </c>
      <c r="D184" s="164">
        <v>0.42161629681469209</v>
      </c>
      <c r="E184" s="164">
        <v>1.7522747961940492</v>
      </c>
      <c r="F184" s="164">
        <v>3.4334225006582382</v>
      </c>
      <c r="G184" s="164">
        <v>4.0097077430269147E-3</v>
      </c>
      <c r="H184" s="164">
        <v>0.13883993317330895</v>
      </c>
      <c r="I184" s="163">
        <v>398.7884585853775</v>
      </c>
      <c r="J184" s="517">
        <v>3.8041761026278272E-2</v>
      </c>
    </row>
    <row r="185" spans="2:10" x14ac:dyDescent="0.2">
      <c r="B185" s="514"/>
      <c r="C185" s="515">
        <v>1000</v>
      </c>
      <c r="D185" s="164">
        <v>0.65749206568500851</v>
      </c>
      <c r="E185" s="164">
        <v>2.8290865536299243</v>
      </c>
      <c r="F185" s="164">
        <v>6.5404234337503171</v>
      </c>
      <c r="G185" s="164">
        <v>5.9513308352042004E-3</v>
      </c>
      <c r="H185" s="164">
        <v>0.21685819044561305</v>
      </c>
      <c r="I185" s="163">
        <v>591.89387664695732</v>
      </c>
      <c r="J185" s="517">
        <v>5.9324456119895792E-2</v>
      </c>
    </row>
    <row r="186" spans="2:10" x14ac:dyDescent="0.2">
      <c r="B186" s="518" t="s">
        <v>554</v>
      </c>
      <c r="C186" s="519"/>
      <c r="D186" s="520">
        <v>0.2591059556159972</v>
      </c>
      <c r="E186" s="520">
        <v>0.98338775059659533</v>
      </c>
      <c r="F186" s="520">
        <v>2.0891248428085327</v>
      </c>
      <c r="G186" s="520">
        <v>2.4515690098834979E-3</v>
      </c>
      <c r="H186" s="520">
        <v>8.5833284441656416E-2</v>
      </c>
      <c r="I186" s="523">
        <v>239.09047189353345</v>
      </c>
      <c r="J186" s="522">
        <v>2.3378710410241439E-2</v>
      </c>
    </row>
    <row r="187" spans="2:10" x14ac:dyDescent="0.2">
      <c r="B187" s="514" t="s">
        <v>555</v>
      </c>
      <c r="C187" s="515">
        <v>25</v>
      </c>
      <c r="D187" s="164">
        <v>2.0423043640630092E-2</v>
      </c>
      <c r="E187" s="164">
        <v>6.9706590118380665E-2</v>
      </c>
      <c r="F187" s="164">
        <v>0.12905729110167707</v>
      </c>
      <c r="G187" s="164">
        <v>2.1479910254880899E-4</v>
      </c>
      <c r="H187" s="164">
        <v>4.815596809664942E-3</v>
      </c>
      <c r="I187" s="516">
        <v>16.929169197487067</v>
      </c>
      <c r="J187" s="517">
        <v>1.8427385460944941E-3</v>
      </c>
    </row>
    <row r="188" spans="2:10" x14ac:dyDescent="0.2">
      <c r="B188" s="514"/>
      <c r="C188" s="515">
        <v>50</v>
      </c>
      <c r="D188" s="164">
        <v>9.0139015429531247E-2</v>
      </c>
      <c r="E188" s="164">
        <v>0.33494821352317394</v>
      </c>
      <c r="F188" s="164">
        <v>0.27830254915222297</v>
      </c>
      <c r="G188" s="164">
        <v>4.0268748802808809E-4</v>
      </c>
      <c r="H188" s="164">
        <v>2.1792801280841708E-2</v>
      </c>
      <c r="I188" s="516">
        <v>31.149668996027721</v>
      </c>
      <c r="J188" s="517">
        <v>8.1331000303180283E-3</v>
      </c>
    </row>
    <row r="189" spans="2:10" x14ac:dyDescent="0.2">
      <c r="B189" s="514"/>
      <c r="C189" s="515">
        <v>120</v>
      </c>
      <c r="D189" s="164">
        <v>7.7253202863558038E-2</v>
      </c>
      <c r="E189" s="164">
        <v>0.40627242533948182</v>
      </c>
      <c r="F189" s="164">
        <v>0.48278125516535325</v>
      </c>
      <c r="G189" s="164">
        <v>6.9108553659227932E-4</v>
      </c>
      <c r="H189" s="164">
        <v>3.8687675504080588E-2</v>
      </c>
      <c r="I189" s="516">
        <v>58.913523330624749</v>
      </c>
      <c r="J189" s="517">
        <v>6.9704339147860696E-3</v>
      </c>
    </row>
    <row r="190" spans="2:10" x14ac:dyDescent="0.2">
      <c r="B190" s="514"/>
      <c r="C190" s="515">
        <v>175</v>
      </c>
      <c r="D190" s="164">
        <v>0.10222261999421943</v>
      </c>
      <c r="E190" s="164">
        <v>0.62417814121481119</v>
      </c>
      <c r="F190" s="164">
        <v>0.729528184087054</v>
      </c>
      <c r="G190" s="164">
        <v>1.1962276306230974E-3</v>
      </c>
      <c r="H190" s="164">
        <v>4.0230753959931309E-2</v>
      </c>
      <c r="I190" s="163">
        <v>106.31516920706953</v>
      </c>
      <c r="J190" s="517">
        <v>9.2233855410991366E-3</v>
      </c>
    </row>
    <row r="191" spans="2:10" x14ac:dyDescent="0.2">
      <c r="B191" s="514"/>
      <c r="C191" s="515">
        <v>250</v>
      </c>
      <c r="D191" s="164">
        <v>0.10563966943103599</v>
      </c>
      <c r="E191" s="164">
        <v>0.33567623418699366</v>
      </c>
      <c r="F191" s="164">
        <v>0.8897147826659817</v>
      </c>
      <c r="G191" s="164">
        <v>1.6762428138747331E-3</v>
      </c>
      <c r="H191" s="164">
        <v>3.024588610473709E-2</v>
      </c>
      <c r="I191" s="163">
        <v>148.97666793125595</v>
      </c>
      <c r="J191" s="517">
        <v>9.5316980170715351E-3</v>
      </c>
    </row>
    <row r="192" spans="2:10" x14ac:dyDescent="0.2">
      <c r="B192" s="514"/>
      <c r="C192" s="515">
        <v>500</v>
      </c>
      <c r="D192" s="164">
        <v>0.15924606306857278</v>
      </c>
      <c r="E192" s="164">
        <v>0.55938624008081106</v>
      </c>
      <c r="F192" s="164">
        <v>1.2575849517256326</v>
      </c>
      <c r="G192" s="164">
        <v>2.326313735819787E-3</v>
      </c>
      <c r="H192" s="164">
        <v>4.4937527489054704E-2</v>
      </c>
      <c r="I192" s="163">
        <v>237.00826867085414</v>
      </c>
      <c r="J192" s="517">
        <v>1.4368518036164808E-2</v>
      </c>
    </row>
    <row r="193" spans="2:10" x14ac:dyDescent="0.2">
      <c r="B193" s="514"/>
      <c r="C193" s="515">
        <v>750</v>
      </c>
      <c r="D193" s="164">
        <v>0.3283053662443573</v>
      </c>
      <c r="E193" s="164">
        <v>1.1449539287354622</v>
      </c>
      <c r="F193" s="164">
        <v>2.6586881963255453</v>
      </c>
      <c r="G193" s="164">
        <v>4.8818556546541356E-3</v>
      </c>
      <c r="H193" s="164">
        <v>9.3673952867254953E-2</v>
      </c>
      <c r="I193" s="163">
        <v>485.52852495625854</v>
      </c>
      <c r="J193" s="517">
        <v>2.9622462792469637E-2</v>
      </c>
    </row>
    <row r="194" spans="2:10" x14ac:dyDescent="0.2">
      <c r="B194" s="514"/>
      <c r="C194" s="515">
        <v>1000</v>
      </c>
      <c r="D194" s="164">
        <v>0.43974971089632453</v>
      </c>
      <c r="E194" s="164">
        <v>1.5569779700812501</v>
      </c>
      <c r="F194" s="164">
        <v>4.9948497562866665</v>
      </c>
      <c r="G194" s="164">
        <v>5.9712523347861014E-3</v>
      </c>
      <c r="H194" s="164">
        <v>0.14241801076838989</v>
      </c>
      <c r="I194" s="163">
        <v>593.87538389201802</v>
      </c>
      <c r="J194" s="517">
        <v>3.9677910432521092E-2</v>
      </c>
    </row>
    <row r="195" spans="2:10" x14ac:dyDescent="0.2">
      <c r="B195" s="518" t="s">
        <v>556</v>
      </c>
      <c r="C195" s="519"/>
      <c r="D195" s="520">
        <v>9.827590348540903E-2</v>
      </c>
      <c r="E195" s="520">
        <v>0.455693911802103</v>
      </c>
      <c r="F195" s="520">
        <v>0.71139839786775128</v>
      </c>
      <c r="G195" s="520">
        <v>1.2006287862727527E-3</v>
      </c>
      <c r="H195" s="520">
        <v>3.7492857011607879E-2</v>
      </c>
      <c r="I195" s="523">
        <v>108.61139503448696</v>
      </c>
      <c r="J195" s="522">
        <v>8.8672784324028472E-3</v>
      </c>
    </row>
    <row r="196" spans="2:10" x14ac:dyDescent="0.2">
      <c r="B196" s="514" t="s">
        <v>557</v>
      </c>
      <c r="C196" s="515">
        <v>120</v>
      </c>
      <c r="D196" s="164">
        <v>0.15656636535898336</v>
      </c>
      <c r="E196" s="164">
        <v>0.67749330785630202</v>
      </c>
      <c r="F196" s="164">
        <v>0.92951378167799792</v>
      </c>
      <c r="G196" s="164">
        <v>1.1015005434202216E-3</v>
      </c>
      <c r="H196" s="164">
        <v>7.8125652172768664E-2</v>
      </c>
      <c r="I196" s="516">
        <v>93.900461345440192</v>
      </c>
      <c r="J196" s="517">
        <v>1.4126730285661885E-2</v>
      </c>
    </row>
    <row r="197" spans="2:10" x14ac:dyDescent="0.2">
      <c r="B197" s="514"/>
      <c r="C197" s="515">
        <v>175</v>
      </c>
      <c r="D197" s="164">
        <v>0.17705570600078238</v>
      </c>
      <c r="E197" s="164">
        <v>0.89998207872383196</v>
      </c>
      <c r="F197" s="164">
        <v>1.2618910459499182</v>
      </c>
      <c r="G197" s="164">
        <v>1.6660840705539416E-3</v>
      </c>
      <c r="H197" s="164">
        <v>7.0945587045776859E-2</v>
      </c>
      <c r="I197" s="163">
        <v>148.07380847163046</v>
      </c>
      <c r="J197" s="517">
        <v>1.5975449339248823E-2</v>
      </c>
    </row>
    <row r="198" spans="2:10" x14ac:dyDescent="0.2">
      <c r="B198" s="514"/>
      <c r="C198" s="515">
        <v>250</v>
      </c>
      <c r="D198" s="164">
        <v>0.19111772678797689</v>
      </c>
      <c r="E198" s="164">
        <v>0.56893455840683638</v>
      </c>
      <c r="F198" s="164">
        <v>1.608616268692816</v>
      </c>
      <c r="G198" s="164">
        <v>2.3568993961759982E-3</v>
      </c>
      <c r="H198" s="164">
        <v>6.0679808014366919E-2</v>
      </c>
      <c r="I198" s="163">
        <v>209.47025532316553</v>
      </c>
      <c r="J198" s="517">
        <v>1.7244240465467936E-2</v>
      </c>
    </row>
    <row r="199" spans="2:10" x14ac:dyDescent="0.2">
      <c r="B199" s="514"/>
      <c r="C199" s="515">
        <v>500</v>
      </c>
      <c r="D199" s="164">
        <v>0.27361983606105278</v>
      </c>
      <c r="E199" s="164">
        <v>1.0106838740781028</v>
      </c>
      <c r="F199" s="164">
        <v>2.2183128982162637</v>
      </c>
      <c r="G199" s="164">
        <v>3.1549257046389317E-3</v>
      </c>
      <c r="H199" s="164">
        <v>8.5097368649182215E-2</v>
      </c>
      <c r="I199" s="163">
        <v>321.42846751610921</v>
      </c>
      <c r="J199" s="517">
        <v>2.4688277766915231E-2</v>
      </c>
    </row>
    <row r="200" spans="2:10" x14ac:dyDescent="0.2">
      <c r="B200" s="514"/>
      <c r="C200" s="515">
        <v>750</v>
      </c>
      <c r="D200" s="164">
        <v>0.47474729905198543</v>
      </c>
      <c r="E200" s="164">
        <v>1.7422506226289693</v>
      </c>
      <c r="F200" s="164">
        <v>3.9270339620457184</v>
      </c>
      <c r="G200" s="164">
        <v>5.5831572118193885E-3</v>
      </c>
      <c r="H200" s="164">
        <v>0.14875945619651726</v>
      </c>
      <c r="I200" s="163">
        <v>555.27703236684738</v>
      </c>
      <c r="J200" s="517">
        <v>4.2835695375589726E-2</v>
      </c>
    </row>
    <row r="201" spans="2:10" x14ac:dyDescent="0.2">
      <c r="B201" s="518" t="s">
        <v>558</v>
      </c>
      <c r="C201" s="519"/>
      <c r="D201" s="520">
        <v>0.2382791762712945</v>
      </c>
      <c r="E201" s="520">
        <v>0.90530970543033673</v>
      </c>
      <c r="F201" s="520">
        <v>1.9017480996662592</v>
      </c>
      <c r="G201" s="520">
        <v>2.6870983615079284E-3</v>
      </c>
      <c r="H201" s="520">
        <v>7.8306973922422127E-2</v>
      </c>
      <c r="I201" s="523">
        <v>262.48996912068174</v>
      </c>
      <c r="J201" s="522">
        <v>2.1499545629583797E-2</v>
      </c>
    </row>
    <row r="202" spans="2:10" x14ac:dyDescent="0.2">
      <c r="B202" s="514" t="s">
        <v>559</v>
      </c>
      <c r="C202" s="515">
        <v>15</v>
      </c>
      <c r="D202" s="164">
        <v>7.1819042171482588E-3</v>
      </c>
      <c r="E202" s="164">
        <v>3.7672011405727068E-2</v>
      </c>
      <c r="F202" s="164">
        <v>4.4975819029795812E-2</v>
      </c>
      <c r="G202" s="164">
        <v>9.6006621553707824E-5</v>
      </c>
      <c r="H202" s="164">
        <v>1.757448444642367E-3</v>
      </c>
      <c r="I202" s="516">
        <v>6.1697416835141938</v>
      </c>
      <c r="J202" s="517">
        <v>6.4801176908851194E-4</v>
      </c>
    </row>
    <row r="203" spans="2:10" x14ac:dyDescent="0.2">
      <c r="B203" s="514"/>
      <c r="C203" s="515">
        <v>50</v>
      </c>
      <c r="D203" s="164">
        <v>8.320562780070738E-2</v>
      </c>
      <c r="E203" s="164">
        <v>0.31342799585066955</v>
      </c>
      <c r="F203" s="164">
        <v>0.30321336311921016</v>
      </c>
      <c r="G203" s="164">
        <v>4.6785669995969741E-4</v>
      </c>
      <c r="H203" s="164">
        <v>2.1889708456601046E-2</v>
      </c>
      <c r="I203" s="516">
        <v>36.190813992693961</v>
      </c>
      <c r="J203" s="517">
        <v>7.5075099016484051E-3</v>
      </c>
    </row>
    <row r="204" spans="2:10" x14ac:dyDescent="0.2">
      <c r="B204" s="514"/>
      <c r="C204" s="515">
        <v>120</v>
      </c>
      <c r="D204" s="164">
        <v>8.7290519574660372E-2</v>
      </c>
      <c r="E204" s="164">
        <v>0.50723022246730975</v>
      </c>
      <c r="F204" s="164">
        <v>0.62305757823604835</v>
      </c>
      <c r="G204" s="164">
        <v>9.4086497643190183E-4</v>
      </c>
      <c r="H204" s="164">
        <v>4.6644550673802548E-2</v>
      </c>
      <c r="I204" s="516">
        <v>80.206650636029451</v>
      </c>
      <c r="J204" s="517">
        <v>7.8760833104910711E-3</v>
      </c>
    </row>
    <row r="205" spans="2:10" x14ac:dyDescent="0.2">
      <c r="B205" s="514"/>
      <c r="C205" s="515">
        <v>175</v>
      </c>
      <c r="D205" s="164">
        <v>0.11692774609475744</v>
      </c>
      <c r="E205" s="164">
        <v>0.82875409211564821</v>
      </c>
      <c r="F205" s="164">
        <v>1.0084715203809975</v>
      </c>
      <c r="G205" s="164">
        <v>1.7388906115860445E-3</v>
      </c>
      <c r="H205" s="164">
        <v>4.97801816326661E-2</v>
      </c>
      <c r="I205" s="163">
        <v>154.54448327878163</v>
      </c>
      <c r="J205" s="517">
        <v>1.0550203138192054E-2</v>
      </c>
    </row>
    <row r="206" spans="2:10" x14ac:dyDescent="0.2">
      <c r="B206" s="514"/>
      <c r="C206" s="515">
        <v>250</v>
      </c>
      <c r="D206" s="164">
        <v>0.13181888329626754</v>
      </c>
      <c r="E206" s="164">
        <v>0.49979280829785322</v>
      </c>
      <c r="F206" s="164">
        <v>1.4476508440444347</v>
      </c>
      <c r="G206" s="164">
        <v>2.8724714911308488E-3</v>
      </c>
      <c r="H206" s="164">
        <v>4.2418032549166561E-2</v>
      </c>
      <c r="I206" s="163">
        <v>255.29175006093851</v>
      </c>
      <c r="J206" s="517">
        <v>1.189380641375703E-2</v>
      </c>
    </row>
    <row r="207" spans="2:10" x14ac:dyDescent="0.2">
      <c r="B207" s="518" t="s">
        <v>560</v>
      </c>
      <c r="C207" s="519"/>
      <c r="D207" s="520">
        <v>1.6062872635479963E-2</v>
      </c>
      <c r="E207" s="520">
        <v>9.214861265881566E-2</v>
      </c>
      <c r="F207" s="520">
        <v>0.11717802641326094</v>
      </c>
      <c r="G207" s="520">
        <v>2.1415178956561026E-4</v>
      </c>
      <c r="H207" s="520">
        <v>6.0222796725630905E-3</v>
      </c>
      <c r="I207" s="521">
        <v>16.698260542168526</v>
      </c>
      <c r="J207" s="522">
        <v>1.4493272880348191E-3</v>
      </c>
    </row>
    <row r="208" spans="2:10" x14ac:dyDescent="0.2">
      <c r="B208" s="514" t="s">
        <v>156</v>
      </c>
      <c r="C208" s="515">
        <v>25</v>
      </c>
      <c r="D208" s="164">
        <v>1.8364362083910912E-2</v>
      </c>
      <c r="E208" s="164">
        <v>5.93722307013997E-2</v>
      </c>
      <c r="F208" s="164">
        <v>0.11066153097579391</v>
      </c>
      <c r="G208" s="164">
        <v>1.7502151260013969E-4</v>
      </c>
      <c r="H208" s="164">
        <v>5.3159287298980467E-3</v>
      </c>
      <c r="I208" s="516">
        <v>13.794137937448488</v>
      </c>
      <c r="J208" s="517">
        <v>1.6569870757275015E-3</v>
      </c>
    </row>
    <row r="209" spans="2:10" x14ac:dyDescent="0.2">
      <c r="B209" s="514"/>
      <c r="C209" s="515">
        <v>50</v>
      </c>
      <c r="D209" s="164">
        <v>3.2313389441625637E-2</v>
      </c>
      <c r="E209" s="164">
        <v>0.20888838973783272</v>
      </c>
      <c r="F209" s="164">
        <v>0.19528012870004316</v>
      </c>
      <c r="G209" s="164">
        <v>3.2989899838564078E-4</v>
      </c>
      <c r="H209" s="164">
        <v>9.4357694471528322E-3</v>
      </c>
      <c r="I209" s="516">
        <v>25.519155927350894</v>
      </c>
      <c r="J209" s="517">
        <v>2.915585728687426E-3</v>
      </c>
    </row>
    <row r="210" spans="2:10" x14ac:dyDescent="0.2">
      <c r="B210" s="514"/>
      <c r="C210" s="515">
        <v>120</v>
      </c>
      <c r="D210" s="164">
        <v>2.9494381978405981E-2</v>
      </c>
      <c r="E210" s="164">
        <v>0.26951851845707936</v>
      </c>
      <c r="F210" s="164">
        <v>0.24106539809414404</v>
      </c>
      <c r="G210" s="164">
        <v>5.0161812688575538E-4</v>
      </c>
      <c r="H210" s="164">
        <v>1.3839832643989136E-2</v>
      </c>
      <c r="I210" s="516">
        <v>42.761816433291543</v>
      </c>
      <c r="J210" s="517">
        <v>2.6612306945582326E-3</v>
      </c>
    </row>
    <row r="211" spans="2:10" x14ac:dyDescent="0.2">
      <c r="B211" s="518" t="s">
        <v>561</v>
      </c>
      <c r="C211" s="519"/>
      <c r="D211" s="520">
        <v>3.0483522438336991E-2</v>
      </c>
      <c r="E211" s="520">
        <v>0.21843831201686664</v>
      </c>
      <c r="F211" s="520">
        <v>0.20436757969663158</v>
      </c>
      <c r="G211" s="520">
        <v>3.7475560482809169E-4</v>
      </c>
      <c r="H211" s="520">
        <v>1.0576408077478063E-2</v>
      </c>
      <c r="I211" s="521">
        <v>30.277018594526275</v>
      </c>
      <c r="J211" s="522">
        <v>2.750479580448158E-3</v>
      </c>
    </row>
    <row r="212" spans="2:10" x14ac:dyDescent="0.2">
      <c r="B212" s="514" t="s">
        <v>562</v>
      </c>
      <c r="C212" s="515">
        <v>50</v>
      </c>
      <c r="D212" s="164">
        <v>3.7594866844866445E-2</v>
      </c>
      <c r="E212" s="164">
        <v>0.13004985993890752</v>
      </c>
      <c r="F212" s="164">
        <v>0.12194197828437388</v>
      </c>
      <c r="G212" s="164">
        <v>1.8237658153491743E-4</v>
      </c>
      <c r="H212" s="164">
        <v>9.2839558649874358E-3</v>
      </c>
      <c r="I212" s="516">
        <v>14.107642308904241</v>
      </c>
      <c r="J212" s="517">
        <v>3.3921240615690661E-3</v>
      </c>
    </row>
    <row r="213" spans="2:10" x14ac:dyDescent="0.2">
      <c r="B213" s="514"/>
      <c r="C213" s="515">
        <v>120</v>
      </c>
      <c r="D213" s="164">
        <v>7.7938608471483053E-2</v>
      </c>
      <c r="E213" s="164">
        <v>0.41226159218601077</v>
      </c>
      <c r="F213" s="164">
        <v>0.53633968249077701</v>
      </c>
      <c r="G213" s="164">
        <v>7.4801426207705816E-4</v>
      </c>
      <c r="H213" s="164">
        <v>4.0288192940201056E-2</v>
      </c>
      <c r="I213" s="516">
        <v>63.766536702707114</v>
      </c>
      <c r="J213" s="517">
        <v>7.0322763871622871E-3</v>
      </c>
    </row>
    <row r="214" spans="2:10" x14ac:dyDescent="0.2">
      <c r="B214" s="514"/>
      <c r="C214" s="515">
        <v>175</v>
      </c>
      <c r="D214" s="164">
        <v>7.3438833041267623E-2</v>
      </c>
      <c r="E214" s="164">
        <v>0.46945735558231699</v>
      </c>
      <c r="F214" s="164">
        <v>0.61295583376421447</v>
      </c>
      <c r="G214" s="164">
        <v>9.6510962317464418E-4</v>
      </c>
      <c r="H214" s="164">
        <v>3.0772874133864123E-2</v>
      </c>
      <c r="I214" s="516">
        <v>85.774442939995609</v>
      </c>
      <c r="J214" s="517">
        <v>6.6262694017794879E-3</v>
      </c>
    </row>
    <row r="215" spans="2:10" x14ac:dyDescent="0.2">
      <c r="B215" s="514"/>
      <c r="C215" s="515">
        <v>250</v>
      </c>
      <c r="D215" s="164">
        <v>8.3251017303538094E-2</v>
      </c>
      <c r="E215" s="164">
        <v>0.30127362266857877</v>
      </c>
      <c r="F215" s="164">
        <v>0.85065964449596732</v>
      </c>
      <c r="G215" s="164">
        <v>1.5175085685100256E-3</v>
      </c>
      <c r="H215" s="164">
        <v>2.7989277667081498E-2</v>
      </c>
      <c r="I215" s="163">
        <v>134.86907903867569</v>
      </c>
      <c r="J215" s="517">
        <v>7.5116054559024384E-3</v>
      </c>
    </row>
    <row r="216" spans="2:10" x14ac:dyDescent="0.2">
      <c r="B216" s="514"/>
      <c r="C216" s="515">
        <v>500</v>
      </c>
      <c r="D216" s="164">
        <v>0.12598955987794103</v>
      </c>
      <c r="E216" s="164">
        <v>0.54851424485666067</v>
      </c>
      <c r="F216" s="164">
        <v>1.2555470136558089</v>
      </c>
      <c r="G216" s="164">
        <v>2.1712269745752496E-3</v>
      </c>
      <c r="H216" s="164">
        <v>4.2493114267413215E-2</v>
      </c>
      <c r="I216" s="163">
        <v>221.20780334358386</v>
      </c>
      <c r="J216" s="517">
        <v>1.1367838289566053E-2</v>
      </c>
    </row>
    <row r="217" spans="2:10" x14ac:dyDescent="0.2">
      <c r="B217" s="514"/>
      <c r="C217" s="515">
        <v>750</v>
      </c>
      <c r="D217" s="164">
        <v>0.20063162250150327</v>
      </c>
      <c r="E217" s="164">
        <v>0.85936006400794385</v>
      </c>
      <c r="F217" s="164">
        <v>2.0266040744317184</v>
      </c>
      <c r="G217" s="164">
        <v>3.4894720137993674E-3</v>
      </c>
      <c r="H217" s="164">
        <v>6.7669081135041609E-2</v>
      </c>
      <c r="I217" s="163">
        <v>347.04783716557239</v>
      </c>
      <c r="J217" s="517">
        <v>1.8102664989635711E-2</v>
      </c>
    </row>
    <row r="218" spans="2:10" x14ac:dyDescent="0.2">
      <c r="B218" s="518" t="s">
        <v>563</v>
      </c>
      <c r="C218" s="519"/>
      <c r="D218" s="520">
        <v>0.10449506783152397</v>
      </c>
      <c r="E218" s="520">
        <v>0.45061301854837521</v>
      </c>
      <c r="F218" s="520">
        <v>0.97314546750582498</v>
      </c>
      <c r="G218" s="520">
        <v>1.6673100543704634E-3</v>
      </c>
      <c r="H218" s="520">
        <v>3.5306067512158493E-2</v>
      </c>
      <c r="I218" s="523">
        <v>165.9721401715953</v>
      </c>
      <c r="J218" s="522">
        <v>9.4284233422784209E-3</v>
      </c>
    </row>
    <row r="219" spans="2:10" x14ac:dyDescent="0.2">
      <c r="B219" s="514" t="s">
        <v>564</v>
      </c>
      <c r="C219" s="515">
        <v>15</v>
      </c>
      <c r="D219" s="164">
        <v>1.2380687989116047E-2</v>
      </c>
      <c r="E219" s="164">
        <v>7.2893769789067836E-2</v>
      </c>
      <c r="F219" s="164">
        <v>8.7026339636988123E-2</v>
      </c>
      <c r="G219" s="164">
        <v>1.8576885695836614E-4</v>
      </c>
      <c r="H219" s="164">
        <v>3.4005893830286091E-3</v>
      </c>
      <c r="I219" s="516">
        <v>11.938196881686501</v>
      </c>
      <c r="J219" s="517">
        <v>1.1170893740317512E-3</v>
      </c>
    </row>
    <row r="220" spans="2:10" x14ac:dyDescent="0.2">
      <c r="B220" s="514"/>
      <c r="C220" s="515">
        <v>25</v>
      </c>
      <c r="D220" s="164">
        <v>2.3660477670211552E-2</v>
      </c>
      <c r="E220" s="164">
        <v>8.0756370056099022E-2</v>
      </c>
      <c r="F220" s="164">
        <v>0.14951524460007767</v>
      </c>
      <c r="G220" s="164">
        <v>2.4884868114752741E-4</v>
      </c>
      <c r="H220" s="164">
        <v>5.5785891308969627E-3</v>
      </c>
      <c r="I220" s="516">
        <v>19.61275320723956</v>
      </c>
      <c r="J220" s="517">
        <v>2.134846528648164E-3</v>
      </c>
    </row>
    <row r="221" spans="2:10" x14ac:dyDescent="0.2">
      <c r="B221" s="514"/>
      <c r="C221" s="515">
        <v>50</v>
      </c>
      <c r="D221" s="164">
        <v>6.6243006586308273E-2</v>
      </c>
      <c r="E221" s="164">
        <v>0.30840592313460474</v>
      </c>
      <c r="F221" s="164">
        <v>0.27202302902007897</v>
      </c>
      <c r="G221" s="164">
        <v>4.0787519840479507E-4</v>
      </c>
      <c r="H221" s="164">
        <v>1.8210743498256059E-2</v>
      </c>
      <c r="I221" s="516">
        <v>31.550964185028668</v>
      </c>
      <c r="J221" s="517">
        <v>5.9770004226917068E-3</v>
      </c>
    </row>
    <row r="222" spans="2:10" x14ac:dyDescent="0.2">
      <c r="B222" s="514"/>
      <c r="C222" s="515">
        <v>120</v>
      </c>
      <c r="D222" s="164">
        <v>7.7350469494183435E-2</v>
      </c>
      <c r="E222" s="164">
        <v>0.50168655138603524</v>
      </c>
      <c r="F222" s="164">
        <v>0.53236808560333904</v>
      </c>
      <c r="G222" s="164">
        <v>8.8025852246575076E-4</v>
      </c>
      <c r="H222" s="164">
        <v>3.9192407788964947E-2</v>
      </c>
      <c r="I222" s="516">
        <v>75.040091008231684</v>
      </c>
      <c r="J222" s="517">
        <v>6.9792086054076847E-3</v>
      </c>
    </row>
    <row r="223" spans="2:10" x14ac:dyDescent="0.2">
      <c r="B223" s="514"/>
      <c r="C223" s="515">
        <v>175</v>
      </c>
      <c r="D223" s="164">
        <v>0.10997284503941657</v>
      </c>
      <c r="E223" s="164">
        <v>0.80052764708875102</v>
      </c>
      <c r="F223" s="164">
        <v>0.79992767636143214</v>
      </c>
      <c r="G223" s="164">
        <v>1.5639292125163694E-3</v>
      </c>
      <c r="H223" s="164">
        <v>4.2947439399986687E-2</v>
      </c>
      <c r="I223" s="163">
        <v>138.99476823542824</v>
      </c>
      <c r="J223" s="517">
        <v>9.922673937593102E-3</v>
      </c>
    </row>
    <row r="224" spans="2:10" x14ac:dyDescent="0.2">
      <c r="B224" s="514"/>
      <c r="C224" s="515">
        <v>250</v>
      </c>
      <c r="D224" s="164">
        <v>9.7913898967842666E-2</v>
      </c>
      <c r="E224" s="164">
        <v>0.32546828830737268</v>
      </c>
      <c r="F224" s="164">
        <v>0.7954144746092251</v>
      </c>
      <c r="G224" s="164">
        <v>1.8229850379753183E-3</v>
      </c>
      <c r="H224" s="164">
        <v>2.5771279171892883E-2</v>
      </c>
      <c r="I224" s="163">
        <v>162.01836628864405</v>
      </c>
      <c r="J224" s="517">
        <v>8.8346152492406686E-3</v>
      </c>
    </row>
    <row r="225" spans="2:10" x14ac:dyDescent="0.2">
      <c r="B225" s="518" t="s">
        <v>565</v>
      </c>
      <c r="C225" s="519"/>
      <c r="D225" s="520">
        <v>8.096953447117769E-2</v>
      </c>
      <c r="E225" s="520">
        <v>0.49879814509440745</v>
      </c>
      <c r="F225" s="520">
        <v>0.51924982364654293</v>
      </c>
      <c r="G225" s="520">
        <v>9.1561434146758894E-4</v>
      </c>
      <c r="H225" s="520">
        <v>3.3164770783937501E-2</v>
      </c>
      <c r="I225" s="521">
        <v>78.543284868336329</v>
      </c>
      <c r="J225" s="522">
        <v>7.3057513348052964E-3</v>
      </c>
    </row>
    <row r="226" spans="2:10" x14ac:dyDescent="0.2">
      <c r="B226" s="514" t="s">
        <v>566</v>
      </c>
      <c r="C226" s="515">
        <v>25</v>
      </c>
      <c r="D226" s="164">
        <v>1.9189414209776979E-2</v>
      </c>
      <c r="E226" s="164">
        <v>6.5317658618939248E-2</v>
      </c>
      <c r="F226" s="164">
        <v>0.12164939201031869</v>
      </c>
      <c r="G226" s="164">
        <v>2.0127465816862795E-4</v>
      </c>
      <c r="H226" s="164">
        <v>4.7867146007888805E-3</v>
      </c>
      <c r="I226" s="516">
        <v>15.863255791368113</v>
      </c>
      <c r="J226" s="517">
        <v>1.7314297336204455E-3</v>
      </c>
    </row>
    <row r="227" spans="2:10" x14ac:dyDescent="0.2">
      <c r="B227" s="514"/>
      <c r="C227" s="515">
        <v>50</v>
      </c>
      <c r="D227" s="164">
        <v>6.2289945917413457E-2</v>
      </c>
      <c r="E227" s="164">
        <v>0.294886660821776</v>
      </c>
      <c r="F227" s="164">
        <v>0.25360354911499017</v>
      </c>
      <c r="G227" s="164">
        <v>3.9231218893310627E-4</v>
      </c>
      <c r="H227" s="164">
        <v>1.621727524410508E-2</v>
      </c>
      <c r="I227" s="516">
        <v>30.347098275230699</v>
      </c>
      <c r="J227" s="517">
        <v>5.6203217505020886E-3</v>
      </c>
    </row>
    <row r="228" spans="2:10" x14ac:dyDescent="0.2">
      <c r="B228" s="514"/>
      <c r="C228" s="515">
        <v>120</v>
      </c>
      <c r="D228" s="164">
        <v>5.2437519504869065E-2</v>
      </c>
      <c r="E228" s="164">
        <v>0.34596238168704574</v>
      </c>
      <c r="F228" s="164">
        <v>0.35264109740702088</v>
      </c>
      <c r="G228" s="164">
        <v>6.0679614840509783E-4</v>
      </c>
      <c r="H228" s="164">
        <v>2.5319617907366337E-2</v>
      </c>
      <c r="I228" s="516">
        <v>51.728017049774763</v>
      </c>
      <c r="J228" s="517">
        <v>4.7313534758971322E-3</v>
      </c>
    </row>
    <row r="229" spans="2:10" x14ac:dyDescent="0.2">
      <c r="B229" s="514"/>
      <c r="C229" s="515">
        <v>175</v>
      </c>
      <c r="D229" s="164">
        <v>7.8802066219338537E-2</v>
      </c>
      <c r="E229" s="164">
        <v>0.58496217338285772</v>
      </c>
      <c r="F229" s="164">
        <v>0.557363905997869</v>
      </c>
      <c r="G229" s="164">
        <v>1.1407767456634455E-3</v>
      </c>
      <c r="H229" s="164">
        <v>2.9279227605271036E-2</v>
      </c>
      <c r="I229" s="163">
        <v>101.38692064087188</v>
      </c>
      <c r="J229" s="517">
        <v>7.1101847059931436E-3</v>
      </c>
    </row>
    <row r="230" spans="2:10" x14ac:dyDescent="0.2">
      <c r="B230" s="514"/>
      <c r="C230" s="515">
        <v>250</v>
      </c>
      <c r="D230" s="164">
        <v>0.10247724576089945</v>
      </c>
      <c r="E230" s="164">
        <v>0.35335932361133848</v>
      </c>
      <c r="F230" s="164">
        <v>0.7913937770294921</v>
      </c>
      <c r="G230" s="164">
        <v>1.9323362992743948E-3</v>
      </c>
      <c r="H230" s="164">
        <v>2.6013326020989172E-2</v>
      </c>
      <c r="I230" s="163">
        <v>171.73706147835671</v>
      </c>
      <c r="J230" s="517">
        <v>9.2463585559747798E-3</v>
      </c>
    </row>
    <row r="231" spans="2:10" x14ac:dyDescent="0.2">
      <c r="B231" s="514"/>
      <c r="C231" s="515">
        <v>500</v>
      </c>
      <c r="D231" s="164">
        <v>0.19848329981172066</v>
      </c>
      <c r="E231" s="164">
        <v>0.69635720991558636</v>
      </c>
      <c r="F231" s="164">
        <v>1.4092401145133282</v>
      </c>
      <c r="G231" s="164">
        <v>3.8801933253771056E-3</v>
      </c>
      <c r="H231" s="164">
        <v>4.9625102430245545E-2</v>
      </c>
      <c r="I231" s="163">
        <v>344.85346238700959</v>
      </c>
      <c r="J231" s="517">
        <v>1.7908828269608837E-2</v>
      </c>
    </row>
    <row r="232" spans="2:10" x14ac:dyDescent="0.2">
      <c r="B232" s="514"/>
      <c r="C232" s="515">
        <v>750</v>
      </c>
      <c r="D232" s="164">
        <v>0.29949335927850562</v>
      </c>
      <c r="E232" s="164">
        <v>1.044334511524404</v>
      </c>
      <c r="F232" s="164">
        <v>2.1837007616650186</v>
      </c>
      <c r="G232" s="164">
        <v>5.8202910581566314E-3</v>
      </c>
      <c r="H232" s="164">
        <v>7.5789859703856224E-2</v>
      </c>
      <c r="I232" s="163">
        <v>517.28030113191244</v>
      </c>
      <c r="J232" s="517">
        <v>2.7022800381720478E-2</v>
      </c>
    </row>
    <row r="233" spans="2:10" x14ac:dyDescent="0.2">
      <c r="B233" s="518" t="s">
        <v>567</v>
      </c>
      <c r="C233" s="519"/>
      <c r="D233" s="520">
        <v>6.1013593492079035E-2</v>
      </c>
      <c r="E233" s="520">
        <v>0.3689230119858794</v>
      </c>
      <c r="F233" s="520">
        <v>0.40697936415173164</v>
      </c>
      <c r="G233" s="520">
        <v>7.7504089522261637E-4</v>
      </c>
      <c r="H233" s="520">
        <v>2.5810917655816727E-2</v>
      </c>
      <c r="I233" s="521">
        <v>66.797913527604479</v>
      </c>
      <c r="J233" s="522">
        <v>5.5051588163464215E-3</v>
      </c>
    </row>
    <row r="234" spans="2:10" x14ac:dyDescent="0.2">
      <c r="B234" s="514" t="s">
        <v>568</v>
      </c>
      <c r="C234" s="515">
        <v>15</v>
      </c>
      <c r="D234" s="164">
        <v>9.853221776811031E-3</v>
      </c>
      <c r="E234" s="164">
        <v>5.1684160498663284E-2</v>
      </c>
      <c r="F234" s="164">
        <v>6.1704629593693147E-2</v>
      </c>
      <c r="G234" s="164">
        <v>1.3171641255563702E-4</v>
      </c>
      <c r="H234" s="164">
        <v>2.4111330480113629E-3</v>
      </c>
      <c r="I234" s="516">
        <v>8.464585502655245</v>
      </c>
      <c r="J234" s="517">
        <v>8.8904040232782244E-4</v>
      </c>
    </row>
    <row r="235" spans="2:10" x14ac:dyDescent="0.2">
      <c r="B235" s="514"/>
      <c r="C235" s="515">
        <v>25</v>
      </c>
      <c r="D235" s="164">
        <v>3.9711470492232781E-2</v>
      </c>
      <c r="E235" s="164">
        <v>0.13554059432993537</v>
      </c>
      <c r="F235" s="164">
        <v>0.25094474698128566</v>
      </c>
      <c r="G235" s="164">
        <v>4.1766490225633219E-4</v>
      </c>
      <c r="H235" s="164">
        <v>9.3636594293422196E-3</v>
      </c>
      <c r="I235" s="516">
        <v>32.917831669218394</v>
      </c>
      <c r="J235" s="517">
        <v>3.5831029086664497E-3</v>
      </c>
    </row>
    <row r="236" spans="2:10" x14ac:dyDescent="0.2">
      <c r="B236" s="514"/>
      <c r="C236" s="515">
        <v>50</v>
      </c>
      <c r="D236" s="164">
        <v>0.13048588347777354</v>
      </c>
      <c r="E236" s="164">
        <v>0.38129515881374432</v>
      </c>
      <c r="F236" s="164">
        <v>0.31413400212065856</v>
      </c>
      <c r="G236" s="164">
        <v>4.2554552201259373E-4</v>
      </c>
      <c r="H236" s="164">
        <v>2.9309210040361012E-2</v>
      </c>
      <c r="I236" s="516">
        <v>32.917856105832044</v>
      </c>
      <c r="J236" s="517">
        <v>1.1773532981708182E-2</v>
      </c>
    </row>
    <row r="237" spans="2:10" x14ac:dyDescent="0.2">
      <c r="B237" s="514"/>
      <c r="C237" s="515">
        <v>120</v>
      </c>
      <c r="D237" s="164">
        <v>0.10796897189848784</v>
      </c>
      <c r="E237" s="164">
        <v>0.45629648477046664</v>
      </c>
      <c r="F237" s="164">
        <v>0.66530208769771293</v>
      </c>
      <c r="G237" s="164">
        <v>7.6125314669447822E-4</v>
      </c>
      <c r="H237" s="164">
        <v>5.5127636837228489E-2</v>
      </c>
      <c r="I237" s="516">
        <v>64.895129777637479</v>
      </c>
      <c r="J237" s="517">
        <v>9.7418679231813989E-3</v>
      </c>
    </row>
    <row r="238" spans="2:10" x14ac:dyDescent="0.2">
      <c r="B238" s="514"/>
      <c r="C238" s="515">
        <v>175</v>
      </c>
      <c r="D238" s="164">
        <v>0.16783111219902022</v>
      </c>
      <c r="E238" s="164">
        <v>0.84961357126624726</v>
      </c>
      <c r="F238" s="164">
        <v>1.2808724667067877</v>
      </c>
      <c r="G238" s="164">
        <v>1.6190980876196713E-3</v>
      </c>
      <c r="H238" s="164">
        <v>6.9999372712703012E-2</v>
      </c>
      <c r="I238" s="163">
        <v>143.89789802116951</v>
      </c>
      <c r="J238" s="517">
        <v>1.514313006064387E-2</v>
      </c>
    </row>
    <row r="239" spans="2:10" x14ac:dyDescent="0.2">
      <c r="B239" s="514"/>
      <c r="C239" s="515">
        <v>250</v>
      </c>
      <c r="D239" s="164">
        <v>0.19908761078105477</v>
      </c>
      <c r="E239" s="164">
        <v>0.62597108826461634</v>
      </c>
      <c r="F239" s="164">
        <v>1.805169866381714</v>
      </c>
      <c r="G239" s="164">
        <v>2.5080154686931352E-3</v>
      </c>
      <c r="H239" s="164">
        <v>6.9092612884471188E-2</v>
      </c>
      <c r="I239" s="163">
        <v>222.90069435002954</v>
      </c>
      <c r="J239" s="517">
        <v>1.7963351297563594E-2</v>
      </c>
    </row>
    <row r="240" spans="2:10" x14ac:dyDescent="0.2">
      <c r="B240" s="514"/>
      <c r="C240" s="515">
        <v>500</v>
      </c>
      <c r="D240" s="164">
        <v>0.25600984092568235</v>
      </c>
      <c r="E240" s="164">
        <v>1.0679663437906153</v>
      </c>
      <c r="F240" s="164">
        <v>2.2757278241465482</v>
      </c>
      <c r="G240" s="164">
        <v>3.0555955009681193E-3</v>
      </c>
      <c r="H240" s="164">
        <v>8.7406017358153829E-2</v>
      </c>
      <c r="I240" s="163">
        <v>311.30857227925372</v>
      </c>
      <c r="J240" s="517">
        <v>2.309936010756616E-2</v>
      </c>
    </row>
    <row r="241" spans="2:10" x14ac:dyDescent="0.2">
      <c r="B241" s="514"/>
      <c r="C241" s="515">
        <v>750</v>
      </c>
      <c r="D241" s="164">
        <v>0.48516738111339308</v>
      </c>
      <c r="E241" s="164">
        <v>2.0082239156750279</v>
      </c>
      <c r="F241" s="164">
        <v>4.3873466566066739</v>
      </c>
      <c r="G241" s="164">
        <v>5.9008945878810679E-3</v>
      </c>
      <c r="H241" s="164">
        <v>0.16651764427767793</v>
      </c>
      <c r="I241" s="163">
        <v>586.87801644148738</v>
      </c>
      <c r="J241" s="517">
        <v>4.3775875785648295E-2</v>
      </c>
    </row>
    <row r="242" spans="2:10" x14ac:dyDescent="0.2">
      <c r="B242" s="518" t="s">
        <v>569</v>
      </c>
      <c r="C242" s="519"/>
      <c r="D242" s="520">
        <v>0.12000490381575345</v>
      </c>
      <c r="E242" s="520">
        <v>0.44794160485811418</v>
      </c>
      <c r="F242" s="520">
        <v>0.57191563428690118</v>
      </c>
      <c r="G242" s="520">
        <v>6.9604935310290425E-4</v>
      </c>
      <c r="H242" s="520">
        <v>4.5335748391899473E-2</v>
      </c>
      <c r="I242" s="521">
        <v>58.714635908079224</v>
      </c>
      <c r="J242" s="522">
        <v>1.0827850667826761E-2</v>
      </c>
    </row>
    <row r="243" spans="2:10" x14ac:dyDescent="0.2">
      <c r="B243" s="514" t="s">
        <v>570</v>
      </c>
      <c r="C243" s="515">
        <v>15</v>
      </c>
      <c r="D243" s="164">
        <v>8.8945507724142794E-3</v>
      </c>
      <c r="E243" s="164">
        <v>3.9628764270329742E-2</v>
      </c>
      <c r="F243" s="164">
        <v>5.5149954495668743E-2</v>
      </c>
      <c r="G243" s="164">
        <v>9.6592050092666817E-5</v>
      </c>
      <c r="H243" s="164">
        <v>3.2000779973160921E-3</v>
      </c>
      <c r="I243" s="516">
        <v>6.2073621861466801</v>
      </c>
      <c r="J243" s="517">
        <v>8.0254118657326632E-4</v>
      </c>
    </row>
    <row r="244" spans="2:10" x14ac:dyDescent="0.2">
      <c r="B244" s="514"/>
      <c r="C244" s="515">
        <v>25</v>
      </c>
      <c r="D244" s="164">
        <v>1.7121479068813651E-2</v>
      </c>
      <c r="E244" s="164">
        <v>5.1930266405032045E-2</v>
      </c>
      <c r="F244" s="164">
        <v>9.5639459748112846E-2</v>
      </c>
      <c r="G244" s="164">
        <v>1.4319935934651958E-4</v>
      </c>
      <c r="H244" s="164">
        <v>5.1175020193967111E-3</v>
      </c>
      <c r="I244" s="516">
        <v>11.286111497879281</v>
      </c>
      <c r="J244" s="517">
        <v>1.5448435895396705E-3</v>
      </c>
    </row>
    <row r="245" spans="2:10" x14ac:dyDescent="0.2">
      <c r="B245" s="514"/>
      <c r="C245" s="515">
        <v>50</v>
      </c>
      <c r="D245" s="164">
        <v>7.1734986405711201E-2</v>
      </c>
      <c r="E245" s="164">
        <v>0.2482992568321572</v>
      </c>
      <c r="F245" s="164">
        <v>0.22617570338764445</v>
      </c>
      <c r="G245" s="164">
        <v>3.3557294935108041E-4</v>
      </c>
      <c r="H245" s="164">
        <v>1.8050652728785543E-2</v>
      </c>
      <c r="I245" s="516">
        <v>25.958061199830176</v>
      </c>
      <c r="J245" s="517">
        <v>6.4725338404412538E-3</v>
      </c>
    </row>
    <row r="246" spans="2:10" x14ac:dyDescent="0.2">
      <c r="B246" s="514"/>
      <c r="C246" s="515">
        <v>120</v>
      </c>
      <c r="D246" s="164">
        <v>4.9376150290202411E-2</v>
      </c>
      <c r="E246" s="164">
        <v>0.25810257068847464</v>
      </c>
      <c r="F246" s="164">
        <v>0.3291394091986658</v>
      </c>
      <c r="G246" s="164">
        <v>4.6337175247754546E-4</v>
      </c>
      <c r="H246" s="164">
        <v>2.6454606138233496E-2</v>
      </c>
      <c r="I246" s="516">
        <v>39.501403721576423</v>
      </c>
      <c r="J246" s="517">
        <v>4.4551307005708312E-3</v>
      </c>
    </row>
    <row r="247" spans="2:10" x14ac:dyDescent="0.2">
      <c r="B247" s="514"/>
      <c r="C247" s="515">
        <v>175</v>
      </c>
      <c r="D247" s="164">
        <v>8.51596145442957E-2</v>
      </c>
      <c r="E247" s="164">
        <v>0.54113376137760061</v>
      </c>
      <c r="F247" s="164">
        <v>0.69393391085480982</v>
      </c>
      <c r="G247" s="164">
        <v>1.1047963712456439E-3</v>
      </c>
      <c r="H247" s="164">
        <v>3.6220017288647044E-2</v>
      </c>
      <c r="I247" s="516">
        <v>98.189164786158628</v>
      </c>
      <c r="J247" s="517">
        <v>7.6838151527916345E-3</v>
      </c>
    </row>
    <row r="248" spans="2:10" x14ac:dyDescent="0.2">
      <c r="B248" s="514"/>
      <c r="C248" s="515">
        <v>250</v>
      </c>
      <c r="D248" s="164">
        <v>7.0022883241433659E-2</v>
      </c>
      <c r="E248" s="164">
        <v>0.2427351347118373</v>
      </c>
      <c r="F248" s="164">
        <v>0.73862618797392321</v>
      </c>
      <c r="G248" s="164">
        <v>1.3397248747535426E-3</v>
      </c>
      <c r="H248" s="164">
        <v>2.2277108250192128E-2</v>
      </c>
      <c r="I248" s="163">
        <v>119.06844204054279</v>
      </c>
      <c r="J248" s="517">
        <v>6.3180507776011583E-3</v>
      </c>
    </row>
    <row r="249" spans="2:10" x14ac:dyDescent="0.2">
      <c r="B249" s="514"/>
      <c r="C249" s="515">
        <v>500</v>
      </c>
      <c r="D249" s="164">
        <v>9.1217258596190592E-2</v>
      </c>
      <c r="E249" s="164">
        <v>0.33606189187598234</v>
      </c>
      <c r="F249" s="164">
        <v>0.90556426671343337</v>
      </c>
      <c r="G249" s="164">
        <v>1.6450363745144267E-3</v>
      </c>
      <c r="H249" s="164">
        <v>2.9226758338059974E-2</v>
      </c>
      <c r="I249" s="163">
        <v>167.59872813015977</v>
      </c>
      <c r="J249" s="517">
        <v>8.2303858243155132E-3</v>
      </c>
    </row>
    <row r="250" spans="2:10" ht="10.8" thickBot="1" x14ac:dyDescent="0.25">
      <c r="B250" s="525" t="s">
        <v>571</v>
      </c>
      <c r="C250" s="526"/>
      <c r="D250" s="527">
        <v>4.823731500600132E-2</v>
      </c>
      <c r="E250" s="527">
        <v>0.1950539557705456</v>
      </c>
      <c r="F250" s="527">
        <v>0.21733651987797373</v>
      </c>
      <c r="G250" s="527">
        <v>3.174644392454718E-4</v>
      </c>
      <c r="H250" s="527">
        <v>1.6815272317515347E-2</v>
      </c>
      <c r="I250" s="528">
        <v>25.602681066173339</v>
      </c>
      <c r="J250" s="529">
        <v>4.3523759700924937E-3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workbookViewId="0">
      <selection activeCell="I19" sqref="I19:J1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2017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1.0072182456213297E-2</v>
      </c>
      <c r="E9" s="164">
        <v>5.2832694866685022E-2</v>
      </c>
      <c r="F9" s="164">
        <v>6.3075839263642228E-2</v>
      </c>
      <c r="G9" s="164">
        <v>1.3464341603785365E-4</v>
      </c>
      <c r="H9" s="164">
        <v>2.4748715800404749E-3</v>
      </c>
      <c r="I9" s="516">
        <v>8.6526861304027261</v>
      </c>
      <c r="J9" s="517">
        <v>9.0879688612484051E-4</v>
      </c>
    </row>
    <row r="10" spans="1:10" x14ac:dyDescent="0.2">
      <c r="B10" s="514"/>
      <c r="C10" s="515">
        <v>25</v>
      </c>
      <c r="D10" s="164">
        <v>1.4634190936819518E-2</v>
      </c>
      <c r="E10" s="164">
        <v>4.7341741269586755E-2</v>
      </c>
      <c r="F10" s="164">
        <v>8.7337844282322705E-2</v>
      </c>
      <c r="G10" s="164">
        <v>1.3906250574419659E-4</v>
      </c>
      <c r="H10" s="164">
        <v>4.0948199038250525E-3</v>
      </c>
      <c r="I10" s="516">
        <v>10.96006955454517</v>
      </c>
      <c r="J10" s="517">
        <v>1.320419371173643E-3</v>
      </c>
    </row>
    <row r="11" spans="1:10" x14ac:dyDescent="0.2">
      <c r="B11" s="514"/>
      <c r="C11" s="515">
        <v>50</v>
      </c>
      <c r="D11" s="164">
        <v>3.8173539054406853E-2</v>
      </c>
      <c r="E11" s="164">
        <v>0.15475263707485606</v>
      </c>
      <c r="F11" s="164">
        <v>0.15796806843957883</v>
      </c>
      <c r="G11" s="164">
        <v>2.5354407560745126E-4</v>
      </c>
      <c r="H11" s="164">
        <v>1.0416837183891837E-2</v>
      </c>
      <c r="I11" s="516">
        <v>19.612762745140174</v>
      </c>
      <c r="J11" s="517">
        <v>3.4443364397101525E-3</v>
      </c>
    </row>
    <row r="12" spans="1:10" x14ac:dyDescent="0.2">
      <c r="B12" s="514"/>
      <c r="C12" s="515">
        <v>120</v>
      </c>
      <c r="D12" s="164">
        <v>3.6823462252755332E-2</v>
      </c>
      <c r="E12" s="164">
        <v>0.23361564916335184</v>
      </c>
      <c r="F12" s="164">
        <v>0.27870058811367243</v>
      </c>
      <c r="G12" s="164">
        <v>4.4660191069222039E-4</v>
      </c>
      <c r="H12" s="164">
        <v>1.9370563028971426E-2</v>
      </c>
      <c r="I12" s="516">
        <v>38.071819829304054</v>
      </c>
      <c r="J12" s="517">
        <v>3.3225215947608622E-3</v>
      </c>
    </row>
    <row r="13" spans="1:10" x14ac:dyDescent="0.2">
      <c r="B13" s="514"/>
      <c r="C13" s="515">
        <v>500</v>
      </c>
      <c r="D13" s="164">
        <v>8.9046802158971025E-2</v>
      </c>
      <c r="E13" s="164">
        <v>0.39830897385592995</v>
      </c>
      <c r="F13" s="164">
        <v>0.98906108348291888</v>
      </c>
      <c r="G13" s="164">
        <v>2.0892525195118079E-3</v>
      </c>
      <c r="H13" s="164">
        <v>2.9859040846210022E-2</v>
      </c>
      <c r="I13" s="163">
        <v>212.85607995656929</v>
      </c>
      <c r="J13" s="517">
        <v>8.0345511464862511E-3</v>
      </c>
    </row>
    <row r="14" spans="1:10" x14ac:dyDescent="0.2">
      <c r="B14" s="514"/>
      <c r="C14" s="515">
        <v>750</v>
      </c>
      <c r="D14" s="164">
        <v>0.16472175808946438</v>
      </c>
      <c r="E14" s="164">
        <v>0.71997821242291182</v>
      </c>
      <c r="F14" s="164">
        <v>1.8444594513912405</v>
      </c>
      <c r="G14" s="164">
        <v>3.8686161823741007E-3</v>
      </c>
      <c r="H14" s="164">
        <v>5.4888591364802404E-2</v>
      </c>
      <c r="I14" s="163">
        <v>384.75619345737738</v>
      </c>
      <c r="J14" s="517">
        <v>1.4862578048066809E-2</v>
      </c>
    </row>
    <row r="15" spans="1:10" x14ac:dyDescent="0.2">
      <c r="B15" s="518" t="s">
        <v>505</v>
      </c>
      <c r="C15" s="519"/>
      <c r="D15" s="520">
        <v>3.5802764878722519E-2</v>
      </c>
      <c r="E15" s="520">
        <v>0.17681101830785817</v>
      </c>
      <c r="F15" s="520">
        <v>0.23100511772057081</v>
      </c>
      <c r="G15" s="520">
        <v>3.9920792820414034E-4</v>
      </c>
      <c r="H15" s="520">
        <v>1.3403384304331323E-2</v>
      </c>
      <c r="I15" s="521">
        <v>34.721700757045774</v>
      </c>
      <c r="J15" s="522">
        <v>3.2304256354059131E-3</v>
      </c>
    </row>
    <row r="16" spans="1:10" x14ac:dyDescent="0.2">
      <c r="B16" s="514" t="s">
        <v>506</v>
      </c>
      <c r="C16" s="515">
        <v>15</v>
      </c>
      <c r="D16" s="164">
        <v>1.0053208664780966E-2</v>
      </c>
      <c r="E16" s="164">
        <v>4.5813021304384159E-2</v>
      </c>
      <c r="F16" s="164">
        <v>6.2389782635764147E-2</v>
      </c>
      <c r="G16" s="164">
        <v>1.1239798152438986E-4</v>
      </c>
      <c r="H16" s="164">
        <v>3.4988965552862194E-3</v>
      </c>
      <c r="I16" s="516">
        <v>7.2231131244200499</v>
      </c>
      <c r="J16" s="517">
        <v>9.070848378728945E-4</v>
      </c>
    </row>
    <row r="17" spans="2:10" x14ac:dyDescent="0.2">
      <c r="B17" s="514"/>
      <c r="C17" s="515">
        <v>25</v>
      </c>
      <c r="D17" s="164">
        <v>2.1237570952818204E-2</v>
      </c>
      <c r="E17" s="164">
        <v>6.5426079761918651E-2</v>
      </c>
      <c r="F17" s="164">
        <v>0.12049186540169354</v>
      </c>
      <c r="G17" s="164">
        <v>1.8329518647062845E-4</v>
      </c>
      <c r="H17" s="164">
        <v>6.2397933337901374E-3</v>
      </c>
      <c r="I17" s="516">
        <v>14.446225488005798</v>
      </c>
      <c r="J17" s="517">
        <v>1.91623164677342E-3</v>
      </c>
    </row>
    <row r="18" spans="2:10" x14ac:dyDescent="0.2">
      <c r="B18" s="514"/>
      <c r="C18" s="515">
        <v>50</v>
      </c>
      <c r="D18" s="164">
        <v>5.9068730972763592E-2</v>
      </c>
      <c r="E18" s="164">
        <v>0.22090764551920511</v>
      </c>
      <c r="F18" s="164">
        <v>0.19135138730255552</v>
      </c>
      <c r="G18" s="164">
        <v>2.8791182684222128E-4</v>
      </c>
      <c r="H18" s="164">
        <v>1.475046865392427E-2</v>
      </c>
      <c r="I18" s="516">
        <v>22.271263489608529</v>
      </c>
      <c r="J18" s="517">
        <v>5.3296756081269462E-3</v>
      </c>
    </row>
    <row r="19" spans="2:10" x14ac:dyDescent="0.2">
      <c r="B19" s="514"/>
      <c r="C19" s="515">
        <v>120</v>
      </c>
      <c r="D19" s="164">
        <v>5.6240359398748357E-2</v>
      </c>
      <c r="E19" s="164">
        <v>0.31220206762883862</v>
      </c>
      <c r="F19" s="164">
        <v>0.36740933560535566</v>
      </c>
      <c r="G19" s="164">
        <v>5.5075033594309997E-4</v>
      </c>
      <c r="H19" s="164">
        <v>2.935249372727057E-2</v>
      </c>
      <c r="I19" s="516">
        <v>46.950229546644678</v>
      </c>
      <c r="J19" s="517">
        <v>5.0744771554174489E-3</v>
      </c>
    </row>
    <row r="20" spans="2:10" x14ac:dyDescent="0.2">
      <c r="B20" s="514"/>
      <c r="C20" s="515">
        <v>175</v>
      </c>
      <c r="D20" s="164">
        <v>7.5161144005107511E-2</v>
      </c>
      <c r="E20" s="164">
        <v>0.4998386840286112</v>
      </c>
      <c r="F20" s="164">
        <v>0.57004423037590513</v>
      </c>
      <c r="G20" s="164">
        <v>9.9558682767605044E-4</v>
      </c>
      <c r="H20" s="164">
        <v>3.0590027329005849E-2</v>
      </c>
      <c r="I20" s="516">
        <v>88.483109351289372</v>
      </c>
      <c r="J20" s="517">
        <v>6.781668952015844E-3</v>
      </c>
    </row>
    <row r="21" spans="2:10" x14ac:dyDescent="0.2">
      <c r="B21" s="514"/>
      <c r="C21" s="515">
        <v>250</v>
      </c>
      <c r="D21" s="164">
        <v>7.9106158290756026E-2</v>
      </c>
      <c r="E21" s="164">
        <v>0.26917811199526187</v>
      </c>
      <c r="F21" s="164">
        <v>0.7388343131227012</v>
      </c>
      <c r="G21" s="164">
        <v>1.4764488672304268E-3</v>
      </c>
      <c r="H21" s="164">
        <v>2.3021798034312733E-2</v>
      </c>
      <c r="I21" s="163">
        <v>131.21988634228347</v>
      </c>
      <c r="J21" s="517">
        <v>7.137621333540959E-3</v>
      </c>
    </row>
    <row r="22" spans="2:10" x14ac:dyDescent="0.2">
      <c r="B22" s="514"/>
      <c r="C22" s="515">
        <v>500</v>
      </c>
      <c r="D22" s="164">
        <v>0.13213952395025647</v>
      </c>
      <c r="E22" s="164">
        <v>0.45980487444537682</v>
      </c>
      <c r="F22" s="164">
        <v>1.1363101794802655</v>
      </c>
      <c r="G22" s="164">
        <v>2.2746187382680495E-3</v>
      </c>
      <c r="H22" s="164">
        <v>3.8149733528935172E-2</v>
      </c>
      <c r="I22" s="163">
        <v>231.74156463104131</v>
      </c>
      <c r="J22" s="517">
        <v>1.1922738172539612E-2</v>
      </c>
    </row>
    <row r="23" spans="2:10" x14ac:dyDescent="0.2">
      <c r="B23" s="514"/>
      <c r="C23" s="515">
        <v>750</v>
      </c>
      <c r="D23" s="164">
        <v>0.20568196995981594</v>
      </c>
      <c r="E23" s="164">
        <v>0.71060742363202756</v>
      </c>
      <c r="F23" s="164">
        <v>1.8141485815999989</v>
      </c>
      <c r="G23" s="164">
        <v>3.6010591453651927E-3</v>
      </c>
      <c r="H23" s="164">
        <v>6.0034017877035245E-2</v>
      </c>
      <c r="I23" s="163">
        <v>358.14585746645037</v>
      </c>
      <c r="J23" s="517">
        <v>1.8558347560987863E-2</v>
      </c>
    </row>
    <row r="24" spans="2:10" x14ac:dyDescent="0.2">
      <c r="B24" s="514"/>
      <c r="C24" s="515">
        <v>1000</v>
      </c>
      <c r="D24" s="164">
        <v>0.3127417141271846</v>
      </c>
      <c r="E24" s="164">
        <v>1.0739288400301745</v>
      </c>
      <c r="F24" s="164">
        <v>3.9505627228774087</v>
      </c>
      <c r="G24" s="164">
        <v>4.8901781426072795E-3</v>
      </c>
      <c r="H24" s="164">
        <v>0.1048056081552321</v>
      </c>
      <c r="I24" s="163">
        <v>486.35618757472957</v>
      </c>
      <c r="J24" s="517">
        <v>2.821817769122598E-2</v>
      </c>
    </row>
    <row r="25" spans="2:10" x14ac:dyDescent="0.2">
      <c r="B25" s="518" t="s">
        <v>507</v>
      </c>
      <c r="C25" s="519"/>
      <c r="D25" s="520">
        <v>6.4106229185521543E-2</v>
      </c>
      <c r="E25" s="520">
        <v>0.31653286601668312</v>
      </c>
      <c r="F25" s="520">
        <v>0.4317863427909624</v>
      </c>
      <c r="G25" s="520">
        <v>7.1132462778913442E-4</v>
      </c>
      <c r="H25" s="520">
        <v>2.8160689694795266E-2</v>
      </c>
      <c r="I25" s="521">
        <v>63.607318460556812</v>
      </c>
      <c r="J25" s="522">
        <v>5.7842017818132783E-3</v>
      </c>
    </row>
    <row r="26" spans="2:10" x14ac:dyDescent="0.2">
      <c r="B26" s="514" t="s">
        <v>508</v>
      </c>
      <c r="C26" s="515">
        <v>15</v>
      </c>
      <c r="D26" s="164">
        <v>1.2042826507977023E-2</v>
      </c>
      <c r="E26" s="164">
        <v>6.3169526048263272E-2</v>
      </c>
      <c r="F26" s="164">
        <v>7.5416777241428756E-2</v>
      </c>
      <c r="G26" s="164">
        <v>1.6098669449492306E-4</v>
      </c>
      <c r="H26" s="164">
        <v>2.946940363103545E-3</v>
      </c>
      <c r="I26" s="516">
        <v>10.345603506302833</v>
      </c>
      <c r="J26" s="517">
        <v>1.0866050126600662E-3</v>
      </c>
    </row>
    <row r="27" spans="2:10" x14ac:dyDescent="0.2">
      <c r="B27" s="514"/>
      <c r="C27" s="515">
        <v>25</v>
      </c>
      <c r="D27" s="164">
        <v>1.92884298054482E-2</v>
      </c>
      <c r="E27" s="164">
        <v>6.5834001622484359E-2</v>
      </c>
      <c r="F27" s="164">
        <v>0.12188745431918957</v>
      </c>
      <c r="G27" s="164">
        <v>2.0286580491041625E-4</v>
      </c>
      <c r="H27" s="164">
        <v>4.5707172299182391E-3</v>
      </c>
      <c r="I27" s="516">
        <v>15.988657443299758</v>
      </c>
      <c r="J27" s="517">
        <v>1.7403640833993665E-3</v>
      </c>
    </row>
    <row r="28" spans="2:10" x14ac:dyDescent="0.2">
      <c r="B28" s="514"/>
      <c r="C28" s="515">
        <v>50</v>
      </c>
      <c r="D28" s="164">
        <v>2.0999985215289112E-2</v>
      </c>
      <c r="E28" s="164">
        <v>0.22153129374031166</v>
      </c>
      <c r="F28" s="164">
        <v>0.19920152428430379</v>
      </c>
      <c r="G28" s="164">
        <v>4.0122849495327981E-4</v>
      </c>
      <c r="H28" s="164">
        <v>4.4115956301313047E-3</v>
      </c>
      <c r="I28" s="516">
        <v>31.036816698585124</v>
      </c>
      <c r="J28" s="517">
        <v>1.8947947326077702E-3</v>
      </c>
    </row>
    <row r="29" spans="2:10" x14ac:dyDescent="0.2">
      <c r="B29" s="514"/>
      <c r="C29" s="515">
        <v>120</v>
      </c>
      <c r="D29" s="164">
        <v>3.2643580987254436E-2</v>
      </c>
      <c r="E29" s="164">
        <v>0.46671313753880495</v>
      </c>
      <c r="F29" s="164">
        <v>0.29622178033475544</v>
      </c>
      <c r="G29" s="164">
        <v>9.0467810829659545E-4</v>
      </c>
      <c r="H29" s="164">
        <v>9.5438526840289119E-3</v>
      </c>
      <c r="I29" s="516">
        <v>77.121776116023071</v>
      </c>
      <c r="J29" s="517">
        <v>2.9453779842965266E-3</v>
      </c>
    </row>
    <row r="30" spans="2:10" x14ac:dyDescent="0.2">
      <c r="B30" s="514"/>
      <c r="C30" s="515">
        <v>175</v>
      </c>
      <c r="D30" s="164">
        <v>5.1886776963202992E-2</v>
      </c>
      <c r="E30" s="164">
        <v>0.7540962705102443</v>
      </c>
      <c r="F30" s="164">
        <v>0.35886158093568243</v>
      </c>
      <c r="G30" s="164">
        <v>1.5873517216599246E-3</v>
      </c>
      <c r="H30" s="164">
        <v>1.2111704679899579E-2</v>
      </c>
      <c r="I30" s="163">
        <v>141.07641383198015</v>
      </c>
      <c r="J30" s="517">
        <v>4.6816609522008119E-3</v>
      </c>
    </row>
    <row r="31" spans="2:10" x14ac:dyDescent="0.2">
      <c r="B31" s="514"/>
      <c r="C31" s="515">
        <v>250</v>
      </c>
      <c r="D31" s="164">
        <v>5.7978957911640129E-2</v>
      </c>
      <c r="E31" s="164">
        <v>0.34255657149778995</v>
      </c>
      <c r="F31" s="164">
        <v>0.31238107070940768</v>
      </c>
      <c r="G31" s="164">
        <v>2.1164690128652524E-3</v>
      </c>
      <c r="H31" s="164">
        <v>8.8218689712056802E-3</v>
      </c>
      <c r="I31" s="163">
        <v>188.10187837423075</v>
      </c>
      <c r="J31" s="517">
        <v>5.2313472870481525E-3</v>
      </c>
    </row>
    <row r="32" spans="2:10" x14ac:dyDescent="0.2">
      <c r="B32" s="514"/>
      <c r="C32" s="515">
        <v>500</v>
      </c>
      <c r="D32" s="164">
        <v>9.5520707513605557E-2</v>
      </c>
      <c r="E32" s="164">
        <v>0.55112507780311126</v>
      </c>
      <c r="F32" s="164">
        <v>0.50350627277079463</v>
      </c>
      <c r="G32" s="164">
        <v>3.05559545462651E-3</v>
      </c>
      <c r="H32" s="164">
        <v>1.4467281311823703E-2</v>
      </c>
      <c r="I32" s="163">
        <v>311.30854593115708</v>
      </c>
      <c r="J32" s="517">
        <v>8.6186781075531082E-3</v>
      </c>
    </row>
    <row r="33" spans="2:10" x14ac:dyDescent="0.2">
      <c r="B33" s="514"/>
      <c r="C33" s="515">
        <v>750</v>
      </c>
      <c r="D33" s="164">
        <v>0.18907811284141271</v>
      </c>
      <c r="E33" s="164">
        <v>1.0890127387027901</v>
      </c>
      <c r="F33" s="164">
        <v>1.0017935075293471</v>
      </c>
      <c r="G33" s="164">
        <v>6.1845939215809751E-3</v>
      </c>
      <c r="H33" s="164">
        <v>2.8661565986459539E-2</v>
      </c>
      <c r="I33" s="163">
        <v>615.09325974685532</v>
      </c>
      <c r="J33" s="517">
        <v>1.7060216957053963E-2</v>
      </c>
    </row>
    <row r="34" spans="2:10" x14ac:dyDescent="0.2">
      <c r="B34" s="514"/>
      <c r="C34" s="515">
        <v>1000</v>
      </c>
      <c r="D34" s="164">
        <v>0.30160955671694434</v>
      </c>
      <c r="E34" s="164">
        <v>1.6457050442561967</v>
      </c>
      <c r="F34" s="164">
        <v>4.397248155476845</v>
      </c>
      <c r="G34" s="164">
        <v>9.3336299118140249E-3</v>
      </c>
      <c r="H34" s="164">
        <v>8.5475623287877209E-2</v>
      </c>
      <c r="I34" s="163">
        <v>928.28290005278109</v>
      </c>
      <c r="J34" s="517">
        <v>2.7213747883590687E-2</v>
      </c>
    </row>
    <row r="35" spans="2:10" x14ac:dyDescent="0.2">
      <c r="B35" s="518" t="s">
        <v>509</v>
      </c>
      <c r="C35" s="519"/>
      <c r="D35" s="520">
        <v>5.7763158441836958E-2</v>
      </c>
      <c r="E35" s="520">
        <v>0.50128664446573978</v>
      </c>
      <c r="F35" s="520">
        <v>0.46916325702564521</v>
      </c>
      <c r="G35" s="520">
        <v>1.7461657487639489E-3</v>
      </c>
      <c r="H35" s="520">
        <v>1.2587729386823504E-2</v>
      </c>
      <c r="I35" s="523">
        <v>164.89514273937846</v>
      </c>
      <c r="J35" s="522">
        <v>5.2118767525251306E-3</v>
      </c>
    </row>
    <row r="36" spans="2:10" x14ac:dyDescent="0.2">
      <c r="B36" s="514" t="s">
        <v>510</v>
      </c>
      <c r="C36" s="515">
        <v>15</v>
      </c>
      <c r="D36" s="164">
        <v>7.3596254264619429E-3</v>
      </c>
      <c r="E36" s="164">
        <v>3.8590841194976862E-2</v>
      </c>
      <c r="F36" s="164">
        <v>4.6099242324911381E-2</v>
      </c>
      <c r="G36" s="164">
        <v>9.8348253762270773E-5</v>
      </c>
      <c r="H36" s="164">
        <v>1.838167292580821E-3</v>
      </c>
      <c r="I36" s="516">
        <v>6.32022349202773</v>
      </c>
      <c r="J36" s="517">
        <v>6.6404719772166236E-4</v>
      </c>
    </row>
    <row r="37" spans="2:10" x14ac:dyDescent="0.2">
      <c r="B37" s="514"/>
      <c r="C37" s="515">
        <v>25</v>
      </c>
      <c r="D37" s="164">
        <v>2.3717108075108562E-2</v>
      </c>
      <c r="E37" s="164">
        <v>7.6199863882138341E-2</v>
      </c>
      <c r="F37" s="164">
        <v>0.14109254224704579</v>
      </c>
      <c r="G37" s="164">
        <v>2.2275451101329632E-4</v>
      </c>
      <c r="H37" s="164">
        <v>6.6880062364582911E-3</v>
      </c>
      <c r="I37" s="516">
        <v>17.556174366911875</v>
      </c>
      <c r="J37" s="517">
        <v>2.1399567665352807E-3</v>
      </c>
    </row>
    <row r="38" spans="2:10" x14ac:dyDescent="0.2">
      <c r="B38" s="518" t="s">
        <v>511</v>
      </c>
      <c r="C38" s="519"/>
      <c r="D38" s="520">
        <v>8.7105129449188065E-3</v>
      </c>
      <c r="E38" s="520">
        <v>4.1696793401727404E-2</v>
      </c>
      <c r="F38" s="520">
        <v>5.3944291954993562E-2</v>
      </c>
      <c r="G38" s="520">
        <v>1.0862238112943317E-4</v>
      </c>
      <c r="H38" s="520">
        <v>2.238692669042227E-3</v>
      </c>
      <c r="I38" s="521">
        <v>7.2481478017094112</v>
      </c>
      <c r="J38" s="522">
        <v>7.8593562381431257E-4</v>
      </c>
    </row>
    <row r="39" spans="2:10" x14ac:dyDescent="0.2">
      <c r="B39" s="514" t="s">
        <v>512</v>
      </c>
      <c r="C39" s="515">
        <v>25</v>
      </c>
      <c r="D39" s="164">
        <v>1.9878432652033477E-2</v>
      </c>
      <c r="E39" s="164">
        <v>6.7847762800796976E-2</v>
      </c>
      <c r="F39" s="164">
        <v>0.12561576356440629</v>
      </c>
      <c r="G39" s="164">
        <v>2.0907111134977816E-4</v>
      </c>
      <c r="H39" s="164">
        <v>4.683724835982955E-3</v>
      </c>
      <c r="I39" s="516">
        <v>16.477727058155121</v>
      </c>
      <c r="J39" s="517">
        <v>1.7935990866201654E-3</v>
      </c>
    </row>
    <row r="40" spans="2:10" x14ac:dyDescent="0.2">
      <c r="B40" s="514"/>
      <c r="C40" s="515">
        <v>50</v>
      </c>
      <c r="D40" s="164">
        <v>6.2457660830140808E-2</v>
      </c>
      <c r="E40" s="164">
        <v>0.26019428756754781</v>
      </c>
      <c r="F40" s="164">
        <v>0.24732525246615406</v>
      </c>
      <c r="G40" s="164">
        <v>3.9052902286266275E-4</v>
      </c>
      <c r="H40" s="164">
        <v>1.6660615184120042E-2</v>
      </c>
      <c r="I40" s="516">
        <v>30.209155671577925</v>
      </c>
      <c r="J40" s="517">
        <v>5.6354545083518838E-3</v>
      </c>
    </row>
    <row r="41" spans="2:10" x14ac:dyDescent="0.2">
      <c r="B41" s="514"/>
      <c r="C41" s="515">
        <v>120</v>
      </c>
      <c r="D41" s="164">
        <v>7.2761761685150181E-2</v>
      </c>
      <c r="E41" s="164">
        <v>0.46910704585317148</v>
      </c>
      <c r="F41" s="164">
        <v>0.53312445478708514</v>
      </c>
      <c r="G41" s="164">
        <v>8.6981483894468532E-4</v>
      </c>
      <c r="H41" s="164">
        <v>3.8467476901284173E-2</v>
      </c>
      <c r="I41" s="516">
        <v>74.149765435550776</v>
      </c>
      <c r="J41" s="517">
        <v>6.5651775720710461E-3</v>
      </c>
    </row>
    <row r="42" spans="2:10" x14ac:dyDescent="0.2">
      <c r="B42" s="514"/>
      <c r="C42" s="515">
        <v>175</v>
      </c>
      <c r="D42" s="164">
        <v>0.11155924291178462</v>
      </c>
      <c r="E42" s="164">
        <v>0.86630934446282248</v>
      </c>
      <c r="F42" s="164">
        <v>0.93487412872239606</v>
      </c>
      <c r="G42" s="164">
        <v>1.8025258830497162E-3</v>
      </c>
      <c r="H42" s="164">
        <v>4.6647214461741866E-2</v>
      </c>
      <c r="I42" s="163">
        <v>160.20007563848731</v>
      </c>
      <c r="J42" s="517">
        <v>1.0065811339144302E-2</v>
      </c>
    </row>
    <row r="43" spans="2:10" x14ac:dyDescent="0.2">
      <c r="B43" s="518" t="s">
        <v>513</v>
      </c>
      <c r="C43" s="519"/>
      <c r="D43" s="520">
        <v>6.7873978232024942E-2</v>
      </c>
      <c r="E43" s="520">
        <v>0.38921317341283468</v>
      </c>
      <c r="F43" s="520">
        <v>0.42670851520442343</v>
      </c>
      <c r="G43" s="520">
        <v>6.9733479035250445E-4</v>
      </c>
      <c r="H43" s="520">
        <v>2.9799885773057071E-2</v>
      </c>
      <c r="I43" s="521">
        <v>58.463651476155</v>
      </c>
      <c r="J43" s="522">
        <v>6.1241604795867549E-3</v>
      </c>
    </row>
    <row r="44" spans="2:10" x14ac:dyDescent="0.2">
      <c r="B44" s="514" t="s">
        <v>514</v>
      </c>
      <c r="C44" s="515">
        <v>50</v>
      </c>
      <c r="D44" s="164">
        <v>7.0946963993599954E-2</v>
      </c>
      <c r="E44" s="164">
        <v>0.25878419065509051</v>
      </c>
      <c r="F44" s="164">
        <v>0.20871642240890773</v>
      </c>
      <c r="G44" s="164">
        <v>2.9974607778644334E-4</v>
      </c>
      <c r="H44" s="164">
        <v>1.6756142457998675E-2</v>
      </c>
      <c r="I44" s="516">
        <v>23.186694646071292</v>
      </c>
      <c r="J44" s="517">
        <v>6.4014310554635183E-3</v>
      </c>
    </row>
    <row r="45" spans="2:10" x14ac:dyDescent="0.2">
      <c r="B45" s="514"/>
      <c r="C45" s="515">
        <v>120</v>
      </c>
      <c r="D45" s="164">
        <v>6.900659501469876E-2</v>
      </c>
      <c r="E45" s="164">
        <v>0.35088164023479923</v>
      </c>
      <c r="F45" s="164">
        <v>0.41552817522913782</v>
      </c>
      <c r="G45" s="164">
        <v>5.8826136417032418E-4</v>
      </c>
      <c r="H45" s="164">
        <v>3.4142922377690628E-2</v>
      </c>
      <c r="I45" s="516">
        <v>50.147965783398881</v>
      </c>
      <c r="J45" s="517">
        <v>6.2263543562003903E-3</v>
      </c>
    </row>
    <row r="46" spans="2:10" x14ac:dyDescent="0.2">
      <c r="B46" s="514"/>
      <c r="C46" s="515">
        <v>175</v>
      </c>
      <c r="D46" s="164">
        <v>8.0672294526269103E-2</v>
      </c>
      <c r="E46" s="164">
        <v>0.4773905401602086</v>
      </c>
      <c r="F46" s="164">
        <v>0.554945445556003</v>
      </c>
      <c r="G46" s="164">
        <v>9.0401456764434404E-4</v>
      </c>
      <c r="H46" s="164">
        <v>3.1399079489053024E-2</v>
      </c>
      <c r="I46" s="516">
        <v>80.344584516935399</v>
      </c>
      <c r="J46" s="517">
        <v>7.2789341698571933E-3</v>
      </c>
    </row>
    <row r="47" spans="2:10" x14ac:dyDescent="0.2">
      <c r="B47" s="514"/>
      <c r="C47" s="515">
        <v>250</v>
      </c>
      <c r="D47" s="164">
        <v>8.3001554799412569E-2</v>
      </c>
      <c r="E47" s="164">
        <v>0.25719725498146451</v>
      </c>
      <c r="F47" s="164">
        <v>0.68322205889154008</v>
      </c>
      <c r="G47" s="164">
        <v>1.26197969768703E-3</v>
      </c>
      <c r="H47" s="164">
        <v>2.3476915507143144E-2</v>
      </c>
      <c r="I47" s="163">
        <v>112.15888228328123</v>
      </c>
      <c r="J47" s="517">
        <v>7.489098510391915E-3</v>
      </c>
    </row>
    <row r="48" spans="2:10" x14ac:dyDescent="0.2">
      <c r="B48" s="514"/>
      <c r="C48" s="515">
        <v>500</v>
      </c>
      <c r="D48" s="164">
        <v>0.1262029361750332</v>
      </c>
      <c r="E48" s="164">
        <v>0.42426324533056692</v>
      </c>
      <c r="F48" s="164">
        <v>0.97036381774682245</v>
      </c>
      <c r="G48" s="164">
        <v>1.7677528907548289E-3</v>
      </c>
      <c r="H48" s="164">
        <v>3.5101108538860171E-2</v>
      </c>
      <c r="I48" s="163">
        <v>180.101275871506</v>
      </c>
      <c r="J48" s="517">
        <v>1.1387086879682689E-2</v>
      </c>
    </row>
    <row r="49" spans="2:10" x14ac:dyDescent="0.2">
      <c r="B49" s="514"/>
      <c r="C49" s="515">
        <v>750</v>
      </c>
      <c r="D49" s="164">
        <v>0.21372496995153528</v>
      </c>
      <c r="E49" s="164">
        <v>0.71321209657849194</v>
      </c>
      <c r="F49" s="164">
        <v>1.6890497861425124</v>
      </c>
      <c r="G49" s="164">
        <v>3.0470308916138852E-3</v>
      </c>
      <c r="H49" s="164">
        <v>6.0173543668646592E-2</v>
      </c>
      <c r="I49" s="163">
        <v>303.04463156435577</v>
      </c>
      <c r="J49" s="517">
        <v>1.9284060608801404E-2</v>
      </c>
    </row>
    <row r="50" spans="2:10" x14ac:dyDescent="0.2">
      <c r="B50" s="514"/>
      <c r="C50" s="515">
        <v>9999</v>
      </c>
      <c r="D50" s="164">
        <v>0.78228612883599746</v>
      </c>
      <c r="E50" s="164">
        <v>2.534315926119167</v>
      </c>
      <c r="F50" s="164">
        <v>8.2827068339928882</v>
      </c>
      <c r="G50" s="164">
        <v>9.7591686672444267E-3</v>
      </c>
      <c r="H50" s="164">
        <v>0.23442027259194578</v>
      </c>
      <c r="I50" s="163">
        <v>970.60550500943691</v>
      </c>
      <c r="J50" s="517">
        <v>7.0584420530157579E-2</v>
      </c>
    </row>
    <row r="51" spans="2:10" x14ac:dyDescent="0.2">
      <c r="B51" s="518" t="s">
        <v>515</v>
      </c>
      <c r="C51" s="519"/>
      <c r="D51" s="520">
        <v>0.10732503187760883</v>
      </c>
      <c r="E51" s="520">
        <v>0.41524921581746271</v>
      </c>
      <c r="F51" s="520">
        <v>0.86247634730713618</v>
      </c>
      <c r="G51" s="520">
        <v>1.3768071793920391E-3</v>
      </c>
      <c r="H51" s="520">
        <v>3.5218446439400586E-2</v>
      </c>
      <c r="I51" s="523">
        <v>128.62792126033781</v>
      </c>
      <c r="J51" s="522">
        <v>9.683766192272146E-3</v>
      </c>
    </row>
    <row r="52" spans="2:10" x14ac:dyDescent="0.2">
      <c r="B52" s="514" t="s">
        <v>516</v>
      </c>
      <c r="C52" s="515">
        <v>50</v>
      </c>
      <c r="D52" s="164">
        <v>8.7622368599543005E-2</v>
      </c>
      <c r="E52" s="164">
        <v>0.29470985540233097</v>
      </c>
      <c r="F52" s="164">
        <v>0.23118729287211282</v>
      </c>
      <c r="G52" s="164">
        <v>3.2163118605739314E-4</v>
      </c>
      <c r="H52" s="164">
        <v>1.9730523067059431E-2</v>
      </c>
      <c r="I52" s="516">
        <v>24.879602099618388</v>
      </c>
      <c r="J52" s="517">
        <v>7.9060251333479287E-3</v>
      </c>
    </row>
    <row r="53" spans="2:10" x14ac:dyDescent="0.2">
      <c r="B53" s="514"/>
      <c r="C53" s="515">
        <v>120</v>
      </c>
      <c r="D53" s="164">
        <v>0.10076365370906835</v>
      </c>
      <c r="E53" s="164">
        <v>0.47073936395827404</v>
      </c>
      <c r="F53" s="164">
        <v>0.59714848810178855</v>
      </c>
      <c r="G53" s="164">
        <v>7.7199169468548728E-4</v>
      </c>
      <c r="H53" s="164">
        <v>4.8926592094646927E-2</v>
      </c>
      <c r="I53" s="516">
        <v>65.810563161223214</v>
      </c>
      <c r="J53" s="517">
        <v>9.0917439089043366E-3</v>
      </c>
    </row>
    <row r="54" spans="2:10" x14ac:dyDescent="0.2">
      <c r="B54" s="514"/>
      <c r="C54" s="515">
        <v>175</v>
      </c>
      <c r="D54" s="164">
        <v>0.13471521656878313</v>
      </c>
      <c r="E54" s="164">
        <v>0.73424981068703521</v>
      </c>
      <c r="F54" s="164">
        <v>0.92929442641969018</v>
      </c>
      <c r="G54" s="164">
        <v>1.3635704148364694E-3</v>
      </c>
      <c r="H54" s="164">
        <v>5.2218816784753611E-2</v>
      </c>
      <c r="I54" s="163">
        <v>121.18779549884127</v>
      </c>
      <c r="J54" s="517">
        <v>1.2155137276903432E-2</v>
      </c>
    </row>
    <row r="55" spans="2:10" x14ac:dyDescent="0.2">
      <c r="B55" s="514"/>
      <c r="C55" s="515">
        <v>250</v>
      </c>
      <c r="D55" s="164">
        <v>0.14128374459264967</v>
      </c>
      <c r="E55" s="164">
        <v>0.4308147883815357</v>
      </c>
      <c r="F55" s="164">
        <v>1.1399465774070783</v>
      </c>
      <c r="G55" s="164">
        <v>1.8692655142266376E-3</v>
      </c>
      <c r="H55" s="164">
        <v>4.2551468485991603E-2</v>
      </c>
      <c r="I55" s="163">
        <v>166.13152384730836</v>
      </c>
      <c r="J55" s="517">
        <v>1.2747803730044305E-2</v>
      </c>
    </row>
    <row r="56" spans="2:10" x14ac:dyDescent="0.2">
      <c r="B56" s="514"/>
      <c r="C56" s="515">
        <v>500</v>
      </c>
      <c r="D56" s="164">
        <v>0.20691723796944889</v>
      </c>
      <c r="E56" s="164">
        <v>0.75307060362624512</v>
      </c>
      <c r="F56" s="164">
        <v>1.5987440217017008</v>
      </c>
      <c r="G56" s="164">
        <v>2.544422314679327E-3</v>
      </c>
      <c r="H56" s="164">
        <v>6.0943886084958487E-2</v>
      </c>
      <c r="I56" s="163">
        <v>259.2294672154037</v>
      </c>
      <c r="J56" s="517">
        <v>1.8669806910063078E-2</v>
      </c>
    </row>
    <row r="57" spans="2:10" x14ac:dyDescent="0.2">
      <c r="B57" s="514"/>
      <c r="C57" s="515">
        <v>750</v>
      </c>
      <c r="D57" s="164">
        <v>0.37261129682553723</v>
      </c>
      <c r="E57" s="164">
        <v>1.3474839766771383</v>
      </c>
      <c r="F57" s="164">
        <v>2.94021358145381</v>
      </c>
      <c r="G57" s="164">
        <v>4.6722988692923517E-3</v>
      </c>
      <c r="H57" s="164">
        <v>0.11064728422742683</v>
      </c>
      <c r="I57" s="163">
        <v>464.68677815065564</v>
      </c>
      <c r="J57" s="517">
        <v>3.3620128176330644E-2</v>
      </c>
    </row>
    <row r="58" spans="2:10" x14ac:dyDescent="0.2">
      <c r="B58" s="514"/>
      <c r="C58" s="515">
        <v>1000</v>
      </c>
      <c r="D58" s="164">
        <v>0.56716693145577735</v>
      </c>
      <c r="E58" s="164">
        <v>2.1185834157523931</v>
      </c>
      <c r="F58" s="164">
        <v>6.0244893956780547</v>
      </c>
      <c r="G58" s="164">
        <v>6.617072823869855E-3</v>
      </c>
      <c r="H58" s="164">
        <v>0.17933989299021227</v>
      </c>
      <c r="I58" s="163">
        <v>658.10584690484711</v>
      </c>
      <c r="J58" s="517">
        <v>5.1174556057147644E-2</v>
      </c>
    </row>
    <row r="59" spans="2:10" x14ac:dyDescent="0.2">
      <c r="B59" s="518" t="s">
        <v>517</v>
      </c>
      <c r="C59" s="519"/>
      <c r="D59" s="520">
        <v>0.12580022188208301</v>
      </c>
      <c r="E59" s="520">
        <v>0.54636136123806156</v>
      </c>
      <c r="F59" s="520">
        <v>0.86166649167813869</v>
      </c>
      <c r="G59" s="520">
        <v>1.2581579084573835E-3</v>
      </c>
      <c r="H59" s="520">
        <v>5.001655405123908E-2</v>
      </c>
      <c r="I59" s="523">
        <v>114.01847860128447</v>
      </c>
      <c r="J59" s="522">
        <v>1.1350752006045406E-2</v>
      </c>
    </row>
    <row r="60" spans="2:10" x14ac:dyDescent="0.2">
      <c r="B60" s="514" t="s">
        <v>518</v>
      </c>
      <c r="C60" s="515">
        <v>50</v>
      </c>
      <c r="D60" s="164">
        <v>0.1085817339984356</v>
      </c>
      <c r="E60" s="164">
        <v>0.43553994842914362</v>
      </c>
      <c r="F60" s="164">
        <v>0.37389227643905742</v>
      </c>
      <c r="G60" s="164">
        <v>5.6901518391399609E-4</v>
      </c>
      <c r="H60" s="164">
        <v>2.7448562888078312E-2</v>
      </c>
      <c r="I60" s="516">
        <v>44.015851953031358</v>
      </c>
      <c r="J60" s="517">
        <v>9.7971542158727092E-3</v>
      </c>
    </row>
    <row r="61" spans="2:10" x14ac:dyDescent="0.2">
      <c r="B61" s="514"/>
      <c r="C61" s="515">
        <v>120</v>
      </c>
      <c r="D61" s="164">
        <v>9.4782691625445281E-2</v>
      </c>
      <c r="E61" s="164">
        <v>0.5546987260925953</v>
      </c>
      <c r="F61" s="164">
        <v>0.62098260375478598</v>
      </c>
      <c r="G61" s="164">
        <v>9.7528678299629553E-4</v>
      </c>
      <c r="H61" s="164">
        <v>4.8365506458946959E-2</v>
      </c>
      <c r="I61" s="516">
        <v>83.141017825387635</v>
      </c>
      <c r="J61" s="517">
        <v>8.5520873546339263E-3</v>
      </c>
    </row>
    <row r="62" spans="2:10" x14ac:dyDescent="0.2">
      <c r="B62" s="514"/>
      <c r="C62" s="515">
        <v>175</v>
      </c>
      <c r="D62" s="164">
        <v>0.13798034921104402</v>
      </c>
      <c r="E62" s="164">
        <v>0.95266776138167852</v>
      </c>
      <c r="F62" s="164">
        <v>1.0155440129907181</v>
      </c>
      <c r="G62" s="164">
        <v>1.8819633715732712E-3</v>
      </c>
      <c r="H62" s="164">
        <v>5.4507811850348913E-2</v>
      </c>
      <c r="I62" s="163">
        <v>167.2601547484968</v>
      </c>
      <c r="J62" s="517">
        <v>1.2449745415048263E-2</v>
      </c>
    </row>
    <row r="63" spans="2:10" x14ac:dyDescent="0.2">
      <c r="B63" s="514"/>
      <c r="C63" s="515">
        <v>250</v>
      </c>
      <c r="D63" s="164">
        <v>0.14662796950823398</v>
      </c>
      <c r="E63" s="164">
        <v>0.49934426216023581</v>
      </c>
      <c r="F63" s="164">
        <v>1.2854068524056077</v>
      </c>
      <c r="G63" s="164">
        <v>2.7514089341748025E-3</v>
      </c>
      <c r="H63" s="164">
        <v>4.0453703867630517E-2</v>
      </c>
      <c r="I63" s="163">
        <v>244.5324252673156</v>
      </c>
      <c r="J63" s="517">
        <v>1.3230007216896015E-2</v>
      </c>
    </row>
    <row r="64" spans="2:10" x14ac:dyDescent="0.2">
      <c r="B64" s="514"/>
      <c r="C64" s="515">
        <v>500</v>
      </c>
      <c r="D64" s="164">
        <v>0.21347200831159951</v>
      </c>
      <c r="E64" s="164">
        <v>0.73570926316188612</v>
      </c>
      <c r="F64" s="164">
        <v>1.7108615756007135</v>
      </c>
      <c r="G64" s="164">
        <v>3.6674534841073729E-3</v>
      </c>
      <c r="H64" s="164">
        <v>5.8228080079233538E-2</v>
      </c>
      <c r="I64" s="163">
        <v>373.64556844691606</v>
      </c>
      <c r="J64" s="517">
        <v>1.9261236059082986E-2</v>
      </c>
    </row>
    <row r="65" spans="2:10" x14ac:dyDescent="0.2">
      <c r="B65" s="514"/>
      <c r="C65" s="515">
        <v>750</v>
      </c>
      <c r="D65" s="164">
        <v>0.33473504847810637</v>
      </c>
      <c r="E65" s="164">
        <v>1.154887171935941</v>
      </c>
      <c r="F65" s="164">
        <v>2.764118710418852</v>
      </c>
      <c r="G65" s="164">
        <v>5.9205639490212472E-3</v>
      </c>
      <c r="H65" s="164">
        <v>9.2015522145078368E-2</v>
      </c>
      <c r="I65" s="163">
        <v>588.83411733560195</v>
      </c>
      <c r="J65" s="517">
        <v>3.0202606302072214E-2</v>
      </c>
    </row>
    <row r="66" spans="2:10" x14ac:dyDescent="0.2">
      <c r="B66" s="514"/>
      <c r="C66" s="515">
        <v>9999</v>
      </c>
      <c r="D66" s="164">
        <v>0.87023846783334269</v>
      </c>
      <c r="E66" s="164">
        <v>2.8310212277930225</v>
      </c>
      <c r="F66" s="164">
        <v>10.179820287627809</v>
      </c>
      <c r="G66" s="164">
        <v>1.3149162010429205E-2</v>
      </c>
      <c r="H66" s="164">
        <v>0.26928023543313717</v>
      </c>
      <c r="I66" s="524">
        <v>1307.759630542228</v>
      </c>
      <c r="J66" s="517">
        <v>7.8520227258147765E-2</v>
      </c>
    </row>
    <row r="67" spans="2:10" x14ac:dyDescent="0.2">
      <c r="B67" s="518" t="s">
        <v>519</v>
      </c>
      <c r="C67" s="519"/>
      <c r="D67" s="520">
        <v>0.12185962417217516</v>
      </c>
      <c r="E67" s="520">
        <v>0.63878864246802303</v>
      </c>
      <c r="F67" s="520">
        <v>0.81134550569063957</v>
      </c>
      <c r="G67" s="520">
        <v>1.4564491955537618E-3</v>
      </c>
      <c r="H67" s="520">
        <v>4.7292722729299921E-2</v>
      </c>
      <c r="I67" s="523">
        <v>132.30880804020515</v>
      </c>
      <c r="J67" s="522">
        <v>1.0995196664495929E-2</v>
      </c>
    </row>
    <row r="68" spans="2:10" x14ac:dyDescent="0.2">
      <c r="B68" s="514" t="s">
        <v>520</v>
      </c>
      <c r="C68" s="515">
        <v>25</v>
      </c>
      <c r="D68" s="164">
        <v>9.2270356167314695E-3</v>
      </c>
      <c r="E68" s="164">
        <v>3.1393793066298158E-2</v>
      </c>
      <c r="F68" s="164">
        <v>5.852333306978777E-2</v>
      </c>
      <c r="G68" s="164">
        <v>9.673912912924443E-5</v>
      </c>
      <c r="H68" s="164">
        <v>2.3055422228314051E-3</v>
      </c>
      <c r="I68" s="516">
        <v>7.6243962485038193</v>
      </c>
      <c r="J68" s="517">
        <v>8.3254058788860574E-4</v>
      </c>
    </row>
    <row r="69" spans="2:10" x14ac:dyDescent="0.2">
      <c r="B69" s="518" t="s">
        <v>521</v>
      </c>
      <c r="C69" s="519"/>
      <c r="D69" s="520">
        <v>9.2270356167314695E-3</v>
      </c>
      <c r="E69" s="520">
        <v>3.1393793066298158E-2</v>
      </c>
      <c r="F69" s="520">
        <v>5.852333306978777E-2</v>
      </c>
      <c r="G69" s="520">
        <v>9.673912912924443E-5</v>
      </c>
      <c r="H69" s="520">
        <v>2.3055422228314051E-3</v>
      </c>
      <c r="I69" s="521">
        <v>7.6243962485038193</v>
      </c>
      <c r="J69" s="522">
        <v>8.3254058788860574E-4</v>
      </c>
    </row>
    <row r="70" spans="2:10" x14ac:dyDescent="0.2">
      <c r="B70" s="514" t="s">
        <v>522</v>
      </c>
      <c r="C70" s="515">
        <v>25</v>
      </c>
      <c r="D70" s="164">
        <v>1.9833047063862054E-2</v>
      </c>
      <c r="E70" s="164">
        <v>6.7692841432079501E-2</v>
      </c>
      <c r="F70" s="164">
        <v>0.12532898906645035</v>
      </c>
      <c r="G70" s="164">
        <v>2.0859378036702873E-4</v>
      </c>
      <c r="H70" s="164">
        <v>4.6816293739571496E-3</v>
      </c>
      <c r="I70" s="516">
        <v>16.440105541306039</v>
      </c>
      <c r="J70" s="517">
        <v>1.7895038483793572E-3</v>
      </c>
    </row>
    <row r="71" spans="2:10" x14ac:dyDescent="0.2">
      <c r="B71" s="514"/>
      <c r="C71" s="515">
        <v>50</v>
      </c>
      <c r="D71" s="164">
        <v>5.212636493291866E-2</v>
      </c>
      <c r="E71" s="164">
        <v>0.25680032317305374</v>
      </c>
      <c r="F71" s="164">
        <v>0.20816338486200833</v>
      </c>
      <c r="G71" s="164">
        <v>3.2341445593713066E-4</v>
      </c>
      <c r="H71" s="164">
        <v>1.2814101375858693E-2</v>
      </c>
      <c r="I71" s="516">
        <v>25.017544472614961</v>
      </c>
      <c r="J71" s="517">
        <v>4.7032778248569593E-3</v>
      </c>
    </row>
    <row r="72" spans="2:10" x14ac:dyDescent="0.2">
      <c r="B72" s="514"/>
      <c r="C72" s="515">
        <v>120</v>
      </c>
      <c r="D72" s="164">
        <v>7.5976264925751713E-2</v>
      </c>
      <c r="E72" s="164">
        <v>0.50421981781147818</v>
      </c>
      <c r="F72" s="164">
        <v>0.48399986843008913</v>
      </c>
      <c r="G72" s="164">
        <v>8.6363622141996178E-4</v>
      </c>
      <c r="H72" s="164">
        <v>3.399180422989069E-2</v>
      </c>
      <c r="I72" s="516">
        <v>73.623061547263561</v>
      </c>
      <c r="J72" s="517">
        <v>6.8552170429890327E-3</v>
      </c>
    </row>
    <row r="73" spans="2:10" x14ac:dyDescent="0.2">
      <c r="B73" s="514"/>
      <c r="C73" s="515">
        <v>175</v>
      </c>
      <c r="D73" s="164">
        <v>8.9580275602263296E-2</v>
      </c>
      <c r="E73" s="164">
        <v>0.66438907786332191</v>
      </c>
      <c r="F73" s="164">
        <v>0.57833353964521428</v>
      </c>
      <c r="G73" s="164">
        <v>1.262685563278534E-3</v>
      </c>
      <c r="H73" s="164">
        <v>3.0754346689691219E-2</v>
      </c>
      <c r="I73" s="163">
        <v>112.22158222685145</v>
      </c>
      <c r="J73" s="517">
        <v>8.0826837780792315E-3</v>
      </c>
    </row>
    <row r="74" spans="2:10" x14ac:dyDescent="0.2">
      <c r="B74" s="514"/>
      <c r="C74" s="515">
        <v>250</v>
      </c>
      <c r="D74" s="164">
        <v>9.9215142765267259E-2</v>
      </c>
      <c r="E74" s="164">
        <v>0.33538109678939493</v>
      </c>
      <c r="F74" s="164">
        <v>0.68782632890335604</v>
      </c>
      <c r="G74" s="164">
        <v>1.7854529083991524E-3</v>
      </c>
      <c r="H74" s="164">
        <v>2.3081009991670277E-2</v>
      </c>
      <c r="I74" s="163">
        <v>158.68272738059522</v>
      </c>
      <c r="J74" s="517">
        <v>8.9520230560081598E-3</v>
      </c>
    </row>
    <row r="75" spans="2:10" x14ac:dyDescent="0.2">
      <c r="B75" s="514"/>
      <c r="C75" s="515">
        <v>500</v>
      </c>
      <c r="D75" s="164">
        <v>0.1415316092306603</v>
      </c>
      <c r="E75" s="164">
        <v>0.47617389363296547</v>
      </c>
      <c r="F75" s="164">
        <v>0.89879832533338255</v>
      </c>
      <c r="G75" s="164">
        <v>2.2941882966723329E-3</v>
      </c>
      <c r="H75" s="164">
        <v>3.2284153800841958E-2</v>
      </c>
      <c r="I75" s="163">
        <v>233.73535169013226</v>
      </c>
      <c r="J75" s="517">
        <v>1.2770166630775929E-2</v>
      </c>
    </row>
    <row r="76" spans="2:10" x14ac:dyDescent="0.2">
      <c r="B76" s="514"/>
      <c r="C76" s="515">
        <v>750</v>
      </c>
      <c r="D76" s="164">
        <v>0.23558537477309738</v>
      </c>
      <c r="E76" s="164">
        <v>0.78898987860163161</v>
      </c>
      <c r="F76" s="164">
        <v>1.5359017181504171</v>
      </c>
      <c r="G76" s="164">
        <v>3.8953473962670035E-3</v>
      </c>
      <c r="H76" s="164">
        <v>5.4369014233333339E-2</v>
      </c>
      <c r="I76" s="163">
        <v>387.41460763962488</v>
      </c>
      <c r="J76" s="517">
        <v>2.1256483201631354E-2</v>
      </c>
    </row>
    <row r="77" spans="2:10" x14ac:dyDescent="0.2">
      <c r="B77" s="518" t="s">
        <v>523</v>
      </c>
      <c r="C77" s="519"/>
      <c r="D77" s="520">
        <v>9.1568393921856131E-2</v>
      </c>
      <c r="E77" s="520">
        <v>0.51839698599417883</v>
      </c>
      <c r="F77" s="520">
        <v>0.58578006016596751</v>
      </c>
      <c r="G77" s="520">
        <v>1.3153773848864792E-3</v>
      </c>
      <c r="H77" s="520">
        <v>2.8884380879339113E-2</v>
      </c>
      <c r="I77" s="523">
        <v>119.57984256607311</v>
      </c>
      <c r="J77" s="522">
        <v>8.2620686044038542E-3</v>
      </c>
    </row>
    <row r="78" spans="2:10" x14ac:dyDescent="0.2">
      <c r="B78" s="514" t="s">
        <v>524</v>
      </c>
      <c r="C78" s="515">
        <v>50</v>
      </c>
      <c r="D78" s="164">
        <v>2.5365893389549289E-2</v>
      </c>
      <c r="E78" s="164">
        <v>0.14629420052617978</v>
      </c>
      <c r="F78" s="164">
        <v>0.12284110017858109</v>
      </c>
      <c r="G78" s="164">
        <v>1.8967162978304031E-4</v>
      </c>
      <c r="H78" s="164">
        <v>6.8491728305640851E-3</v>
      </c>
      <c r="I78" s="516">
        <v>14.671950704064249</v>
      </c>
      <c r="J78" s="517">
        <v>2.2887235983400818E-3</v>
      </c>
    </row>
    <row r="79" spans="2:10" x14ac:dyDescent="0.2">
      <c r="B79" s="514"/>
      <c r="C79" s="515">
        <v>120</v>
      </c>
      <c r="D79" s="164">
        <v>2.8738877818378784E-2</v>
      </c>
      <c r="E79" s="164">
        <v>0.21253690029905975</v>
      </c>
      <c r="F79" s="164">
        <v>0.19257682110992597</v>
      </c>
      <c r="G79" s="164">
        <v>3.6628421093065378E-4</v>
      </c>
      <c r="H79" s="164">
        <v>1.2767373656055892E-2</v>
      </c>
      <c r="I79" s="516">
        <v>31.224908885641014</v>
      </c>
      <c r="J79" s="517">
        <v>2.5930632794427437E-3</v>
      </c>
    </row>
    <row r="80" spans="2:10" x14ac:dyDescent="0.2">
      <c r="B80" s="514"/>
      <c r="C80" s="515">
        <v>175</v>
      </c>
      <c r="D80" s="164">
        <v>4.245112845846985E-2</v>
      </c>
      <c r="E80" s="164">
        <v>0.33220920238354201</v>
      </c>
      <c r="F80" s="164">
        <v>0.26851156064330028</v>
      </c>
      <c r="G80" s="164">
        <v>6.307077690285767E-4</v>
      </c>
      <c r="H80" s="164">
        <v>1.4570782842009607E-2</v>
      </c>
      <c r="I80" s="516">
        <v>56.054375433801461</v>
      </c>
      <c r="J80" s="517">
        <v>3.830297139237914E-3</v>
      </c>
    </row>
    <row r="81" spans="2:10" x14ac:dyDescent="0.2">
      <c r="B81" s="514"/>
      <c r="C81" s="515">
        <v>250</v>
      </c>
      <c r="D81" s="164">
        <v>4.6704366572668403E-2</v>
      </c>
      <c r="E81" s="164">
        <v>0.15642683593007325</v>
      </c>
      <c r="F81" s="164">
        <v>0.30567733755063414</v>
      </c>
      <c r="G81" s="164">
        <v>8.6775225276284392E-4</v>
      </c>
      <c r="H81" s="164">
        <v>1.0315574345396627E-2</v>
      </c>
      <c r="I81" s="516">
        <v>77.121753314898385</v>
      </c>
      <c r="J81" s="517">
        <v>4.2140606621785719E-3</v>
      </c>
    </row>
    <row r="82" spans="2:10" x14ac:dyDescent="0.2">
      <c r="B82" s="514"/>
      <c r="C82" s="515">
        <v>500</v>
      </c>
      <c r="D82" s="164">
        <v>6.5912583788379372E-2</v>
      </c>
      <c r="E82" s="164">
        <v>0.21389330612708515</v>
      </c>
      <c r="F82" s="164">
        <v>0.39373877183020056</v>
      </c>
      <c r="G82" s="164">
        <v>1.0893057991903834E-3</v>
      </c>
      <c r="H82" s="164">
        <v>1.446813945531108E-2</v>
      </c>
      <c r="I82" s="163">
        <v>110.98007685818342</v>
      </c>
      <c r="J82" s="517">
        <v>5.9471865207107351E-3</v>
      </c>
    </row>
    <row r="83" spans="2:10" x14ac:dyDescent="0.2">
      <c r="B83" s="518" t="s">
        <v>525</v>
      </c>
      <c r="C83" s="519"/>
      <c r="D83" s="520">
        <v>3.9907491324151563E-2</v>
      </c>
      <c r="E83" s="520">
        <v>0.21810803414819907</v>
      </c>
      <c r="F83" s="520">
        <v>0.24926887605388748</v>
      </c>
      <c r="G83" s="520">
        <v>6.0284194891886515E-4</v>
      </c>
      <c r="H83" s="520">
        <v>1.1862598926461083E-2</v>
      </c>
      <c r="I83" s="521">
        <v>54.395753380745887</v>
      </c>
      <c r="J83" s="522">
        <v>3.6007890934421764E-3</v>
      </c>
    </row>
    <row r="84" spans="2:10" x14ac:dyDescent="0.2">
      <c r="B84" s="514" t="s">
        <v>526</v>
      </c>
      <c r="C84" s="515">
        <v>15</v>
      </c>
      <c r="D84" s="164">
        <v>1.2619475987190364E-2</v>
      </c>
      <c r="E84" s="164">
        <v>6.4742722037495648E-2</v>
      </c>
      <c r="F84" s="164">
        <v>8.7433725693821712E-2</v>
      </c>
      <c r="G84" s="164">
        <v>1.588402347141092E-4</v>
      </c>
      <c r="H84" s="164">
        <v>4.5341789474419754E-3</v>
      </c>
      <c r="I84" s="516">
        <v>10.207662974744441</v>
      </c>
      <c r="J84" s="517">
        <v>1.1386349932472825E-3</v>
      </c>
    </row>
    <row r="85" spans="2:10" x14ac:dyDescent="0.2">
      <c r="B85" s="514"/>
      <c r="C85" s="515">
        <v>25</v>
      </c>
      <c r="D85" s="164">
        <v>2.3590079607880045E-2</v>
      </c>
      <c r="E85" s="164">
        <v>7.9851614774899202E-2</v>
      </c>
      <c r="F85" s="164">
        <v>0.14705866678971866</v>
      </c>
      <c r="G85" s="164">
        <v>2.2370915412646931E-4</v>
      </c>
      <c r="H85" s="164">
        <v>7.3023255560095033E-3</v>
      </c>
      <c r="I85" s="516">
        <v>17.63141421788745</v>
      </c>
      <c r="J85" s="517">
        <v>2.1284945936267279E-3</v>
      </c>
    </row>
    <row r="86" spans="2:10" x14ac:dyDescent="0.2">
      <c r="B86" s="514"/>
      <c r="C86" s="515">
        <v>50</v>
      </c>
      <c r="D86" s="164">
        <v>5.5877423360220654E-2</v>
      </c>
      <c r="E86" s="164">
        <v>0.23262579892871732</v>
      </c>
      <c r="F86" s="164">
        <v>0.24425665672147284</v>
      </c>
      <c r="G86" s="164">
        <v>3.9587881163726798E-4</v>
      </c>
      <c r="H86" s="164">
        <v>1.5592576871422599E-2</v>
      </c>
      <c r="I86" s="516">
        <v>30.622985995932126</v>
      </c>
      <c r="J86" s="517">
        <v>5.0417282409597839E-3</v>
      </c>
    </row>
    <row r="87" spans="2:10" x14ac:dyDescent="0.2">
      <c r="B87" s="514"/>
      <c r="C87" s="515">
        <v>120</v>
      </c>
      <c r="D87" s="164">
        <v>7.247558187983151E-2</v>
      </c>
      <c r="E87" s="164">
        <v>0.4728364785041651</v>
      </c>
      <c r="F87" s="164">
        <v>0.56285283996482471</v>
      </c>
      <c r="G87" s="164">
        <v>9.1438679845956398E-4</v>
      </c>
      <c r="H87" s="164">
        <v>3.8097373473952575E-2</v>
      </c>
      <c r="I87" s="516">
        <v>77.94942785276622</v>
      </c>
      <c r="J87" s="517">
        <v>6.539354984659621E-3</v>
      </c>
    </row>
    <row r="88" spans="2:10" x14ac:dyDescent="0.2">
      <c r="B88" s="514"/>
      <c r="C88" s="515">
        <v>175</v>
      </c>
      <c r="D88" s="164">
        <v>9.0229772854493975E-2</v>
      </c>
      <c r="E88" s="164">
        <v>0.73279251247086485</v>
      </c>
      <c r="F88" s="164">
        <v>0.84394905441469004</v>
      </c>
      <c r="G88" s="164">
        <v>1.5975106336004977E-3</v>
      </c>
      <c r="H88" s="164">
        <v>3.8324516868514812E-2</v>
      </c>
      <c r="I88" s="163">
        <v>141.97926024917035</v>
      </c>
      <c r="J88" s="517">
        <v>8.1412879102614535E-3</v>
      </c>
    </row>
    <row r="89" spans="2:10" x14ac:dyDescent="0.2">
      <c r="B89" s="514"/>
      <c r="C89" s="515">
        <v>250</v>
      </c>
      <c r="D89" s="164">
        <v>9.263283872998343E-2</v>
      </c>
      <c r="E89" s="164">
        <v>0.39884791994557706</v>
      </c>
      <c r="F89" s="164">
        <v>1.1003431240061885</v>
      </c>
      <c r="G89" s="164">
        <v>2.3910457709335861E-3</v>
      </c>
      <c r="H89" s="164">
        <v>3.0698467582821964E-2</v>
      </c>
      <c r="I89" s="163">
        <v>212.5049373275416</v>
      </c>
      <c r="J89" s="517">
        <v>8.3581121568004433E-3</v>
      </c>
    </row>
    <row r="90" spans="2:10" x14ac:dyDescent="0.2">
      <c r="B90" s="514"/>
      <c r="C90" s="515">
        <v>500</v>
      </c>
      <c r="D90" s="164">
        <v>0.13425550937079705</v>
      </c>
      <c r="E90" s="164">
        <v>0.62365170780549462</v>
      </c>
      <c r="F90" s="164">
        <v>1.5464237510088454</v>
      </c>
      <c r="G90" s="164">
        <v>3.3063209921704328E-3</v>
      </c>
      <c r="H90" s="164">
        <v>4.5939315005935899E-2</v>
      </c>
      <c r="I90" s="163">
        <v>336.85293636984665</v>
      </c>
      <c r="J90" s="517">
        <v>1.2113656490442323E-2</v>
      </c>
    </row>
    <row r="91" spans="2:10" x14ac:dyDescent="0.2">
      <c r="B91" s="514"/>
      <c r="C91" s="515">
        <v>750</v>
      </c>
      <c r="D91" s="164">
        <v>0.22238358973774844</v>
      </c>
      <c r="E91" s="164">
        <v>1.0067767997510626</v>
      </c>
      <c r="F91" s="164">
        <v>2.5745665843123882</v>
      </c>
      <c r="G91" s="164">
        <v>5.4676596711585633E-3</v>
      </c>
      <c r="H91" s="164">
        <v>7.5396225237840994E-2</v>
      </c>
      <c r="I91" s="163">
        <v>543.79002761251547</v>
      </c>
      <c r="J91" s="517">
        <v>2.006531357915629E-2</v>
      </c>
    </row>
    <row r="92" spans="2:10" x14ac:dyDescent="0.2">
      <c r="B92" s="514"/>
      <c r="C92" s="515">
        <v>9999</v>
      </c>
      <c r="D92" s="164">
        <v>0.56217891277852039</v>
      </c>
      <c r="E92" s="164">
        <v>2.1569988977251682</v>
      </c>
      <c r="F92" s="164">
        <v>7.9778116913494914</v>
      </c>
      <c r="G92" s="164">
        <v>1.0543440109970166E-2</v>
      </c>
      <c r="H92" s="164">
        <v>0.19394066538422525</v>
      </c>
      <c r="I92" s="524">
        <v>1048.605068153799</v>
      </c>
      <c r="J92" s="517">
        <v>5.072449292739916E-2</v>
      </c>
    </row>
    <row r="93" spans="2:10" x14ac:dyDescent="0.2">
      <c r="B93" s="518" t="s">
        <v>527</v>
      </c>
      <c r="C93" s="519"/>
      <c r="D93" s="520">
        <v>5.2690844781719273E-2</v>
      </c>
      <c r="E93" s="520">
        <v>0.28208770284206963</v>
      </c>
      <c r="F93" s="520">
        <v>0.40524928941856891</v>
      </c>
      <c r="G93" s="520">
        <v>6.9799335358940466E-4</v>
      </c>
      <c r="H93" s="520">
        <v>2.1550502410919478E-2</v>
      </c>
      <c r="I93" s="521">
        <v>60.992690814735383</v>
      </c>
      <c r="J93" s="522">
        <v>4.7542096120515315E-3</v>
      </c>
    </row>
    <row r="94" spans="2:10" x14ac:dyDescent="0.2">
      <c r="B94" s="514" t="s">
        <v>528</v>
      </c>
      <c r="C94" s="515">
        <v>50</v>
      </c>
      <c r="D94" s="164">
        <v>7.4298555187010604E-2</v>
      </c>
      <c r="E94" s="164">
        <v>0.2931879050150335</v>
      </c>
      <c r="F94" s="164">
        <v>0.23874932225350379</v>
      </c>
      <c r="G94" s="164">
        <v>3.5599895101586773E-4</v>
      </c>
      <c r="H94" s="164">
        <v>1.7597740923408996E-2</v>
      </c>
      <c r="I94" s="516">
        <v>27.538108816902572</v>
      </c>
      <c r="J94" s="517">
        <v>6.7038400497388979E-3</v>
      </c>
    </row>
    <row r="95" spans="2:10" x14ac:dyDescent="0.2">
      <c r="B95" s="514"/>
      <c r="C95" s="515">
        <v>120</v>
      </c>
      <c r="D95" s="164">
        <v>9.2846709919719411E-2</v>
      </c>
      <c r="E95" s="164">
        <v>0.51656042399404412</v>
      </c>
      <c r="F95" s="164">
        <v>0.57530476350150761</v>
      </c>
      <c r="G95" s="164">
        <v>8.7937654928741337E-4</v>
      </c>
      <c r="H95" s="164">
        <v>4.4722487281976996E-2</v>
      </c>
      <c r="I95" s="516">
        <v>74.964861793064713</v>
      </c>
      <c r="J95" s="517">
        <v>8.3774103830132826E-3</v>
      </c>
    </row>
    <row r="96" spans="2:10" x14ac:dyDescent="0.2">
      <c r="B96" s="514"/>
      <c r="C96" s="515">
        <v>175</v>
      </c>
      <c r="D96" s="164">
        <v>0.11354054509251611</v>
      </c>
      <c r="E96" s="164">
        <v>0.73013725322844336</v>
      </c>
      <c r="F96" s="164">
        <v>0.77813821765028079</v>
      </c>
      <c r="G96" s="164">
        <v>1.3943302065065699E-3</v>
      </c>
      <c r="H96" s="164">
        <v>4.2938258201362121E-2</v>
      </c>
      <c r="I96" s="163">
        <v>123.92151439039361</v>
      </c>
      <c r="J96" s="517">
        <v>1.0244581929448805E-2</v>
      </c>
    </row>
    <row r="97" spans="2:10" x14ac:dyDescent="0.2">
      <c r="B97" s="514"/>
      <c r="C97" s="515">
        <v>250</v>
      </c>
      <c r="D97" s="164">
        <v>0.11798737960736669</v>
      </c>
      <c r="E97" s="164">
        <v>0.38476076180615959</v>
      </c>
      <c r="F97" s="164">
        <v>0.93828931599521592</v>
      </c>
      <c r="G97" s="164">
        <v>1.9365691082337164E-3</v>
      </c>
      <c r="H97" s="164">
        <v>3.2107512450394574E-2</v>
      </c>
      <c r="I97" s="163">
        <v>172.11316778837107</v>
      </c>
      <c r="J97" s="517">
        <v>1.0645812891498406E-2</v>
      </c>
    </row>
    <row r="98" spans="2:10" x14ac:dyDescent="0.2">
      <c r="B98" s="514"/>
      <c r="C98" s="515">
        <v>500</v>
      </c>
      <c r="D98" s="164">
        <v>0.14967028015779141</v>
      </c>
      <c r="E98" s="164">
        <v>0.53440970097619811</v>
      </c>
      <c r="F98" s="164">
        <v>1.1138559719809973</v>
      </c>
      <c r="G98" s="164">
        <v>2.252463434596794E-3</v>
      </c>
      <c r="H98" s="164">
        <v>4.0049079920742602E-2</v>
      </c>
      <c r="I98" s="163">
        <v>229.48428583366018</v>
      </c>
      <c r="J98" s="517">
        <v>1.3504507514594796E-2</v>
      </c>
    </row>
    <row r="99" spans="2:10" x14ac:dyDescent="0.2">
      <c r="B99" s="514"/>
      <c r="C99" s="515">
        <v>750</v>
      </c>
      <c r="D99" s="164">
        <v>0.31870624406172743</v>
      </c>
      <c r="E99" s="164">
        <v>1.130295738246833</v>
      </c>
      <c r="F99" s="164">
        <v>2.4322941827202254</v>
      </c>
      <c r="G99" s="164">
        <v>4.8839990980215657E-3</v>
      </c>
      <c r="H99" s="164">
        <v>8.6237665432204957E-2</v>
      </c>
      <c r="I99" s="163">
        <v>485.74184275433856</v>
      </c>
      <c r="J99" s="517">
        <v>2.8756351158486234E-2</v>
      </c>
    </row>
    <row r="100" spans="2:10" x14ac:dyDescent="0.2">
      <c r="B100" s="518" t="s">
        <v>529</v>
      </c>
      <c r="C100" s="519"/>
      <c r="D100" s="520">
        <v>0.1120955791061997</v>
      </c>
      <c r="E100" s="520">
        <v>0.58437702490383392</v>
      </c>
      <c r="F100" s="520">
        <v>0.80079449813185954</v>
      </c>
      <c r="G100" s="520">
        <v>1.4960733567588632E-3</v>
      </c>
      <c r="H100" s="520">
        <v>3.9656251576689831E-2</v>
      </c>
      <c r="I100" s="523">
        <v>132.74300499972466</v>
      </c>
      <c r="J100" s="522">
        <v>1.01142050141717E-2</v>
      </c>
    </row>
    <row r="101" spans="2:10" x14ac:dyDescent="0.2">
      <c r="B101" s="514" t="s">
        <v>530</v>
      </c>
      <c r="C101" s="515">
        <v>120</v>
      </c>
      <c r="D101" s="164">
        <v>0.17119098363201884</v>
      </c>
      <c r="E101" s="164">
        <v>0.69312733126172721</v>
      </c>
      <c r="F101" s="164">
        <v>0.99729128819586788</v>
      </c>
      <c r="G101" s="164">
        <v>1.0995883470851472E-3</v>
      </c>
      <c r="H101" s="164">
        <v>8.3447002250137861E-2</v>
      </c>
      <c r="I101" s="516">
        <v>93.737454791489142</v>
      </c>
      <c r="J101" s="517">
        <v>1.5446288152361681E-2</v>
      </c>
    </row>
    <row r="102" spans="2:10" x14ac:dyDescent="0.2">
      <c r="B102" s="514"/>
      <c r="C102" s="515">
        <v>175</v>
      </c>
      <c r="D102" s="164">
        <v>0.16967841903144157</v>
      </c>
      <c r="E102" s="164">
        <v>0.81221677378109636</v>
      </c>
      <c r="F102" s="164">
        <v>1.1987370712721717</v>
      </c>
      <c r="G102" s="164">
        <v>1.4674187160918829E-3</v>
      </c>
      <c r="H102" s="164">
        <v>6.7681397987624389E-2</v>
      </c>
      <c r="I102" s="163">
        <v>130.41729741682059</v>
      </c>
      <c r="J102" s="517">
        <v>1.5309808011986984E-2</v>
      </c>
    </row>
    <row r="103" spans="2:10" x14ac:dyDescent="0.2">
      <c r="B103" s="514"/>
      <c r="C103" s="515">
        <v>250</v>
      </c>
      <c r="D103" s="164">
        <v>0.13443153193435137</v>
      </c>
      <c r="E103" s="164">
        <v>0.40014602128376836</v>
      </c>
      <c r="F103" s="164">
        <v>1.1003306112940336</v>
      </c>
      <c r="G103" s="164">
        <v>1.4674187934579628E-3</v>
      </c>
      <c r="H103" s="164">
        <v>4.4577168687595696E-2</v>
      </c>
      <c r="I103" s="163">
        <v>130.41730864800439</v>
      </c>
      <c r="J103" s="517">
        <v>1.2129545036727307E-2</v>
      </c>
    </row>
    <row r="104" spans="2:10" x14ac:dyDescent="0.2">
      <c r="B104" s="514"/>
      <c r="C104" s="515">
        <v>750</v>
      </c>
      <c r="D104" s="164">
        <v>0.54338919671624331</v>
      </c>
      <c r="E104" s="164">
        <v>2.2170235713943436</v>
      </c>
      <c r="F104" s="164">
        <v>4.4309457020071807</v>
      </c>
      <c r="G104" s="164">
        <v>5.712391785597625E-3</v>
      </c>
      <c r="H104" s="164">
        <v>0.17650782631706805</v>
      </c>
      <c r="I104" s="163">
        <v>568.13030234246617</v>
      </c>
      <c r="J104" s="517">
        <v>4.9029139680344572E-2</v>
      </c>
    </row>
    <row r="105" spans="2:10" x14ac:dyDescent="0.2">
      <c r="B105" s="514"/>
      <c r="C105" s="515">
        <v>1000</v>
      </c>
      <c r="D105" s="164">
        <v>0.821953433036269</v>
      </c>
      <c r="E105" s="164">
        <v>3.4738185209124923</v>
      </c>
      <c r="F105" s="164">
        <v>8.437848978156147</v>
      </c>
      <c r="G105" s="164">
        <v>8.1874869044044982E-3</v>
      </c>
      <c r="H105" s="164">
        <v>0.26960689231830803</v>
      </c>
      <c r="I105" s="163">
        <v>814.29271794168642</v>
      </c>
      <c r="J105" s="517">
        <v>7.416352676677207E-2</v>
      </c>
    </row>
    <row r="106" spans="2:10" x14ac:dyDescent="0.2">
      <c r="B106" s="518" t="s">
        <v>531</v>
      </c>
      <c r="C106" s="519"/>
      <c r="D106" s="520">
        <v>0.17157663422936134</v>
      </c>
      <c r="E106" s="520">
        <v>0.69060690912021816</v>
      </c>
      <c r="F106" s="520">
        <v>1.3177168441003295</v>
      </c>
      <c r="G106" s="520">
        <v>1.671435380040998E-3</v>
      </c>
      <c r="H106" s="520">
        <v>6.2339887457703955E-2</v>
      </c>
      <c r="I106" s="523">
        <v>151.41527102450641</v>
      </c>
      <c r="J106" s="522">
        <v>1.5481084496013495E-2</v>
      </c>
    </row>
    <row r="107" spans="2:10" x14ac:dyDescent="0.2">
      <c r="B107" s="514" t="s">
        <v>532</v>
      </c>
      <c r="C107" s="515">
        <v>175</v>
      </c>
      <c r="D107" s="164">
        <v>0.10715393023039496</v>
      </c>
      <c r="E107" s="164">
        <v>0.75465257891457838</v>
      </c>
      <c r="F107" s="164">
        <v>0.6764433802869898</v>
      </c>
      <c r="G107" s="164">
        <v>1.4074515062143446E-3</v>
      </c>
      <c r="H107" s="164">
        <v>3.6311860950744096E-2</v>
      </c>
      <c r="I107" s="163">
        <v>125.08770823419255</v>
      </c>
      <c r="J107" s="517">
        <v>9.6683280276941754E-3</v>
      </c>
    </row>
    <row r="108" spans="2:10" x14ac:dyDescent="0.2">
      <c r="B108" s="514"/>
      <c r="C108" s="515">
        <v>250</v>
      </c>
      <c r="D108" s="164">
        <v>0.11087757550731449</v>
      </c>
      <c r="E108" s="164">
        <v>0.36084059419635078</v>
      </c>
      <c r="F108" s="164">
        <v>0.76252068294710729</v>
      </c>
      <c r="G108" s="164">
        <v>1.8739208211501423E-3</v>
      </c>
      <c r="H108" s="164">
        <v>2.5639490365790139E-2</v>
      </c>
      <c r="I108" s="163">
        <v>166.54536773790227</v>
      </c>
      <c r="J108" s="517">
        <v>1.0004303079381925E-2</v>
      </c>
    </row>
    <row r="109" spans="2:10" x14ac:dyDescent="0.2">
      <c r="B109" s="514"/>
      <c r="C109" s="515">
        <v>500</v>
      </c>
      <c r="D109" s="164">
        <v>0.17531959695509716</v>
      </c>
      <c r="E109" s="164">
        <v>0.56762503517486851</v>
      </c>
      <c r="F109" s="164">
        <v>1.1034011155362147</v>
      </c>
      <c r="G109" s="164">
        <v>2.6730470882555739E-3</v>
      </c>
      <c r="H109" s="164">
        <v>3.9700946948480129E-2</v>
      </c>
      <c r="I109" s="163">
        <v>272.33390229156043</v>
      </c>
      <c r="J109" s="517">
        <v>1.5818806233261574E-2</v>
      </c>
    </row>
    <row r="110" spans="2:10" x14ac:dyDescent="0.2">
      <c r="B110" s="514"/>
      <c r="C110" s="515">
        <v>750</v>
      </c>
      <c r="D110" s="164">
        <v>0.28562886395389447</v>
      </c>
      <c r="E110" s="164">
        <v>0.92035269217153615</v>
      </c>
      <c r="F110" s="164">
        <v>1.8475569580158391</v>
      </c>
      <c r="G110" s="164">
        <v>4.4415585160165793E-3</v>
      </c>
      <c r="H110" s="164">
        <v>6.5481984133917842E-2</v>
      </c>
      <c r="I110" s="163">
        <v>441.73848990828492</v>
      </c>
      <c r="J110" s="517">
        <v>2.5771837960533065E-2</v>
      </c>
    </row>
    <row r="111" spans="2:10" x14ac:dyDescent="0.2">
      <c r="B111" s="514"/>
      <c r="C111" s="515">
        <v>1000</v>
      </c>
      <c r="D111" s="164">
        <v>0.43078989653353406</v>
      </c>
      <c r="E111" s="164">
        <v>1.3659771270185164</v>
      </c>
      <c r="F111" s="164">
        <v>4.6013536550991834</v>
      </c>
      <c r="G111" s="164">
        <v>6.2814272612487891E-3</v>
      </c>
      <c r="H111" s="164">
        <v>0.12293024043855387</v>
      </c>
      <c r="I111" s="163">
        <v>624.72391947024198</v>
      </c>
      <c r="J111" s="517">
        <v>3.8869474600056658E-2</v>
      </c>
    </row>
    <row r="112" spans="2:10" x14ac:dyDescent="0.2">
      <c r="B112" s="518" t="s">
        <v>533</v>
      </c>
      <c r="C112" s="519"/>
      <c r="D112" s="520">
        <v>0.17122728739215815</v>
      </c>
      <c r="E112" s="520">
        <v>0.57217102993509394</v>
      </c>
      <c r="F112" s="520">
        <v>1.1851310250714393</v>
      </c>
      <c r="G112" s="520">
        <v>2.6583077473090648E-3</v>
      </c>
      <c r="H112" s="520">
        <v>4.0668726877676899E-2</v>
      </c>
      <c r="I112" s="523">
        <v>260.05640595728585</v>
      </c>
      <c r="J112" s="522">
        <v>1.5449562756922282E-2</v>
      </c>
    </row>
    <row r="113" spans="2:10" x14ac:dyDescent="0.2">
      <c r="B113" s="514" t="s">
        <v>534</v>
      </c>
      <c r="C113" s="515">
        <v>15</v>
      </c>
      <c r="D113" s="164">
        <v>1.176547805155017E-2</v>
      </c>
      <c r="E113" s="164">
        <v>6.1714716989306695E-2</v>
      </c>
      <c r="F113" s="164">
        <v>7.3679895811831972E-2</v>
      </c>
      <c r="G113" s="164">
        <v>1.572791637934881E-4</v>
      </c>
      <c r="H113" s="164">
        <v>2.8790715865215336E-3</v>
      </c>
      <c r="I113" s="516">
        <v>10.107340259528531</v>
      </c>
      <c r="J113" s="517">
        <v>1.0615802148342963E-3</v>
      </c>
    </row>
    <row r="114" spans="2:10" x14ac:dyDescent="0.2">
      <c r="B114" s="514"/>
      <c r="C114" s="515">
        <v>25</v>
      </c>
      <c r="D114" s="164">
        <v>1.5945103311665532E-2</v>
      </c>
      <c r="E114" s="164">
        <v>5.4422773131625232E-2</v>
      </c>
      <c r="F114" s="164">
        <v>0.10076027214065375</v>
      </c>
      <c r="G114" s="164">
        <v>1.6770233483260697E-4</v>
      </c>
      <c r="H114" s="164">
        <v>3.7784596414391488E-3</v>
      </c>
      <c r="I114" s="516">
        <v>13.217291741948072</v>
      </c>
      <c r="J114" s="517">
        <v>1.4387010542643562E-3</v>
      </c>
    </row>
    <row r="115" spans="2:10" x14ac:dyDescent="0.2">
      <c r="B115" s="514"/>
      <c r="C115" s="515">
        <v>50</v>
      </c>
      <c r="D115" s="164">
        <v>4.6777045803841739E-2</v>
      </c>
      <c r="E115" s="164">
        <v>0.23917204821060201</v>
      </c>
      <c r="F115" s="164">
        <v>0.21850940301429594</v>
      </c>
      <c r="G115" s="164">
        <v>3.6183513087881638E-4</v>
      </c>
      <c r="H115" s="164">
        <v>1.2475969495142836E-2</v>
      </c>
      <c r="I115" s="516">
        <v>27.989556470969351</v>
      </c>
      <c r="J115" s="517">
        <v>4.2206195921401972E-3</v>
      </c>
    </row>
    <row r="116" spans="2:10" x14ac:dyDescent="0.2">
      <c r="B116" s="514"/>
      <c r="C116" s="515">
        <v>120</v>
      </c>
      <c r="D116" s="164">
        <v>6.7137348818508774E-2</v>
      </c>
      <c r="E116" s="164">
        <v>0.51414542142695174</v>
      </c>
      <c r="F116" s="164">
        <v>0.50134083245140282</v>
      </c>
      <c r="G116" s="164">
        <v>9.4851414783255817E-4</v>
      </c>
      <c r="H116" s="164">
        <v>3.2940147804575381E-2</v>
      </c>
      <c r="I116" s="516">
        <v>80.858722688364736</v>
      </c>
      <c r="J116" s="517">
        <v>6.0576927012754821E-3</v>
      </c>
    </row>
    <row r="117" spans="2:10" x14ac:dyDescent="0.2">
      <c r="B117" s="514"/>
      <c r="C117" s="515">
        <v>175</v>
      </c>
      <c r="D117" s="164">
        <v>6.6518596416898113E-2</v>
      </c>
      <c r="E117" s="164">
        <v>0.58598292835088706</v>
      </c>
      <c r="F117" s="164">
        <v>0.51326755550207159</v>
      </c>
      <c r="G117" s="164">
        <v>1.1984855559537273E-3</v>
      </c>
      <c r="H117" s="164">
        <v>2.5239019637598413E-2</v>
      </c>
      <c r="I117" s="163">
        <v>106.51578469673143</v>
      </c>
      <c r="J117" s="517">
        <v>6.0018670018210487E-3</v>
      </c>
    </row>
    <row r="118" spans="2:10" x14ac:dyDescent="0.2">
      <c r="B118" s="514"/>
      <c r="C118" s="515">
        <v>500</v>
      </c>
      <c r="D118" s="164">
        <v>0.11808453801711569</v>
      </c>
      <c r="E118" s="164">
        <v>0.47964430190348306</v>
      </c>
      <c r="F118" s="164">
        <v>0.91364226493459333</v>
      </c>
      <c r="G118" s="164">
        <v>2.4954333425274682E-3</v>
      </c>
      <c r="H118" s="164">
        <v>3.1083896854688039E-2</v>
      </c>
      <c r="I118" s="163">
        <v>254.23847707292109</v>
      </c>
      <c r="J118" s="517">
        <v>1.0654580267680711E-2</v>
      </c>
    </row>
    <row r="119" spans="2:10" x14ac:dyDescent="0.2">
      <c r="B119" s="518" t="s">
        <v>535</v>
      </c>
      <c r="C119" s="519"/>
      <c r="D119" s="520">
        <v>6.7462936695063813E-2</v>
      </c>
      <c r="E119" s="520">
        <v>0.35683044314356172</v>
      </c>
      <c r="F119" s="520">
        <v>0.50444865297182817</v>
      </c>
      <c r="G119" s="520">
        <v>1.2666526563424325E-3</v>
      </c>
      <c r="H119" s="520">
        <v>2.0616405022057863E-2</v>
      </c>
      <c r="I119" s="523">
        <v>122.54088249144343</v>
      </c>
      <c r="J119" s="522">
        <v>6.0870731641539666E-3</v>
      </c>
    </row>
    <row r="120" spans="2:10" x14ac:dyDescent="0.2">
      <c r="B120" s="514" t="s">
        <v>536</v>
      </c>
      <c r="C120" s="515">
        <v>15</v>
      </c>
      <c r="D120" s="164">
        <v>6.6325130079825717E-3</v>
      </c>
      <c r="E120" s="164">
        <v>3.9050256147945023E-2</v>
      </c>
      <c r="F120" s="164">
        <v>4.6621273844520895E-2</v>
      </c>
      <c r="G120" s="164">
        <v>9.9519051086447132E-5</v>
      </c>
      <c r="H120" s="164">
        <v>1.8217450457019087E-3</v>
      </c>
      <c r="I120" s="516">
        <v>6.3954638082416935</v>
      </c>
      <c r="J120" s="517">
        <v>5.9844099963828642E-4</v>
      </c>
    </row>
    <row r="121" spans="2:10" x14ac:dyDescent="0.2">
      <c r="B121" s="514"/>
      <c r="C121" s="515">
        <v>25</v>
      </c>
      <c r="D121" s="164">
        <v>1.851689102163305E-2</v>
      </c>
      <c r="E121" s="164">
        <v>6.3200635112251644E-2</v>
      </c>
      <c r="F121" s="164">
        <v>0.11701194891600239</v>
      </c>
      <c r="G121" s="164">
        <v>1.9475114218631755E-4</v>
      </c>
      <c r="H121" s="164">
        <v>4.3708420421380845E-3</v>
      </c>
      <c r="I121" s="516">
        <v>15.349111106005346</v>
      </c>
      <c r="J121" s="517">
        <v>1.6707496012797211E-3</v>
      </c>
    </row>
    <row r="122" spans="2:10" x14ac:dyDescent="0.2">
      <c r="B122" s="514"/>
      <c r="C122" s="515">
        <v>50</v>
      </c>
      <c r="D122" s="164">
        <v>6.2080742368620406E-2</v>
      </c>
      <c r="E122" s="164">
        <v>0.23774379815248714</v>
      </c>
      <c r="F122" s="164">
        <v>0.19345982897250982</v>
      </c>
      <c r="G122" s="164">
        <v>2.8110308564239497E-4</v>
      </c>
      <c r="H122" s="164">
        <v>1.5203182555716682E-2</v>
      </c>
      <c r="I122" s="516">
        <v>21.7445711683186</v>
      </c>
      <c r="J122" s="517">
        <v>5.6014453574618024E-3</v>
      </c>
    </row>
    <row r="123" spans="2:10" x14ac:dyDescent="0.2">
      <c r="B123" s="514"/>
      <c r="C123" s="515">
        <v>120</v>
      </c>
      <c r="D123" s="164">
        <v>8.1075329704398458E-2</v>
      </c>
      <c r="E123" s="164">
        <v>0.43071586786504018</v>
      </c>
      <c r="F123" s="164">
        <v>0.49564485636360101</v>
      </c>
      <c r="G123" s="164">
        <v>7.2771411854091576E-4</v>
      </c>
      <c r="H123" s="164">
        <v>4.0374206099515419E-2</v>
      </c>
      <c r="I123" s="516">
        <v>62.03600471626028</v>
      </c>
      <c r="J123" s="517">
        <v>7.3152962573387681E-3</v>
      </c>
    </row>
    <row r="124" spans="2:10" x14ac:dyDescent="0.2">
      <c r="B124" s="514"/>
      <c r="C124" s="515">
        <v>175</v>
      </c>
      <c r="D124" s="164">
        <v>9.1077869784837701E-2</v>
      </c>
      <c r="E124" s="164">
        <v>0.56646005176426317</v>
      </c>
      <c r="F124" s="164">
        <v>0.63068797140066102</v>
      </c>
      <c r="G124" s="164">
        <v>1.0793990495063842E-3</v>
      </c>
      <c r="H124" s="164">
        <v>3.5070928320210595E-2</v>
      </c>
      <c r="I124" s="516">
        <v>95.931967147454117</v>
      </c>
      <c r="J124" s="517">
        <v>8.2178096298699422E-3</v>
      </c>
    </row>
    <row r="125" spans="2:10" x14ac:dyDescent="0.2">
      <c r="B125" s="514"/>
      <c r="C125" s="515">
        <v>250</v>
      </c>
      <c r="D125" s="164">
        <v>9.3564853095001538E-2</v>
      </c>
      <c r="E125" s="164">
        <v>0.29002412428322744</v>
      </c>
      <c r="F125" s="164">
        <v>0.77777397739249976</v>
      </c>
      <c r="G125" s="164">
        <v>1.5255500832075423E-3</v>
      </c>
      <c r="H125" s="164">
        <v>2.494349312359527E-2</v>
      </c>
      <c r="I125" s="163">
        <v>135.58382826166573</v>
      </c>
      <c r="J125" s="517">
        <v>8.4422067213894801E-3</v>
      </c>
    </row>
    <row r="126" spans="2:10" x14ac:dyDescent="0.2">
      <c r="B126" s="514"/>
      <c r="C126" s="515">
        <v>500</v>
      </c>
      <c r="D126" s="164">
        <v>0.17452894999158669</v>
      </c>
      <c r="E126" s="164">
        <v>0.54426360618095082</v>
      </c>
      <c r="F126" s="164">
        <v>1.3257547798690101</v>
      </c>
      <c r="G126" s="164">
        <v>2.6051034009197727E-3</v>
      </c>
      <c r="H126" s="164">
        <v>4.5900748412562899E-2</v>
      </c>
      <c r="I126" s="163">
        <v>265.41171805941764</v>
      </c>
      <c r="J126" s="517">
        <v>1.574746351481577E-2</v>
      </c>
    </row>
    <row r="127" spans="2:10" x14ac:dyDescent="0.2">
      <c r="B127" s="514"/>
      <c r="C127" s="515">
        <v>750</v>
      </c>
      <c r="D127" s="164">
        <v>0.28937141066287125</v>
      </c>
      <c r="E127" s="164">
        <v>0.89705145167904543</v>
      </c>
      <c r="F127" s="164">
        <v>2.2569652106878859</v>
      </c>
      <c r="G127" s="164">
        <v>4.3984374323294707E-3</v>
      </c>
      <c r="H127" s="164">
        <v>7.6991678744167999E-2</v>
      </c>
      <c r="I127" s="163">
        <v>437.44981157521909</v>
      </c>
      <c r="J127" s="517">
        <v>2.6109520398767336E-2</v>
      </c>
    </row>
    <row r="128" spans="2:10" x14ac:dyDescent="0.2">
      <c r="B128" s="514"/>
      <c r="C128" s="515">
        <v>1000</v>
      </c>
      <c r="D128" s="164">
        <v>0.40682169339208701</v>
      </c>
      <c r="E128" s="164">
        <v>1.2739240691047822</v>
      </c>
      <c r="F128" s="164">
        <v>4.6402945679131751</v>
      </c>
      <c r="G128" s="164">
        <v>5.626653190012763E-3</v>
      </c>
      <c r="H128" s="164">
        <v>0.12741683967288878</v>
      </c>
      <c r="I128" s="163">
        <v>559.6030775055558</v>
      </c>
      <c r="J128" s="517">
        <v>3.6706864307186206E-2</v>
      </c>
    </row>
    <row r="129" spans="2:10" x14ac:dyDescent="0.2">
      <c r="B129" s="518" t="s">
        <v>537</v>
      </c>
      <c r="C129" s="519"/>
      <c r="D129" s="520">
        <v>0.11872017147194695</v>
      </c>
      <c r="E129" s="520">
        <v>0.46495083178035729</v>
      </c>
      <c r="F129" s="520">
        <v>0.91381511424348361</v>
      </c>
      <c r="G129" s="520">
        <v>1.6001046503265467E-3</v>
      </c>
      <c r="H129" s="520">
        <v>3.7917420405462206E-2</v>
      </c>
      <c r="I129" s="523">
        <v>152.239902959104</v>
      </c>
      <c r="J129" s="522">
        <v>1.0711929651030341E-2</v>
      </c>
    </row>
    <row r="130" spans="2:10" x14ac:dyDescent="0.2">
      <c r="B130" s="514" t="s">
        <v>538</v>
      </c>
      <c r="C130" s="515">
        <v>50</v>
      </c>
      <c r="D130" s="164">
        <v>8.6004496326082966E-2</v>
      </c>
      <c r="E130" s="164">
        <v>0.32821655608408523</v>
      </c>
      <c r="F130" s="164">
        <v>0.26890951513826555</v>
      </c>
      <c r="G130" s="164">
        <v>3.9215013025084051E-4</v>
      </c>
      <c r="H130" s="164">
        <v>2.1133705062770614E-2</v>
      </c>
      <c r="I130" s="516">
        <v>30.334559958643144</v>
      </c>
      <c r="J130" s="517">
        <v>7.7600471988534597E-3</v>
      </c>
    </row>
    <row r="131" spans="2:10" x14ac:dyDescent="0.2">
      <c r="B131" s="514"/>
      <c r="C131" s="515">
        <v>120</v>
      </c>
      <c r="D131" s="164">
        <v>7.8603467731605578E-2</v>
      </c>
      <c r="E131" s="164">
        <v>0.41920321617954187</v>
      </c>
      <c r="F131" s="164">
        <v>0.48394849680663204</v>
      </c>
      <c r="G131" s="164">
        <v>7.1167981874549436E-4</v>
      </c>
      <c r="H131" s="164">
        <v>3.9390419563791509E-2</v>
      </c>
      <c r="I131" s="516">
        <v>60.669125479026938</v>
      </c>
      <c r="J131" s="517">
        <v>7.0922637783190617E-3</v>
      </c>
    </row>
    <row r="132" spans="2:10" x14ac:dyDescent="0.2">
      <c r="B132" s="514"/>
      <c r="C132" s="515">
        <v>175</v>
      </c>
      <c r="D132" s="164">
        <v>0.11461961656704003</v>
      </c>
      <c r="E132" s="164">
        <v>0.71726084787727351</v>
      </c>
      <c r="F132" s="164">
        <v>0.80136289339321909</v>
      </c>
      <c r="G132" s="164">
        <v>1.3735877488584537E-3</v>
      </c>
      <c r="H132" s="164">
        <v>4.4454359276972097E-2</v>
      </c>
      <c r="I132" s="163">
        <v>122.07811473656946</v>
      </c>
      <c r="J132" s="517">
        <v>1.0341942668600539E-2</v>
      </c>
    </row>
    <row r="133" spans="2:10" x14ac:dyDescent="0.2">
      <c r="B133" s="514"/>
      <c r="C133" s="515">
        <v>250</v>
      </c>
      <c r="D133" s="164">
        <v>9.8797088872745006E-2</v>
      </c>
      <c r="E133" s="164">
        <v>0.30874565569175383</v>
      </c>
      <c r="F133" s="164">
        <v>0.83093855308894948</v>
      </c>
      <c r="G133" s="164">
        <v>1.6316557789084847E-3</v>
      </c>
      <c r="H133" s="164">
        <v>2.6606593307354931E-2</v>
      </c>
      <c r="I133" s="163">
        <v>145.01399185695811</v>
      </c>
      <c r="J133" s="517">
        <v>8.9143027974350926E-3</v>
      </c>
    </row>
    <row r="134" spans="2:10" x14ac:dyDescent="0.2">
      <c r="B134" s="514"/>
      <c r="C134" s="515">
        <v>500</v>
      </c>
      <c r="D134" s="164">
        <v>0.1243233676080273</v>
      </c>
      <c r="E134" s="164">
        <v>0.39151941944292523</v>
      </c>
      <c r="F134" s="164">
        <v>0.95595553489815033</v>
      </c>
      <c r="G134" s="164">
        <v>1.8808677154303903E-3</v>
      </c>
      <c r="H134" s="164">
        <v>3.3045743314885398E-2</v>
      </c>
      <c r="I134" s="163">
        <v>191.62559420618641</v>
      </c>
      <c r="J134" s="517">
        <v>1.1217500573149972E-2</v>
      </c>
    </row>
    <row r="135" spans="2:10" x14ac:dyDescent="0.2">
      <c r="B135" s="514"/>
      <c r="C135" s="515">
        <v>9999</v>
      </c>
      <c r="D135" s="164">
        <v>0.56208774513609006</v>
      </c>
      <c r="E135" s="164">
        <v>1.6821074178636155</v>
      </c>
      <c r="F135" s="164">
        <v>6.1372061991303752</v>
      </c>
      <c r="G135" s="164">
        <v>7.2765626794563578E-3</v>
      </c>
      <c r="H135" s="164">
        <v>0.16806675259792592</v>
      </c>
      <c r="I135" s="163">
        <v>741.34712001710113</v>
      </c>
      <c r="J135" s="517">
        <v>5.0716283596616347E-2</v>
      </c>
    </row>
    <row r="136" spans="2:10" x14ac:dyDescent="0.2">
      <c r="B136" s="518" t="s">
        <v>539</v>
      </c>
      <c r="C136" s="519"/>
      <c r="D136" s="520">
        <v>0.11229754242201498</v>
      </c>
      <c r="E136" s="520">
        <v>0.45435950240423489</v>
      </c>
      <c r="F136" s="520">
        <v>0.8948119217045345</v>
      </c>
      <c r="G136" s="520">
        <v>1.5432200638587532E-3</v>
      </c>
      <c r="H136" s="520">
        <v>3.6647579169705818E-2</v>
      </c>
      <c r="I136" s="523">
        <v>141.19406349605663</v>
      </c>
      <c r="J136" s="522">
        <v>1.0132427028560391E-2</v>
      </c>
    </row>
    <row r="137" spans="2:10" x14ac:dyDescent="0.2">
      <c r="B137" s="514" t="s">
        <v>540</v>
      </c>
      <c r="C137" s="515">
        <v>25</v>
      </c>
      <c r="D137" s="164">
        <v>2.2773878650111944E-2</v>
      </c>
      <c r="E137" s="164">
        <v>7.7098368044989304E-2</v>
      </c>
      <c r="F137" s="164">
        <v>0.14398742625230426</v>
      </c>
      <c r="G137" s="164">
        <v>2.3675630089074829E-4</v>
      </c>
      <c r="H137" s="164">
        <v>5.7971464112804606E-3</v>
      </c>
      <c r="I137" s="516">
        <v>18.659703649557922</v>
      </c>
      <c r="J137" s="517">
        <v>2.0548500866492555E-3</v>
      </c>
    </row>
    <row r="138" spans="2:10" x14ac:dyDescent="0.2">
      <c r="B138" s="514"/>
      <c r="C138" s="515">
        <v>50</v>
      </c>
      <c r="D138" s="164">
        <v>0.1040414586533296</v>
      </c>
      <c r="E138" s="164">
        <v>0.32615737721590216</v>
      </c>
      <c r="F138" s="164">
        <v>0.26149045317509567</v>
      </c>
      <c r="G138" s="164">
        <v>3.6183524211662413E-4</v>
      </c>
      <c r="H138" s="164">
        <v>2.3421428299293563E-2</v>
      </c>
      <c r="I138" s="516">
        <v>27.989565160090422</v>
      </c>
      <c r="J138" s="517">
        <v>9.3874932549936861E-3</v>
      </c>
    </row>
    <row r="139" spans="2:10" x14ac:dyDescent="0.2">
      <c r="B139" s="514"/>
      <c r="C139" s="515">
        <v>120</v>
      </c>
      <c r="D139" s="164">
        <v>0.10950803647121511</v>
      </c>
      <c r="E139" s="164">
        <v>0.48945272495956738</v>
      </c>
      <c r="F139" s="164">
        <v>0.66060189317291729</v>
      </c>
      <c r="G139" s="164">
        <v>8.1170927508367055E-4</v>
      </c>
      <c r="H139" s="164">
        <v>5.4800880730388808E-2</v>
      </c>
      <c r="I139" s="516">
        <v>69.196409653676994</v>
      </c>
      <c r="J139" s="517">
        <v>9.8807359034402027E-3</v>
      </c>
    </row>
    <row r="140" spans="2:10" x14ac:dyDescent="0.2">
      <c r="B140" s="514"/>
      <c r="C140" s="515">
        <v>175</v>
      </c>
      <c r="D140" s="164">
        <v>0.14431887132948554</v>
      </c>
      <c r="E140" s="164">
        <v>0.76532787731542617</v>
      </c>
      <c r="F140" s="164">
        <v>1.0437371722902384</v>
      </c>
      <c r="G140" s="164">
        <v>1.4434315154603383E-3</v>
      </c>
      <c r="H140" s="164">
        <v>5.821790084186932E-2</v>
      </c>
      <c r="I140" s="163">
        <v>128.2854715282499</v>
      </c>
      <c r="J140" s="517">
        <v>1.302166105680585E-2</v>
      </c>
    </row>
    <row r="141" spans="2:10" x14ac:dyDescent="0.2">
      <c r="B141" s="514"/>
      <c r="C141" s="515">
        <v>250</v>
      </c>
      <c r="D141" s="164">
        <v>0.16636915660087728</v>
      </c>
      <c r="E141" s="164">
        <v>0.51743106213157719</v>
      </c>
      <c r="F141" s="164">
        <v>1.4290337283122601</v>
      </c>
      <c r="G141" s="164">
        <v>2.1870180463729317E-3</v>
      </c>
      <c r="H141" s="164">
        <v>5.3704921539230538E-2</v>
      </c>
      <c r="I141" s="163">
        <v>194.37194683820198</v>
      </c>
      <c r="J141" s="517">
        <v>1.50112221164579E-2</v>
      </c>
    </row>
    <row r="142" spans="2:10" x14ac:dyDescent="0.2">
      <c r="B142" s="514"/>
      <c r="C142" s="515">
        <v>500</v>
      </c>
      <c r="D142" s="164">
        <v>0.18582410408583647</v>
      </c>
      <c r="E142" s="164">
        <v>0.72391684376365895</v>
      </c>
      <c r="F142" s="164">
        <v>1.5415298726715394</v>
      </c>
      <c r="G142" s="164">
        <v>2.2893891450396818E-3</v>
      </c>
      <c r="H142" s="164">
        <v>5.8808879109636114E-2</v>
      </c>
      <c r="I142" s="163">
        <v>233.24635456447632</v>
      </c>
      <c r="J142" s="517">
        <v>1.6766613237607413E-2</v>
      </c>
    </row>
    <row r="143" spans="2:10" x14ac:dyDescent="0.2">
      <c r="B143" s="518" t="s">
        <v>541</v>
      </c>
      <c r="C143" s="519"/>
      <c r="D143" s="520">
        <v>0.11932430244839914</v>
      </c>
      <c r="E143" s="520">
        <v>0.50733650731325386</v>
      </c>
      <c r="F143" s="520">
        <v>0.66721155564560419</v>
      </c>
      <c r="G143" s="520">
        <v>8.9492627083561011E-4</v>
      </c>
      <c r="H143" s="520">
        <v>4.5326850301083819E-2</v>
      </c>
      <c r="I143" s="521">
        <v>77.933438110928449</v>
      </c>
      <c r="J143" s="522">
        <v>1.0766440987256539E-2</v>
      </c>
    </row>
    <row r="144" spans="2:10" x14ac:dyDescent="0.2">
      <c r="B144" s="514" t="s">
        <v>542</v>
      </c>
      <c r="C144" s="515">
        <v>25</v>
      </c>
      <c r="D144" s="164">
        <v>1.5234081617894864E-2</v>
      </c>
      <c r="E144" s="164">
        <v>5.1995947011637678E-2</v>
      </c>
      <c r="F144" s="164">
        <v>9.6267173440639717E-2</v>
      </c>
      <c r="G144" s="164">
        <v>1.6022417578886945E-4</v>
      </c>
      <c r="H144" s="164">
        <v>3.6099711868683893E-3</v>
      </c>
      <c r="I144" s="516">
        <v>12.62790950053372</v>
      </c>
      <c r="J144" s="517">
        <v>1.3745464392683556E-3</v>
      </c>
    </row>
    <row r="145" spans="2:10" x14ac:dyDescent="0.2">
      <c r="B145" s="514"/>
      <c r="C145" s="515">
        <v>50</v>
      </c>
      <c r="D145" s="164">
        <v>8.8533951706114611E-2</v>
      </c>
      <c r="E145" s="164">
        <v>0.27604792304897169</v>
      </c>
      <c r="F145" s="164">
        <v>0.22296358350335163</v>
      </c>
      <c r="G145" s="164">
        <v>3.0931071557682916E-4</v>
      </c>
      <c r="H145" s="164">
        <v>2.0030687785697266E-2</v>
      </c>
      <c r="I145" s="516">
        <v>23.92656254517075</v>
      </c>
      <c r="J145" s="517">
        <v>7.9882791988786107E-3</v>
      </c>
    </row>
    <row r="146" spans="2:10" x14ac:dyDescent="0.2">
      <c r="B146" s="514"/>
      <c r="C146" s="515">
        <v>120</v>
      </c>
      <c r="D146" s="164">
        <v>8.5757900735508277E-2</v>
      </c>
      <c r="E146" s="164">
        <v>0.38342750126569547</v>
      </c>
      <c r="F146" s="164">
        <v>0.51874691702050202</v>
      </c>
      <c r="G146" s="164">
        <v>6.3930561423081124E-4</v>
      </c>
      <c r="H146" s="164">
        <v>4.3343578380042026E-2</v>
      </c>
      <c r="I146" s="516">
        <v>54.499382176056208</v>
      </c>
      <c r="J146" s="517">
        <v>7.737797812848589E-3</v>
      </c>
    </row>
    <row r="147" spans="2:10" x14ac:dyDescent="0.2">
      <c r="B147" s="514"/>
      <c r="C147" s="515">
        <v>175</v>
      </c>
      <c r="D147" s="164">
        <v>0.11244267122595172</v>
      </c>
      <c r="E147" s="164">
        <v>0.59869067990779334</v>
      </c>
      <c r="F147" s="164">
        <v>0.81962171559318076</v>
      </c>
      <c r="G147" s="164">
        <v>1.1366850120951067E-3</v>
      </c>
      <c r="H147" s="164">
        <v>4.5763038087789601E-2</v>
      </c>
      <c r="I147" s="163">
        <v>101.0232454269179</v>
      </c>
      <c r="J147" s="517">
        <v>1.0145522911545022E-2</v>
      </c>
    </row>
    <row r="148" spans="2:10" x14ac:dyDescent="0.2">
      <c r="B148" s="514"/>
      <c r="C148" s="515">
        <v>250</v>
      </c>
      <c r="D148" s="164">
        <v>0.10175914781248832</v>
      </c>
      <c r="E148" s="164">
        <v>0.3177709771001575</v>
      </c>
      <c r="F148" s="164">
        <v>0.89494034923156085</v>
      </c>
      <c r="G148" s="164">
        <v>1.3759870853240564E-3</v>
      </c>
      <c r="H148" s="164">
        <v>3.2896644599649125E-2</v>
      </c>
      <c r="I148" s="163">
        <v>122.29129545562786</v>
      </c>
      <c r="J148" s="517">
        <v>9.1815661128126485E-3</v>
      </c>
    </row>
    <row r="149" spans="2:10" x14ac:dyDescent="0.2">
      <c r="B149" s="518" t="s">
        <v>543</v>
      </c>
      <c r="C149" s="519"/>
      <c r="D149" s="520">
        <v>9.0957269282518946E-2</v>
      </c>
      <c r="E149" s="520">
        <v>0.41654041646579182</v>
      </c>
      <c r="F149" s="520">
        <v>0.59651654655582698</v>
      </c>
      <c r="G149" s="520">
        <v>7.9301441796814011E-4</v>
      </c>
      <c r="H149" s="520">
        <v>4.0435696609629354E-2</v>
      </c>
      <c r="I149" s="521">
        <v>68.940824395647724</v>
      </c>
      <c r="J149" s="522">
        <v>8.2069289856878964E-3</v>
      </c>
    </row>
    <row r="150" spans="2:10" x14ac:dyDescent="0.2">
      <c r="B150" s="514" t="s">
        <v>544</v>
      </c>
      <c r="C150" s="515">
        <v>15</v>
      </c>
      <c r="D150" s="164">
        <v>5.0214956190120664E-3</v>
      </c>
      <c r="E150" s="164">
        <v>2.6339778192893133E-2</v>
      </c>
      <c r="F150" s="164">
        <v>3.1446517438942771E-2</v>
      </c>
      <c r="G150" s="164">
        <v>6.7126596506660656E-5</v>
      </c>
      <c r="H150" s="164">
        <v>1.228436700852572E-3</v>
      </c>
      <c r="I150" s="516">
        <v>4.3138038487416166</v>
      </c>
      <c r="J150" s="517">
        <v>4.5308149486305926E-4</v>
      </c>
    </row>
    <row r="151" spans="2:10" x14ac:dyDescent="0.2">
      <c r="B151" s="518" t="s">
        <v>545</v>
      </c>
      <c r="C151" s="519"/>
      <c r="D151" s="520">
        <v>5.0214956190120664E-3</v>
      </c>
      <c r="E151" s="520">
        <v>2.6339778192893133E-2</v>
      </c>
      <c r="F151" s="520">
        <v>3.1446517438942771E-2</v>
      </c>
      <c r="G151" s="520">
        <v>6.7126596506660656E-5</v>
      </c>
      <c r="H151" s="520">
        <v>1.228436700852572E-3</v>
      </c>
      <c r="I151" s="521">
        <v>4.3138038487416166</v>
      </c>
      <c r="J151" s="522">
        <v>4.5308149486305926E-4</v>
      </c>
    </row>
    <row r="152" spans="2:10" x14ac:dyDescent="0.2">
      <c r="B152" s="514" t="s">
        <v>546</v>
      </c>
      <c r="C152" s="515">
        <v>15</v>
      </c>
      <c r="D152" s="164">
        <v>6.0461852506641621E-3</v>
      </c>
      <c r="E152" s="164">
        <v>3.1019230699357164E-2</v>
      </c>
      <c r="F152" s="164">
        <v>4.1890834776570129E-2</v>
      </c>
      <c r="G152" s="164">
        <v>7.610280437734072E-5</v>
      </c>
      <c r="H152" s="164">
        <v>2.172395110152118E-3</v>
      </c>
      <c r="I152" s="516">
        <v>4.8906483566614583</v>
      </c>
      <c r="J152" s="517">
        <v>5.4553757557901535E-4</v>
      </c>
    </row>
    <row r="153" spans="2:10" x14ac:dyDescent="0.2">
      <c r="B153" s="514"/>
      <c r="C153" s="515">
        <v>25</v>
      </c>
      <c r="D153" s="164">
        <v>9.5635459890982145E-3</v>
      </c>
      <c r="E153" s="164">
        <v>3.2372269270180221E-2</v>
      </c>
      <c r="F153" s="164">
        <v>5.9618361540999032E-2</v>
      </c>
      <c r="G153" s="164">
        <v>9.0692932950947526E-5</v>
      </c>
      <c r="H153" s="164">
        <v>2.9604033762657181E-3</v>
      </c>
      <c r="I153" s="516">
        <v>7.1478709477575482</v>
      </c>
      <c r="J153" s="517">
        <v>8.6290331813286298E-4</v>
      </c>
    </row>
    <row r="154" spans="2:10" x14ac:dyDescent="0.2">
      <c r="B154" s="514"/>
      <c r="C154" s="515">
        <v>50</v>
      </c>
      <c r="D154" s="164">
        <v>1.9486290522818129E-2</v>
      </c>
      <c r="E154" s="164">
        <v>9.1787930967378223E-2</v>
      </c>
      <c r="F154" s="164">
        <v>0.10978908943551874</v>
      </c>
      <c r="G154" s="164">
        <v>1.8480829601463352E-4</v>
      </c>
      <c r="H154" s="164">
        <v>6.1089590298975373E-3</v>
      </c>
      <c r="I154" s="516">
        <v>14.295745147678659</v>
      </c>
      <c r="J154" s="517">
        <v>1.758216894817121E-3</v>
      </c>
    </row>
    <row r="155" spans="2:10" x14ac:dyDescent="0.2">
      <c r="B155" s="514"/>
      <c r="C155" s="515">
        <v>120</v>
      </c>
      <c r="D155" s="164">
        <v>1.9121155004244984E-2</v>
      </c>
      <c r="E155" s="164">
        <v>0.139270591347953</v>
      </c>
      <c r="F155" s="164">
        <v>0.16590565224931103</v>
      </c>
      <c r="G155" s="164">
        <v>2.8243602236453866E-4</v>
      </c>
      <c r="H155" s="164">
        <v>9.9926598282033315E-3</v>
      </c>
      <c r="I155" s="516">
        <v>24.077040200930519</v>
      </c>
      <c r="J155" s="517">
        <v>1.7252708855569833E-3</v>
      </c>
    </row>
    <row r="156" spans="2:10" x14ac:dyDescent="0.2">
      <c r="B156" s="518" t="s">
        <v>547</v>
      </c>
      <c r="C156" s="519"/>
      <c r="D156" s="520">
        <v>1.1095173413761249E-2</v>
      </c>
      <c r="E156" s="520">
        <v>5.7018142269577909E-2</v>
      </c>
      <c r="F156" s="520">
        <v>7.3253957042431886E-2</v>
      </c>
      <c r="G156" s="520">
        <v>1.253979699061856E-4</v>
      </c>
      <c r="H156" s="520">
        <v>4.0248395358963565E-3</v>
      </c>
      <c r="I156" s="521">
        <v>9.4135478446308998</v>
      </c>
      <c r="J156" s="522">
        <v>1.0010996892661208E-3</v>
      </c>
    </row>
    <row r="157" spans="2:10" x14ac:dyDescent="0.2">
      <c r="B157" s="514" t="s">
        <v>548</v>
      </c>
      <c r="C157" s="515">
        <v>15</v>
      </c>
      <c r="D157" s="164">
        <v>1.0332463956723771E-2</v>
      </c>
      <c r="E157" s="164">
        <v>4.7085612143838683E-2</v>
      </c>
      <c r="F157" s="164">
        <v>6.4122842146194986E-2</v>
      </c>
      <c r="G157" s="164">
        <v>1.1552014942545861E-4</v>
      </c>
      <c r="H157" s="164">
        <v>3.5960879688653699E-3</v>
      </c>
      <c r="I157" s="516">
        <v>7.4237534629239583</v>
      </c>
      <c r="J157" s="517">
        <v>9.3228161154477096E-4</v>
      </c>
    </row>
    <row r="158" spans="2:10" x14ac:dyDescent="0.2">
      <c r="B158" s="514"/>
      <c r="C158" s="515">
        <v>25</v>
      </c>
      <c r="D158" s="164">
        <v>2.8648601168306476E-2</v>
      </c>
      <c r="E158" s="164">
        <v>8.8257058274028771E-2</v>
      </c>
      <c r="F158" s="164">
        <v>0.16253851720909898</v>
      </c>
      <c r="G158" s="164">
        <v>2.472575857648867E-4</v>
      </c>
      <c r="H158" s="164">
        <v>8.4172213231415369E-3</v>
      </c>
      <c r="I158" s="516">
        <v>19.487354811580399</v>
      </c>
      <c r="J158" s="517">
        <v>2.5849172150099243E-3</v>
      </c>
    </row>
    <row r="159" spans="2:10" x14ac:dyDescent="0.2">
      <c r="B159" s="514"/>
      <c r="C159" s="515">
        <v>50</v>
      </c>
      <c r="D159" s="164">
        <v>6.7974634061293823E-2</v>
      </c>
      <c r="E159" s="164">
        <v>0.27439448415593193</v>
      </c>
      <c r="F159" s="164">
        <v>0.27728634362320925</v>
      </c>
      <c r="G159" s="164">
        <v>4.4386405750195028E-4</v>
      </c>
      <c r="H159" s="164">
        <v>1.8427036412818822E-2</v>
      </c>
      <c r="I159" s="516">
        <v>34.334859192450246</v>
      </c>
      <c r="J159" s="517">
        <v>6.1332415739870604E-3</v>
      </c>
    </row>
    <row r="160" spans="2:10" x14ac:dyDescent="0.2">
      <c r="B160" s="514"/>
      <c r="C160" s="515">
        <v>120</v>
      </c>
      <c r="D160" s="164">
        <v>7.6027409014731748E-2</v>
      </c>
      <c r="E160" s="164">
        <v>0.480214876216568</v>
      </c>
      <c r="F160" s="164">
        <v>0.57149044269388893</v>
      </c>
      <c r="G160" s="164">
        <v>9.1438696404510611E-4</v>
      </c>
      <c r="H160" s="164">
        <v>4.0027920701541E-2</v>
      </c>
      <c r="I160" s="516">
        <v>77.949445254711591</v>
      </c>
      <c r="J160" s="517">
        <v>6.8598304194803453E-3</v>
      </c>
    </row>
    <row r="161" spans="2:10" x14ac:dyDescent="0.2">
      <c r="B161" s="514"/>
      <c r="C161" s="515">
        <v>175</v>
      </c>
      <c r="D161" s="164">
        <v>9.400199517545367E-2</v>
      </c>
      <c r="E161" s="164">
        <v>0.73416927049612268</v>
      </c>
      <c r="F161" s="164">
        <v>0.84615833502012994</v>
      </c>
      <c r="G161" s="164">
        <v>1.5766282411191813E-3</v>
      </c>
      <c r="H161" s="164">
        <v>3.9750068672239319E-2</v>
      </c>
      <c r="I161" s="163">
        <v>140.12336849076226</v>
      </c>
      <c r="J161" s="517">
        <v>8.4816493439411958E-3</v>
      </c>
    </row>
    <row r="162" spans="2:10" x14ac:dyDescent="0.2">
      <c r="B162" s="514"/>
      <c r="C162" s="515">
        <v>250</v>
      </c>
      <c r="D162" s="164">
        <v>9.3204664556650302E-2</v>
      </c>
      <c r="E162" s="164">
        <v>0.38414212872530251</v>
      </c>
      <c r="F162" s="164">
        <v>1.0600926280882985</v>
      </c>
      <c r="G162" s="164">
        <v>2.265750792882628E-3</v>
      </c>
      <c r="H162" s="164">
        <v>3.0322050453293631E-2</v>
      </c>
      <c r="I162" s="163">
        <v>201.36932417119627</v>
      </c>
      <c r="J162" s="517">
        <v>8.4097071975356031E-3</v>
      </c>
    </row>
    <row r="163" spans="2:10" x14ac:dyDescent="0.2">
      <c r="B163" s="514"/>
      <c r="C163" s="515">
        <v>500</v>
      </c>
      <c r="D163" s="164">
        <v>0.14684490487614674</v>
      </c>
      <c r="E163" s="164">
        <v>0.64777525013797832</v>
      </c>
      <c r="F163" s="164">
        <v>1.6053545446979545</v>
      </c>
      <c r="G163" s="164">
        <v>3.3882948785647835E-3</v>
      </c>
      <c r="H163" s="164">
        <v>4.8933861256369698E-2</v>
      </c>
      <c r="I163" s="163">
        <v>345.20457171583513</v>
      </c>
      <c r="J163" s="517">
        <v>1.3249581128706948E-2</v>
      </c>
    </row>
    <row r="164" spans="2:10" x14ac:dyDescent="0.2">
      <c r="B164" s="514"/>
      <c r="C164" s="515">
        <v>750</v>
      </c>
      <c r="D164" s="164">
        <v>0.2481232746188517</v>
      </c>
      <c r="E164" s="164">
        <v>1.0709186907202943</v>
      </c>
      <c r="F164" s="164">
        <v>2.7376939092519788</v>
      </c>
      <c r="G164" s="164">
        <v>5.7382410507177831E-3</v>
      </c>
      <c r="H164" s="164">
        <v>8.2261923776002194E-2</v>
      </c>
      <c r="I164" s="163">
        <v>570.70096457423938</v>
      </c>
      <c r="J164" s="517">
        <v>2.2387760665047569E-2</v>
      </c>
    </row>
    <row r="165" spans="2:10" x14ac:dyDescent="0.2">
      <c r="B165" s="514"/>
      <c r="C165" s="515">
        <v>9999</v>
      </c>
      <c r="D165" s="164">
        <v>0.75480366991987891</v>
      </c>
      <c r="E165" s="164">
        <v>2.8273435651671415</v>
      </c>
      <c r="F165" s="164">
        <v>10.429513428211347</v>
      </c>
      <c r="G165" s="164">
        <v>1.3622494175459137E-2</v>
      </c>
      <c r="H165" s="164">
        <v>0.25685971335326363</v>
      </c>
      <c r="I165" s="524">
        <v>1354.835019605556</v>
      </c>
      <c r="J165" s="517">
        <v>6.8104717509137644E-2</v>
      </c>
    </row>
    <row r="166" spans="2:10" x14ac:dyDescent="0.2">
      <c r="B166" s="518" t="s">
        <v>549</v>
      </c>
      <c r="C166" s="519"/>
      <c r="D166" s="520">
        <v>5.0806067496149472E-2</v>
      </c>
      <c r="E166" s="520">
        <v>0.27513438369683529</v>
      </c>
      <c r="F166" s="520">
        <v>0.35604539748478836</v>
      </c>
      <c r="G166" s="520">
        <v>5.9045674687497685E-4</v>
      </c>
      <c r="H166" s="520">
        <v>2.1380488019149029E-2</v>
      </c>
      <c r="I166" s="521">
        <v>49.606659779603348</v>
      </c>
      <c r="J166" s="522">
        <v>4.5841495803612166E-3</v>
      </c>
    </row>
    <row r="167" spans="2:10" x14ac:dyDescent="0.2">
      <c r="B167" s="514" t="s">
        <v>550</v>
      </c>
      <c r="C167" s="515">
        <v>15</v>
      </c>
      <c r="D167" s="164">
        <v>7.3570753071775146E-3</v>
      </c>
      <c r="E167" s="164">
        <v>3.8590847798194099E-2</v>
      </c>
      <c r="F167" s="164">
        <v>4.6072801346371567E-2</v>
      </c>
      <c r="G167" s="164">
        <v>9.8348256786868544E-5</v>
      </c>
      <c r="H167" s="164">
        <v>1.8003130908163551E-3</v>
      </c>
      <c r="I167" s="516">
        <v>6.3202235092547943</v>
      </c>
      <c r="J167" s="517">
        <v>6.638169022201506E-4</v>
      </c>
    </row>
    <row r="168" spans="2:10" x14ac:dyDescent="0.2">
      <c r="B168" s="514"/>
      <c r="C168" s="515">
        <v>25</v>
      </c>
      <c r="D168" s="164">
        <v>1.6096377582734883E-2</v>
      </c>
      <c r="E168" s="164">
        <v>5.4939106320051674E-2</v>
      </c>
      <c r="F168" s="164">
        <v>0.10171625157810411</v>
      </c>
      <c r="G168" s="164">
        <v>1.6929347712446683E-4</v>
      </c>
      <c r="H168" s="164">
        <v>3.814307783829865E-3</v>
      </c>
      <c r="I168" s="516">
        <v>13.342691317383624</v>
      </c>
      <c r="J168" s="517">
        <v>1.4523506966557982E-3</v>
      </c>
    </row>
    <row r="169" spans="2:10" x14ac:dyDescent="0.2">
      <c r="B169" s="514"/>
      <c r="C169" s="515">
        <v>50</v>
      </c>
      <c r="D169" s="164">
        <v>7.2852001190193444E-2</v>
      </c>
      <c r="E169" s="164">
        <v>0.26114238824579861</v>
      </c>
      <c r="F169" s="164">
        <v>0.22448705224842239</v>
      </c>
      <c r="G169" s="164">
        <v>3.3589712011024525E-4</v>
      </c>
      <c r="H169" s="164">
        <v>1.7445420212052833E-2</v>
      </c>
      <c r="I169" s="516">
        <v>25.983137529727397</v>
      </c>
      <c r="J169" s="517">
        <v>6.5733206532855746E-3</v>
      </c>
    </row>
    <row r="170" spans="2:10" x14ac:dyDescent="0.2">
      <c r="B170" s="514"/>
      <c r="C170" s="515">
        <v>120</v>
      </c>
      <c r="D170" s="164">
        <v>7.364061442925468E-2</v>
      </c>
      <c r="E170" s="164">
        <v>0.39437847897545419</v>
      </c>
      <c r="F170" s="164">
        <v>0.4749495116898465</v>
      </c>
      <c r="G170" s="164">
        <v>6.9196822564067428E-4</v>
      </c>
      <c r="H170" s="164">
        <v>3.7809753206498702E-2</v>
      </c>
      <c r="I170" s="516">
        <v>58.988749859540995</v>
      </c>
      <c r="J170" s="517">
        <v>6.6444750477274569E-3</v>
      </c>
    </row>
    <row r="171" spans="2:10" x14ac:dyDescent="0.2">
      <c r="B171" s="514"/>
      <c r="C171" s="515">
        <v>175</v>
      </c>
      <c r="D171" s="164">
        <v>9.6370515549761088E-2</v>
      </c>
      <c r="E171" s="164">
        <v>0.61402814906482417</v>
      </c>
      <c r="F171" s="164">
        <v>0.72483970174943946</v>
      </c>
      <c r="G171" s="164">
        <v>1.2168283890241177E-3</v>
      </c>
      <c r="H171" s="164">
        <v>3.9327451179036958E-2</v>
      </c>
      <c r="I171" s="163">
        <v>108.14604073027385</v>
      </c>
      <c r="J171" s="517">
        <v>8.6953577511160625E-3</v>
      </c>
    </row>
    <row r="172" spans="2:10" x14ac:dyDescent="0.2">
      <c r="B172" s="514"/>
      <c r="C172" s="515">
        <v>250</v>
      </c>
      <c r="D172" s="164">
        <v>9.849550183268832E-2</v>
      </c>
      <c r="E172" s="164">
        <v>0.33754806256205427</v>
      </c>
      <c r="F172" s="164">
        <v>0.9034811688601726</v>
      </c>
      <c r="G172" s="164">
        <v>1.7225228533016813E-3</v>
      </c>
      <c r="H172" s="164">
        <v>3.0197330409474903E-2</v>
      </c>
      <c r="I172" s="163">
        <v>153.08978374428989</v>
      </c>
      <c r="J172" s="517">
        <v>8.8870914540412384E-3</v>
      </c>
    </row>
    <row r="173" spans="2:10" x14ac:dyDescent="0.2">
      <c r="B173" s="514"/>
      <c r="C173" s="515">
        <v>500</v>
      </c>
      <c r="D173" s="164">
        <v>0.13233484564973008</v>
      </c>
      <c r="E173" s="164">
        <v>0.50913287516790806</v>
      </c>
      <c r="F173" s="164">
        <v>1.1463499838452971</v>
      </c>
      <c r="G173" s="164">
        <v>2.150548724397535E-3</v>
      </c>
      <c r="H173" s="164">
        <v>4.0148047449848567E-2</v>
      </c>
      <c r="I173" s="163">
        <v>219.10103319750732</v>
      </c>
      <c r="J173" s="517">
        <v>1.1940361106595335E-2</v>
      </c>
    </row>
    <row r="174" spans="2:10" x14ac:dyDescent="0.2">
      <c r="B174" s="518" t="s">
        <v>551</v>
      </c>
      <c r="C174" s="519"/>
      <c r="D174" s="520">
        <v>7.3603686867913118E-2</v>
      </c>
      <c r="E174" s="520">
        <v>0.39129567996641451</v>
      </c>
      <c r="F174" s="520">
        <v>0.48664900139826622</v>
      </c>
      <c r="G174" s="520">
        <v>7.6963243232861119E-4</v>
      </c>
      <c r="H174" s="520">
        <v>3.2162472865672843E-2</v>
      </c>
      <c r="I174" s="521">
        <v>67.046135555991881</v>
      </c>
      <c r="J174" s="522">
        <v>6.6411431900511254E-3</v>
      </c>
    </row>
    <row r="175" spans="2:10" x14ac:dyDescent="0.2">
      <c r="B175" s="514" t="s">
        <v>164</v>
      </c>
      <c r="C175" s="515">
        <v>50</v>
      </c>
      <c r="D175" s="164">
        <v>7.4314087458072095E-2</v>
      </c>
      <c r="E175" s="164">
        <v>0.33727335237462835</v>
      </c>
      <c r="F175" s="164">
        <v>0.28463657302621781</v>
      </c>
      <c r="G175" s="164">
        <v>4.3770369202271084E-4</v>
      </c>
      <c r="H175" s="164">
        <v>1.9018395189070728E-2</v>
      </c>
      <c r="I175" s="516">
        <v>33.858334496689267</v>
      </c>
      <c r="J175" s="517">
        <v>6.705239649879258E-3</v>
      </c>
    </row>
    <row r="176" spans="2:10" x14ac:dyDescent="0.2">
      <c r="B176" s="514"/>
      <c r="C176" s="515">
        <v>120</v>
      </c>
      <c r="D176" s="164">
        <v>6.5984627584627559E-2</v>
      </c>
      <c r="E176" s="164">
        <v>0.42034379187681747</v>
      </c>
      <c r="F176" s="164">
        <v>0.43408601955687026</v>
      </c>
      <c r="G176" s="164">
        <v>7.3256854142815129E-4</v>
      </c>
      <c r="H176" s="164">
        <v>3.194751386558424E-2</v>
      </c>
      <c r="I176" s="516">
        <v>62.449841344264151</v>
      </c>
      <c r="J176" s="517">
        <v>5.9536876759522812E-3</v>
      </c>
    </row>
    <row r="177" spans="2:10" x14ac:dyDescent="0.2">
      <c r="B177" s="514"/>
      <c r="C177" s="515">
        <v>175</v>
      </c>
      <c r="D177" s="164">
        <v>9.929292848038955E-2</v>
      </c>
      <c r="E177" s="164">
        <v>0.72327371595511403</v>
      </c>
      <c r="F177" s="164">
        <v>0.68993460519113492</v>
      </c>
      <c r="G177" s="164">
        <v>1.4053353629070505E-3</v>
      </c>
      <c r="H177" s="164">
        <v>3.7059303048306957E-2</v>
      </c>
      <c r="I177" s="163">
        <v>124.89963724562253</v>
      </c>
      <c r="J177" s="517">
        <v>8.9590424154722993E-3</v>
      </c>
    </row>
    <row r="178" spans="2:10" x14ac:dyDescent="0.2">
      <c r="B178" s="514"/>
      <c r="C178" s="515">
        <v>250</v>
      </c>
      <c r="D178" s="164">
        <v>0.10466775108034276</v>
      </c>
      <c r="E178" s="164">
        <v>0.35438875349240817</v>
      </c>
      <c r="F178" s="164">
        <v>0.80975155365133689</v>
      </c>
      <c r="G178" s="164">
        <v>1.9217537823348386E-3</v>
      </c>
      <c r="H178" s="164">
        <v>2.6872167392374725E-2</v>
      </c>
      <c r="I178" s="163">
        <v>170.7965275458462</v>
      </c>
      <c r="J178" s="517">
        <v>9.4440053907250358E-3</v>
      </c>
    </row>
    <row r="179" spans="2:10" x14ac:dyDescent="0.2">
      <c r="B179" s="514"/>
      <c r="C179" s="515">
        <v>500</v>
      </c>
      <c r="D179" s="164">
        <v>0.15142637449330282</v>
      </c>
      <c r="E179" s="164">
        <v>0.51042595561688964</v>
      </c>
      <c r="F179" s="164">
        <v>1.0707093829809826</v>
      </c>
      <c r="G179" s="164">
        <v>2.5183282176175223E-3</v>
      </c>
      <c r="H179" s="164">
        <v>3.8266714946150547E-2</v>
      </c>
      <c r="I179" s="163">
        <v>256.57093620086329</v>
      </c>
      <c r="J179" s="517">
        <v>1.3662963600860539E-2</v>
      </c>
    </row>
    <row r="180" spans="2:10" x14ac:dyDescent="0.2">
      <c r="B180" s="518" t="s">
        <v>552</v>
      </c>
      <c r="C180" s="519"/>
      <c r="D180" s="520">
        <v>7.0394532965259396E-2</v>
      </c>
      <c r="E180" s="520">
        <v>0.45223817296211716</v>
      </c>
      <c r="F180" s="520">
        <v>0.46452433979683366</v>
      </c>
      <c r="G180" s="520">
        <v>8.1606509697934376E-4</v>
      </c>
      <c r="H180" s="520">
        <v>3.227341128110571E-2</v>
      </c>
      <c r="I180" s="521">
        <v>70.280801604031055</v>
      </c>
      <c r="J180" s="522">
        <v>6.351586377717643E-3</v>
      </c>
    </row>
    <row r="181" spans="2:10" x14ac:dyDescent="0.2">
      <c r="B181" s="514" t="s">
        <v>553</v>
      </c>
      <c r="C181" s="515">
        <v>175</v>
      </c>
      <c r="D181" s="164">
        <v>0.17628686078595293</v>
      </c>
      <c r="E181" s="164">
        <v>0.82323522169046204</v>
      </c>
      <c r="F181" s="164">
        <v>1.2239411156392754</v>
      </c>
      <c r="G181" s="164">
        <v>1.4568360898251694E-3</v>
      </c>
      <c r="H181" s="164">
        <v>6.9181546435961E-2</v>
      </c>
      <c r="I181" s="163">
        <v>129.47679891635212</v>
      </c>
      <c r="J181" s="517">
        <v>1.5906085558936991E-2</v>
      </c>
    </row>
    <row r="182" spans="2:10" x14ac:dyDescent="0.2">
      <c r="B182" s="514"/>
      <c r="C182" s="515">
        <v>250</v>
      </c>
      <c r="D182" s="164">
        <v>0.19924385796416905</v>
      </c>
      <c r="E182" s="164">
        <v>0.58445814402367358</v>
      </c>
      <c r="F182" s="164">
        <v>1.5953679308445965</v>
      </c>
      <c r="G182" s="164">
        <v>2.0645446791512411E-3</v>
      </c>
      <c r="H182" s="164">
        <v>6.5448611826488659E-2</v>
      </c>
      <c r="I182" s="163">
        <v>183.48709522010026</v>
      </c>
      <c r="J182" s="517">
        <v>1.7977451997994911E-2</v>
      </c>
    </row>
    <row r="183" spans="2:10" x14ac:dyDescent="0.2">
      <c r="B183" s="514"/>
      <c r="C183" s="515">
        <v>500</v>
      </c>
      <c r="D183" s="164">
        <v>0.26601143268871463</v>
      </c>
      <c r="E183" s="164">
        <v>1.0972341949718112</v>
      </c>
      <c r="F183" s="164">
        <v>2.0893206825921542</v>
      </c>
      <c r="G183" s="164">
        <v>2.5998100409794032E-3</v>
      </c>
      <c r="H183" s="164">
        <v>8.4909604900136715E-2</v>
      </c>
      <c r="I183" s="163">
        <v>264.87250666353776</v>
      </c>
      <c r="J183" s="517">
        <v>2.4001780874155543E-2</v>
      </c>
    </row>
    <row r="184" spans="2:10" x14ac:dyDescent="0.2">
      <c r="B184" s="514"/>
      <c r="C184" s="515">
        <v>750</v>
      </c>
      <c r="D184" s="164">
        <v>0.40155012024792136</v>
      </c>
      <c r="E184" s="164">
        <v>1.646854869503283</v>
      </c>
      <c r="F184" s="164">
        <v>3.2070563954510347</v>
      </c>
      <c r="G184" s="164">
        <v>4.0097089609462556E-3</v>
      </c>
      <c r="H184" s="164">
        <v>0.12888717533098581</v>
      </c>
      <c r="I184" s="163">
        <v>398.78856213117996</v>
      </c>
      <c r="J184" s="517">
        <v>3.6231224015785442E-2</v>
      </c>
    </row>
    <row r="185" spans="2:10" x14ac:dyDescent="0.2">
      <c r="B185" s="514"/>
      <c r="C185" s="515">
        <v>1000</v>
      </c>
      <c r="D185" s="164">
        <v>0.62758439577378899</v>
      </c>
      <c r="E185" s="164">
        <v>2.6606446734594291</v>
      </c>
      <c r="F185" s="164">
        <v>6.2664500203439859</v>
      </c>
      <c r="G185" s="164">
        <v>5.9513284356353495E-3</v>
      </c>
      <c r="H185" s="164">
        <v>0.20338352663109999</v>
      </c>
      <c r="I185" s="163">
        <v>591.89381555211583</v>
      </c>
      <c r="J185" s="517">
        <v>5.6625925091591242E-2</v>
      </c>
    </row>
    <row r="186" spans="2:10" x14ac:dyDescent="0.2">
      <c r="B186" s="518" t="s">
        <v>554</v>
      </c>
      <c r="C186" s="519"/>
      <c r="D186" s="520">
        <v>0.24649913617521194</v>
      </c>
      <c r="E186" s="520">
        <v>0.93004170701908628</v>
      </c>
      <c r="F186" s="520">
        <v>1.950837615218614</v>
      </c>
      <c r="G186" s="520">
        <v>2.4515523582797085E-3</v>
      </c>
      <c r="H186" s="520">
        <v>7.9600595558830381E-2</v>
      </c>
      <c r="I186" s="523">
        <v>239.0887668040651</v>
      </c>
      <c r="J186" s="522">
        <v>2.2241218827324886E-2</v>
      </c>
    </row>
    <row r="187" spans="2:10" x14ac:dyDescent="0.2">
      <c r="B187" s="514" t="s">
        <v>555</v>
      </c>
      <c r="C187" s="515">
        <v>25</v>
      </c>
      <c r="D187" s="164">
        <v>2.0423055836458971E-2</v>
      </c>
      <c r="E187" s="164">
        <v>6.9706611228428236E-2</v>
      </c>
      <c r="F187" s="164">
        <v>0.1290573325755264</v>
      </c>
      <c r="G187" s="164">
        <v>2.1479914247888275E-4</v>
      </c>
      <c r="H187" s="164">
        <v>4.8120465264799468E-3</v>
      </c>
      <c r="I187" s="516">
        <v>16.92917524383423</v>
      </c>
      <c r="J187" s="517">
        <v>1.8427389122875296E-3</v>
      </c>
    </row>
    <row r="188" spans="2:10" x14ac:dyDescent="0.2">
      <c r="B188" s="514"/>
      <c r="C188" s="515">
        <v>50</v>
      </c>
      <c r="D188" s="164">
        <v>8.1791720108402216E-2</v>
      </c>
      <c r="E188" s="164">
        <v>0.32695295333249452</v>
      </c>
      <c r="F188" s="164">
        <v>0.26838728593133993</v>
      </c>
      <c r="G188" s="164">
        <v>4.0268745570140932E-4</v>
      </c>
      <c r="H188" s="164">
        <v>1.9548629939569826E-2</v>
      </c>
      <c r="I188" s="516">
        <v>31.149666875075468</v>
      </c>
      <c r="J188" s="517">
        <v>7.3799363567528956E-3</v>
      </c>
    </row>
    <row r="189" spans="2:10" x14ac:dyDescent="0.2">
      <c r="B189" s="514"/>
      <c r="C189" s="515">
        <v>120</v>
      </c>
      <c r="D189" s="164">
        <v>7.1409183992443698E-2</v>
      </c>
      <c r="E189" s="164">
        <v>0.40380552571731104</v>
      </c>
      <c r="F189" s="164">
        <v>0.44595129524323623</v>
      </c>
      <c r="G189" s="164">
        <v>6.9108569734204601E-4</v>
      </c>
      <c r="H189" s="164">
        <v>3.455998405862936E-2</v>
      </c>
      <c r="I189" s="516">
        <v>58.91351479134542</v>
      </c>
      <c r="J189" s="517">
        <v>6.4431355607304829E-3</v>
      </c>
    </row>
    <row r="190" spans="2:10" x14ac:dyDescent="0.2">
      <c r="B190" s="514"/>
      <c r="C190" s="515">
        <v>175</v>
      </c>
      <c r="D190" s="164">
        <v>9.5351959113988916E-2</v>
      </c>
      <c r="E190" s="164">
        <v>0.62338459843943561</v>
      </c>
      <c r="F190" s="164">
        <v>0.65711910987551791</v>
      </c>
      <c r="G190" s="164">
        <v>1.1962278916923454E-3</v>
      </c>
      <c r="H190" s="164">
        <v>3.6184594968284862E-2</v>
      </c>
      <c r="I190" s="163">
        <v>106.31519016185493</v>
      </c>
      <c r="J190" s="517">
        <v>8.6034536129452697E-3</v>
      </c>
    </row>
    <row r="191" spans="2:10" x14ac:dyDescent="0.2">
      <c r="B191" s="514"/>
      <c r="C191" s="515">
        <v>250</v>
      </c>
      <c r="D191" s="164">
        <v>9.9952747313268628E-2</v>
      </c>
      <c r="E191" s="164">
        <v>0.32904725351344399</v>
      </c>
      <c r="F191" s="164">
        <v>0.79841895508735716</v>
      </c>
      <c r="G191" s="164">
        <v>1.6762431040541262E-3</v>
      </c>
      <c r="H191" s="164">
        <v>2.7167656516135858E-2</v>
      </c>
      <c r="I191" s="163">
        <v>148.97664558315503</v>
      </c>
      <c r="J191" s="517">
        <v>9.0185753542049527E-3</v>
      </c>
    </row>
    <row r="192" spans="2:10" x14ac:dyDescent="0.2">
      <c r="B192" s="514"/>
      <c r="C192" s="515">
        <v>500</v>
      </c>
      <c r="D192" s="164">
        <v>0.15140109335736665</v>
      </c>
      <c r="E192" s="164">
        <v>0.54108120728851816</v>
      </c>
      <c r="F192" s="164">
        <v>1.1287622872860668</v>
      </c>
      <c r="G192" s="164">
        <v>2.3263144545945256E-3</v>
      </c>
      <c r="H192" s="164">
        <v>4.0460046595215224E-2</v>
      </c>
      <c r="I192" s="163">
        <v>237.00834596368492</v>
      </c>
      <c r="J192" s="517">
        <v>1.3660678276182949E-2</v>
      </c>
    </row>
    <row r="193" spans="2:10" x14ac:dyDescent="0.2">
      <c r="B193" s="514"/>
      <c r="C193" s="515">
        <v>750</v>
      </c>
      <c r="D193" s="164">
        <v>0.31207269429622758</v>
      </c>
      <c r="E193" s="164">
        <v>1.1076735284230295</v>
      </c>
      <c r="F193" s="164">
        <v>2.3876446791363231</v>
      </c>
      <c r="G193" s="164">
        <v>4.8818568022586791E-3</v>
      </c>
      <c r="H193" s="164">
        <v>8.4369004497282532E-2</v>
      </c>
      <c r="I193" s="163">
        <v>485.5285307857406</v>
      </c>
      <c r="J193" s="517">
        <v>2.8157808285531636E-2</v>
      </c>
    </row>
    <row r="194" spans="2:10" x14ac:dyDescent="0.2">
      <c r="B194" s="514"/>
      <c r="C194" s="515">
        <v>1000</v>
      </c>
      <c r="D194" s="164">
        <v>0.41489174190980477</v>
      </c>
      <c r="E194" s="164">
        <v>1.4821880209065579</v>
      </c>
      <c r="F194" s="164">
        <v>4.7145501147593265</v>
      </c>
      <c r="G194" s="164">
        <v>5.9712529082632795E-3</v>
      </c>
      <c r="H194" s="164">
        <v>0.13024886853986048</v>
      </c>
      <c r="I194" s="163">
        <v>593.87531822895585</v>
      </c>
      <c r="J194" s="517">
        <v>3.7435018737180352E-2</v>
      </c>
    </row>
    <row r="195" spans="2:10" x14ac:dyDescent="0.2">
      <c r="B195" s="518" t="s">
        <v>556</v>
      </c>
      <c r="C195" s="519"/>
      <c r="D195" s="520">
        <v>9.1981648364208149E-2</v>
      </c>
      <c r="E195" s="520">
        <v>0.45096568295547568</v>
      </c>
      <c r="F195" s="520">
        <v>0.64462519864190482</v>
      </c>
      <c r="G195" s="520">
        <v>1.2006270051290284E-3</v>
      </c>
      <c r="H195" s="520">
        <v>3.3619043065900807E-2</v>
      </c>
      <c r="I195" s="523">
        <v>108.61119363677463</v>
      </c>
      <c r="J195" s="522">
        <v>8.2993560627705916E-3</v>
      </c>
    </row>
    <row r="196" spans="2:10" x14ac:dyDescent="0.2">
      <c r="B196" s="514" t="s">
        <v>557</v>
      </c>
      <c r="C196" s="515">
        <v>120</v>
      </c>
      <c r="D196" s="164">
        <v>0.14714012220445355</v>
      </c>
      <c r="E196" s="164">
        <v>0.67284873759557995</v>
      </c>
      <c r="F196" s="164">
        <v>0.87122058516492995</v>
      </c>
      <c r="G196" s="164">
        <v>1.1015005888181651E-3</v>
      </c>
      <c r="H196" s="164">
        <v>7.1946583464875646E-2</v>
      </c>
      <c r="I196" s="516">
        <v>93.900466706148052</v>
      </c>
      <c r="J196" s="517">
        <v>1.3276219863207516E-2</v>
      </c>
    </row>
    <row r="197" spans="2:10" x14ac:dyDescent="0.2">
      <c r="B197" s="514"/>
      <c r="C197" s="515">
        <v>175</v>
      </c>
      <c r="D197" s="164">
        <v>0.16732583766444514</v>
      </c>
      <c r="E197" s="164">
        <v>0.89748028004384062</v>
      </c>
      <c r="F197" s="164">
        <v>1.1637806685885441</v>
      </c>
      <c r="G197" s="164">
        <v>1.6660840404998125E-3</v>
      </c>
      <c r="H197" s="164">
        <v>6.5514782612697955E-2</v>
      </c>
      <c r="I197" s="163">
        <v>148.07378857574304</v>
      </c>
      <c r="J197" s="517">
        <v>1.5097543106429754E-2</v>
      </c>
    </row>
    <row r="198" spans="2:10" x14ac:dyDescent="0.2">
      <c r="B198" s="514"/>
      <c r="C198" s="515">
        <v>250</v>
      </c>
      <c r="D198" s="164">
        <v>0.1805359976030515</v>
      </c>
      <c r="E198" s="164">
        <v>0.54954095603983844</v>
      </c>
      <c r="F198" s="164">
        <v>1.4782633787395203</v>
      </c>
      <c r="G198" s="164">
        <v>2.356899730004611E-3</v>
      </c>
      <c r="H198" s="164">
        <v>5.5232629429013608E-2</v>
      </c>
      <c r="I198" s="163">
        <v>209.47024361984035</v>
      </c>
      <c r="J198" s="517">
        <v>1.6289477815695588E-2</v>
      </c>
    </row>
    <row r="199" spans="2:10" x14ac:dyDescent="0.2">
      <c r="B199" s="514"/>
      <c r="C199" s="515">
        <v>500</v>
      </c>
      <c r="D199" s="164">
        <v>0.25944498947339795</v>
      </c>
      <c r="E199" s="164">
        <v>0.96023283250935576</v>
      </c>
      <c r="F199" s="164">
        <v>2.0375224804299736</v>
      </c>
      <c r="G199" s="164">
        <v>3.1549252848218547E-3</v>
      </c>
      <c r="H199" s="164">
        <v>7.7674022556579334E-2</v>
      </c>
      <c r="I199" s="163">
        <v>321.42849811261823</v>
      </c>
      <c r="J199" s="517">
        <v>2.3409296751328711E-2</v>
      </c>
    </row>
    <row r="200" spans="2:10" x14ac:dyDescent="0.2">
      <c r="B200" s="514"/>
      <c r="C200" s="515">
        <v>750</v>
      </c>
      <c r="D200" s="164">
        <v>0.45023702737249466</v>
      </c>
      <c r="E200" s="164">
        <v>1.6557301791771428</v>
      </c>
      <c r="F200" s="164">
        <v>3.6101340709941772</v>
      </c>
      <c r="G200" s="164">
        <v>5.5831560378605417E-3</v>
      </c>
      <c r="H200" s="164">
        <v>0.13588054040812439</v>
      </c>
      <c r="I200" s="163">
        <v>555.276948300458</v>
      </c>
      <c r="J200" s="517">
        <v>4.0624161081092396E-2</v>
      </c>
    </row>
    <row r="201" spans="2:10" x14ac:dyDescent="0.2">
      <c r="B201" s="518" t="s">
        <v>558</v>
      </c>
      <c r="C201" s="519"/>
      <c r="D201" s="520">
        <v>0.22565469196656454</v>
      </c>
      <c r="E201" s="520">
        <v>0.87132044981138446</v>
      </c>
      <c r="F201" s="520">
        <v>1.7483243832655759</v>
      </c>
      <c r="G201" s="520">
        <v>2.6870850329110334E-3</v>
      </c>
      <c r="H201" s="520">
        <v>7.161698332672127E-2</v>
      </c>
      <c r="I201" s="523">
        <v>262.48865035235696</v>
      </c>
      <c r="J201" s="522">
        <v>2.0360457310510196E-2</v>
      </c>
    </row>
    <row r="202" spans="2:10" x14ac:dyDescent="0.2">
      <c r="B202" s="514" t="s">
        <v>559</v>
      </c>
      <c r="C202" s="515">
        <v>15</v>
      </c>
      <c r="D202" s="164">
        <v>7.1819048828458678E-3</v>
      </c>
      <c r="E202" s="164">
        <v>3.7672011175546513E-2</v>
      </c>
      <c r="F202" s="164">
        <v>4.4975817544890176E-2</v>
      </c>
      <c r="G202" s="164">
        <v>9.6006613245633624E-5</v>
      </c>
      <c r="H202" s="164">
        <v>1.7574478777113293E-3</v>
      </c>
      <c r="I202" s="516">
        <v>6.1697403161854645</v>
      </c>
      <c r="J202" s="517">
        <v>6.4801166902622178E-4</v>
      </c>
    </row>
    <row r="203" spans="2:10" x14ac:dyDescent="0.2">
      <c r="B203" s="514"/>
      <c r="C203" s="515">
        <v>50</v>
      </c>
      <c r="D203" s="164">
        <v>7.3792666408913493E-2</v>
      </c>
      <c r="E203" s="164">
        <v>0.30473824913189901</v>
      </c>
      <c r="F203" s="164">
        <v>0.29231406611649952</v>
      </c>
      <c r="G203" s="164">
        <v>4.678567050339248E-4</v>
      </c>
      <c r="H203" s="164">
        <v>1.9521605308308855E-2</v>
      </c>
      <c r="I203" s="516">
        <v>36.190781270156606</v>
      </c>
      <c r="J203" s="517">
        <v>6.6581934764787217E-3</v>
      </c>
    </row>
    <row r="204" spans="2:10" x14ac:dyDescent="0.2">
      <c r="B204" s="514"/>
      <c r="C204" s="515">
        <v>120</v>
      </c>
      <c r="D204" s="164">
        <v>7.810374271153489E-2</v>
      </c>
      <c r="E204" s="164">
        <v>0.50332232895347406</v>
      </c>
      <c r="F204" s="164">
        <v>0.57287495443629188</v>
      </c>
      <c r="G204" s="164">
        <v>9.4086499758322764E-4</v>
      </c>
      <c r="H204" s="164">
        <v>4.101646799779067E-2</v>
      </c>
      <c r="I204" s="516">
        <v>80.206625344088067</v>
      </c>
      <c r="J204" s="517">
        <v>7.0471753566258687E-3</v>
      </c>
    </row>
    <row r="205" spans="2:10" x14ac:dyDescent="0.2">
      <c r="B205" s="514"/>
      <c r="C205" s="515">
        <v>175</v>
      </c>
      <c r="D205" s="164">
        <v>0.10571615502473795</v>
      </c>
      <c r="E205" s="164">
        <v>0.8279737512036095</v>
      </c>
      <c r="F205" s="164">
        <v>0.89882635149752432</v>
      </c>
      <c r="G205" s="164">
        <v>1.73889074123248E-3</v>
      </c>
      <c r="H205" s="164">
        <v>4.3976769711719058E-2</v>
      </c>
      <c r="I205" s="163">
        <v>154.54449713779886</v>
      </c>
      <c r="J205" s="517">
        <v>9.538600391519797E-3</v>
      </c>
    </row>
    <row r="206" spans="2:10" x14ac:dyDescent="0.2">
      <c r="B206" s="514"/>
      <c r="C206" s="515">
        <v>250</v>
      </c>
      <c r="D206" s="164">
        <v>0.12302253206349507</v>
      </c>
      <c r="E206" s="164">
        <v>0.49192953611455909</v>
      </c>
      <c r="F206" s="164">
        <v>1.2833568875364658</v>
      </c>
      <c r="G206" s="164">
        <v>2.8724713971754788E-3</v>
      </c>
      <c r="H206" s="164">
        <v>3.7882252842996816E-2</v>
      </c>
      <c r="I206" s="163">
        <v>255.2918296682156</v>
      </c>
      <c r="J206" s="517">
        <v>1.1100124953019179E-2</v>
      </c>
    </row>
    <row r="207" spans="2:10" x14ac:dyDescent="0.2">
      <c r="B207" s="518" t="s">
        <v>560</v>
      </c>
      <c r="C207" s="519"/>
      <c r="D207" s="520">
        <v>1.5124728663724997E-2</v>
      </c>
      <c r="E207" s="520">
        <v>9.1836020299998405E-2</v>
      </c>
      <c r="F207" s="520">
        <v>0.10980793749261826</v>
      </c>
      <c r="G207" s="520">
        <v>2.1415177255225943E-4</v>
      </c>
      <c r="H207" s="520">
        <v>5.4990030020980211E-3</v>
      </c>
      <c r="I207" s="521">
        <v>16.698257603760101</v>
      </c>
      <c r="J207" s="522">
        <v>1.3646799584865624E-3</v>
      </c>
    </row>
    <row r="208" spans="2:10" x14ac:dyDescent="0.2">
      <c r="B208" s="514" t="s">
        <v>156</v>
      </c>
      <c r="C208" s="515">
        <v>25</v>
      </c>
      <c r="D208" s="164">
        <v>1.7936467057133313E-2</v>
      </c>
      <c r="E208" s="164">
        <v>5.8770205857385224E-2</v>
      </c>
      <c r="F208" s="164">
        <v>0.1090368965594434</v>
      </c>
      <c r="G208" s="164">
        <v>1.7502149758817816E-4</v>
      </c>
      <c r="H208" s="164">
        <v>5.0425710211387054E-3</v>
      </c>
      <c r="I208" s="516">
        <v>13.794137932624324</v>
      </c>
      <c r="J208" s="517">
        <v>1.6183786159938342E-3</v>
      </c>
    </row>
    <row r="209" spans="2:10" x14ac:dyDescent="0.2">
      <c r="B209" s="514"/>
      <c r="C209" s="515">
        <v>50</v>
      </c>
      <c r="D209" s="164">
        <v>2.8760043847205142E-2</v>
      </c>
      <c r="E209" s="164">
        <v>0.2056622084896545</v>
      </c>
      <c r="F209" s="164">
        <v>0.18651098164383836</v>
      </c>
      <c r="G209" s="164">
        <v>3.2989891667688166E-4</v>
      </c>
      <c r="H209" s="164">
        <v>7.8581018865657003E-3</v>
      </c>
      <c r="I209" s="516">
        <v>25.519147952057935</v>
      </c>
      <c r="J209" s="517">
        <v>2.5949730637661525E-3</v>
      </c>
    </row>
    <row r="210" spans="2:10" x14ac:dyDescent="0.2">
      <c r="B210" s="514"/>
      <c r="C210" s="515">
        <v>120</v>
      </c>
      <c r="D210" s="164">
        <v>2.6796729937698459E-2</v>
      </c>
      <c r="E210" s="164">
        <v>0.26859537566333763</v>
      </c>
      <c r="F210" s="164">
        <v>0.21721864162942439</v>
      </c>
      <c r="G210" s="164">
        <v>5.0161814410590484E-4</v>
      </c>
      <c r="H210" s="164">
        <v>1.1434855571113406E-2</v>
      </c>
      <c r="I210" s="516">
        <v>42.7618250658752</v>
      </c>
      <c r="J210" s="517">
        <v>2.4178258407297451E-3</v>
      </c>
    </row>
    <row r="211" spans="2:10" x14ac:dyDescent="0.2">
      <c r="B211" s="518" t="s">
        <v>561</v>
      </c>
      <c r="C211" s="519"/>
      <c r="D211" s="520">
        <v>2.7412378866227712E-2</v>
      </c>
      <c r="E211" s="520">
        <v>0.21612992111069357</v>
      </c>
      <c r="F211" s="520">
        <v>0.1912342208688412</v>
      </c>
      <c r="G211" s="520">
        <v>3.7476121977123277E-4</v>
      </c>
      <c r="H211" s="520">
        <v>8.8197449445848574E-3</v>
      </c>
      <c r="I211" s="521">
        <v>30.277483385422091</v>
      </c>
      <c r="J211" s="522">
        <v>2.4733752035230407E-3</v>
      </c>
    </row>
    <row r="212" spans="2:10" x14ac:dyDescent="0.2">
      <c r="B212" s="514" t="s">
        <v>562</v>
      </c>
      <c r="C212" s="515">
        <v>50</v>
      </c>
      <c r="D212" s="164">
        <v>3.4556405890085552E-2</v>
      </c>
      <c r="E212" s="164">
        <v>0.12700324124760154</v>
      </c>
      <c r="F212" s="164">
        <v>0.11780117004509275</v>
      </c>
      <c r="G212" s="164">
        <v>1.8237658232936213E-4</v>
      </c>
      <c r="H212" s="164">
        <v>8.4909151860732453E-3</v>
      </c>
      <c r="I212" s="516">
        <v>14.107638573766986</v>
      </c>
      <c r="J212" s="517">
        <v>3.117968303707557E-3</v>
      </c>
    </row>
    <row r="213" spans="2:10" x14ac:dyDescent="0.2">
      <c r="B213" s="514"/>
      <c r="C213" s="515">
        <v>120</v>
      </c>
      <c r="D213" s="164">
        <v>7.2211930550261719E-2</v>
      </c>
      <c r="E213" s="164">
        <v>0.40961723999736832</v>
      </c>
      <c r="F213" s="164">
        <v>0.49951580181436711</v>
      </c>
      <c r="G213" s="164">
        <v>7.4801404077727888E-4</v>
      </c>
      <c r="H213" s="164">
        <v>3.6792099863244242E-2</v>
      </c>
      <c r="I213" s="516">
        <v>63.76653542118256</v>
      </c>
      <c r="J213" s="517">
        <v>6.5155663498855697E-3</v>
      </c>
    </row>
    <row r="214" spans="2:10" x14ac:dyDescent="0.2">
      <c r="B214" s="514"/>
      <c r="C214" s="515">
        <v>175</v>
      </c>
      <c r="D214" s="164">
        <v>6.8457597003259249E-2</v>
      </c>
      <c r="E214" s="164">
        <v>0.46854098025669044</v>
      </c>
      <c r="F214" s="164">
        <v>0.55887936353833334</v>
      </c>
      <c r="G214" s="164">
        <v>9.6510976582701662E-4</v>
      </c>
      <c r="H214" s="164">
        <v>2.8181644579758677E-2</v>
      </c>
      <c r="I214" s="516">
        <v>85.774446739820903</v>
      </c>
      <c r="J214" s="517">
        <v>6.1768191850779452E-3</v>
      </c>
    </row>
    <row r="215" spans="2:10" x14ac:dyDescent="0.2">
      <c r="B215" s="514"/>
      <c r="C215" s="515">
        <v>250</v>
      </c>
      <c r="D215" s="164">
        <v>7.7994953502881964E-2</v>
      </c>
      <c r="E215" s="164">
        <v>0.29267420443148173</v>
      </c>
      <c r="F215" s="164">
        <v>0.77322977744069343</v>
      </c>
      <c r="G215" s="164">
        <v>1.5175082428771362E-3</v>
      </c>
      <c r="H215" s="164">
        <v>2.5332506239368512E-2</v>
      </c>
      <c r="I215" s="163">
        <v>134.86904191606959</v>
      </c>
      <c r="J215" s="517">
        <v>7.037360253682381E-3</v>
      </c>
    </row>
    <row r="216" spans="2:10" x14ac:dyDescent="0.2">
      <c r="B216" s="514"/>
      <c r="C216" s="515">
        <v>500</v>
      </c>
      <c r="D216" s="164">
        <v>0.11859940929471054</v>
      </c>
      <c r="E216" s="164">
        <v>0.52479104839517754</v>
      </c>
      <c r="F216" s="164">
        <v>1.1392047914835011</v>
      </c>
      <c r="G216" s="164">
        <v>2.1712271360964912E-3</v>
      </c>
      <c r="H216" s="164">
        <v>3.8543067821150981E-2</v>
      </c>
      <c r="I216" s="163">
        <v>221.20782649391123</v>
      </c>
      <c r="J216" s="517">
        <v>1.0701030043816152E-2</v>
      </c>
    </row>
    <row r="217" spans="2:10" x14ac:dyDescent="0.2">
      <c r="B217" s="514"/>
      <c r="C217" s="515">
        <v>750</v>
      </c>
      <c r="D217" s="164">
        <v>0.18875149633923188</v>
      </c>
      <c r="E217" s="164">
        <v>0.82239482600753011</v>
      </c>
      <c r="F217" s="164">
        <v>1.8408157022464191</v>
      </c>
      <c r="G217" s="164">
        <v>3.4894717807858974E-3</v>
      </c>
      <c r="H217" s="164">
        <v>6.1434534438583134E-2</v>
      </c>
      <c r="I217" s="163">
        <v>347.04792954991177</v>
      </c>
      <c r="J217" s="517">
        <v>1.7030744738661088E-2</v>
      </c>
    </row>
    <row r="218" spans="2:10" x14ac:dyDescent="0.2">
      <c r="B218" s="518" t="s">
        <v>563</v>
      </c>
      <c r="C218" s="519"/>
      <c r="D218" s="520">
        <v>9.8069992580801457E-2</v>
      </c>
      <c r="E218" s="520">
        <v>0.43334223170305519</v>
      </c>
      <c r="F218" s="520">
        <v>0.88546299637614423</v>
      </c>
      <c r="G218" s="520">
        <v>1.6672804347243086E-3</v>
      </c>
      <c r="H218" s="520">
        <v>3.2059710958545172E-2</v>
      </c>
      <c r="I218" s="523">
        <v>165.96920797258946</v>
      </c>
      <c r="J218" s="522">
        <v>8.8486955043367722E-3</v>
      </c>
    </row>
    <row r="219" spans="2:10" x14ac:dyDescent="0.2">
      <c r="B219" s="514" t="s">
        <v>564</v>
      </c>
      <c r="C219" s="515">
        <v>15</v>
      </c>
      <c r="D219" s="164">
        <v>1.2380692046337818E-2</v>
      </c>
      <c r="E219" s="164">
        <v>7.2893803940666746E-2</v>
      </c>
      <c r="F219" s="164">
        <v>8.7026371508192049E-2</v>
      </c>
      <c r="G219" s="164">
        <v>1.8576893177455633E-4</v>
      </c>
      <c r="H219" s="164">
        <v>3.4005905327012401E-3</v>
      </c>
      <c r="I219" s="516">
        <v>11.938198710843665</v>
      </c>
      <c r="J219" s="517">
        <v>1.117089672791506E-3</v>
      </c>
    </row>
    <row r="220" spans="2:10" x14ac:dyDescent="0.2">
      <c r="B220" s="514"/>
      <c r="C220" s="515">
        <v>25</v>
      </c>
      <c r="D220" s="164">
        <v>2.3660473655485563E-2</v>
      </c>
      <c r="E220" s="164">
        <v>8.0756367982835892E-2</v>
      </c>
      <c r="F220" s="164">
        <v>0.14951524037438182</v>
      </c>
      <c r="G220" s="164">
        <v>2.488486301182297E-4</v>
      </c>
      <c r="H220" s="164">
        <v>5.5737301274439675E-3</v>
      </c>
      <c r="I220" s="516">
        <v>19.612749888194728</v>
      </c>
      <c r="J220" s="517">
        <v>2.1348461564804516E-3</v>
      </c>
    </row>
    <row r="221" spans="2:10" x14ac:dyDescent="0.2">
      <c r="B221" s="514"/>
      <c r="C221" s="515">
        <v>50</v>
      </c>
      <c r="D221" s="164">
        <v>5.8120196502632886E-2</v>
      </c>
      <c r="E221" s="164">
        <v>0.30190942062653753</v>
      </c>
      <c r="F221" s="164">
        <v>0.26266583768100554</v>
      </c>
      <c r="G221" s="164">
        <v>4.0787530012704711E-4</v>
      </c>
      <c r="H221" s="164">
        <v>1.5815483068737261E-2</v>
      </c>
      <c r="I221" s="516">
        <v>31.550964789746903</v>
      </c>
      <c r="J221" s="517">
        <v>5.2440926924660208E-3</v>
      </c>
    </row>
    <row r="222" spans="2:10" x14ac:dyDescent="0.2">
      <c r="B222" s="514"/>
      <c r="C222" s="515">
        <v>120</v>
      </c>
      <c r="D222" s="164">
        <v>7.0116746532446331E-2</v>
      </c>
      <c r="E222" s="164">
        <v>0.49958237595612087</v>
      </c>
      <c r="F222" s="164">
        <v>0.48549859496686681</v>
      </c>
      <c r="G222" s="164">
        <v>8.8025906727070495E-4</v>
      </c>
      <c r="H222" s="164">
        <v>3.3620739999875568E-2</v>
      </c>
      <c r="I222" s="516">
        <v>75.04010701718272</v>
      </c>
      <c r="J222" s="517">
        <v>6.3265212608436218E-3</v>
      </c>
    </row>
    <row r="223" spans="2:10" x14ac:dyDescent="0.2">
      <c r="B223" s="514"/>
      <c r="C223" s="515">
        <v>175</v>
      </c>
      <c r="D223" s="164">
        <v>0.10285846027187552</v>
      </c>
      <c r="E223" s="164">
        <v>0.80175064329304457</v>
      </c>
      <c r="F223" s="164">
        <v>0.70990143864944022</v>
      </c>
      <c r="G223" s="164">
        <v>1.5639299386489131E-3</v>
      </c>
      <c r="H223" s="164">
        <v>3.811994122107612E-2</v>
      </c>
      <c r="I223" s="163">
        <v>138.99479404841787</v>
      </c>
      <c r="J223" s="517">
        <v>9.2807541917059363E-3</v>
      </c>
    </row>
    <row r="224" spans="2:10" x14ac:dyDescent="0.2">
      <c r="B224" s="514"/>
      <c r="C224" s="515">
        <v>250</v>
      </c>
      <c r="D224" s="164">
        <v>9.3561424968303566E-2</v>
      </c>
      <c r="E224" s="164">
        <v>0.32323606024629553</v>
      </c>
      <c r="F224" s="164">
        <v>0.69698323098442272</v>
      </c>
      <c r="G224" s="164">
        <v>1.8229852113601415E-3</v>
      </c>
      <c r="H224" s="164">
        <v>2.2974029172138442E-2</v>
      </c>
      <c r="I224" s="163">
        <v>162.01846345729928</v>
      </c>
      <c r="J224" s="517">
        <v>8.4418988378758934E-3</v>
      </c>
    </row>
    <row r="225" spans="2:10" x14ac:dyDescent="0.2">
      <c r="B225" s="518" t="s">
        <v>565</v>
      </c>
      <c r="C225" s="519"/>
      <c r="D225" s="520">
        <v>7.3721532072550583E-2</v>
      </c>
      <c r="E225" s="520">
        <v>0.49620447181481309</v>
      </c>
      <c r="F225" s="520">
        <v>0.47263588966533537</v>
      </c>
      <c r="G225" s="520">
        <v>9.1561475063618172E-4</v>
      </c>
      <c r="H225" s="520">
        <v>2.8813916326020306E-2</v>
      </c>
      <c r="I225" s="521">
        <v>78.543298383409677</v>
      </c>
      <c r="J225" s="522">
        <v>6.6517757208549464E-3</v>
      </c>
    </row>
    <row r="226" spans="2:10" x14ac:dyDescent="0.2">
      <c r="B226" s="514" t="s">
        <v>566</v>
      </c>
      <c r="C226" s="515">
        <v>25</v>
      </c>
      <c r="D226" s="164">
        <v>1.9164568765140683E-2</v>
      </c>
      <c r="E226" s="164">
        <v>6.531765006094116E-2</v>
      </c>
      <c r="F226" s="164">
        <v>0.12130814035309845</v>
      </c>
      <c r="G226" s="164">
        <v>2.0127466877521333E-4</v>
      </c>
      <c r="H226" s="164">
        <v>4.7071280657894846E-3</v>
      </c>
      <c r="I226" s="516">
        <v>15.863261662455161</v>
      </c>
      <c r="J226" s="517">
        <v>1.7291886329660242E-3</v>
      </c>
    </row>
    <row r="227" spans="2:10" x14ac:dyDescent="0.2">
      <c r="B227" s="514"/>
      <c r="C227" s="515">
        <v>50</v>
      </c>
      <c r="D227" s="164">
        <v>5.5523965116998801E-2</v>
      </c>
      <c r="E227" s="164">
        <v>0.28893150720705396</v>
      </c>
      <c r="F227" s="164">
        <v>0.24353978668052945</v>
      </c>
      <c r="G227" s="164">
        <v>3.9231227252369406E-4</v>
      </c>
      <c r="H227" s="164">
        <v>1.4052530312152495E-2</v>
      </c>
      <c r="I227" s="516">
        <v>30.347105632995703</v>
      </c>
      <c r="J227" s="517">
        <v>5.0098380637885621E-3</v>
      </c>
    </row>
    <row r="228" spans="2:10" x14ac:dyDescent="0.2">
      <c r="B228" s="514"/>
      <c r="C228" s="515">
        <v>120</v>
      </c>
      <c r="D228" s="164">
        <v>4.7711863247438695E-2</v>
      </c>
      <c r="E228" s="164">
        <v>0.34417522865370337</v>
      </c>
      <c r="F228" s="164">
        <v>0.32159347267401572</v>
      </c>
      <c r="G228" s="164">
        <v>6.0679640851880043E-4</v>
      </c>
      <c r="H228" s="164">
        <v>2.1657578570231765E-2</v>
      </c>
      <c r="I228" s="516">
        <v>51.728017895129099</v>
      </c>
      <c r="J228" s="517">
        <v>4.3049644521646205E-3</v>
      </c>
    </row>
    <row r="229" spans="2:10" x14ac:dyDescent="0.2">
      <c r="B229" s="514"/>
      <c r="C229" s="515">
        <v>175</v>
      </c>
      <c r="D229" s="164">
        <v>7.2614161526294269E-2</v>
      </c>
      <c r="E229" s="164">
        <v>0.5846939573229748</v>
      </c>
      <c r="F229" s="164">
        <v>0.48855619252693749</v>
      </c>
      <c r="G229" s="164">
        <v>1.1407764232780864E-3</v>
      </c>
      <c r="H229" s="164">
        <v>2.5388491342403442E-2</v>
      </c>
      <c r="I229" s="163">
        <v>101.38689517280729</v>
      </c>
      <c r="J229" s="517">
        <v>6.551859694740864E-3</v>
      </c>
    </row>
    <row r="230" spans="2:10" x14ac:dyDescent="0.2">
      <c r="B230" s="514"/>
      <c r="C230" s="515">
        <v>250</v>
      </c>
      <c r="D230" s="164">
        <v>9.6841773367216583E-2</v>
      </c>
      <c r="E230" s="164">
        <v>0.35064232859171485</v>
      </c>
      <c r="F230" s="164">
        <v>0.68873215325870607</v>
      </c>
      <c r="G230" s="164">
        <v>1.9323358501469048E-3</v>
      </c>
      <c r="H230" s="164">
        <v>2.2909657162692845E-2</v>
      </c>
      <c r="I230" s="163">
        <v>171.73699655433703</v>
      </c>
      <c r="J230" s="517">
        <v>8.7378787927074771E-3</v>
      </c>
    </row>
    <row r="231" spans="2:10" x14ac:dyDescent="0.2">
      <c r="B231" s="514"/>
      <c r="C231" s="515">
        <v>500</v>
      </c>
      <c r="D231" s="164">
        <v>0.18856711905698509</v>
      </c>
      <c r="E231" s="164">
        <v>0.68587714598491512</v>
      </c>
      <c r="F231" s="164">
        <v>1.2314658275599117</v>
      </c>
      <c r="G231" s="164">
        <v>3.8801928545720067E-3</v>
      </c>
      <c r="H231" s="164">
        <v>4.3831726102880608E-2</v>
      </c>
      <c r="I231" s="163">
        <v>344.85337233858525</v>
      </c>
      <c r="J231" s="517">
        <v>1.7014113074555651E-2</v>
      </c>
    </row>
    <row r="232" spans="2:10" x14ac:dyDescent="0.2">
      <c r="B232" s="514"/>
      <c r="C232" s="515">
        <v>750</v>
      </c>
      <c r="D232" s="164">
        <v>0.28422037068317857</v>
      </c>
      <c r="E232" s="164">
        <v>1.0286193605614011</v>
      </c>
      <c r="F232" s="164">
        <v>1.9040069336454419</v>
      </c>
      <c r="G232" s="164">
        <v>5.8202899635298403E-3</v>
      </c>
      <c r="H232" s="164">
        <v>6.6825552484231374E-2</v>
      </c>
      <c r="I232" s="163">
        <v>517.28024179964245</v>
      </c>
      <c r="J232" s="517">
        <v>2.5644745508411393E-2</v>
      </c>
    </row>
    <row r="233" spans="2:10" x14ac:dyDescent="0.2">
      <c r="B233" s="518" t="s">
        <v>567</v>
      </c>
      <c r="C233" s="519"/>
      <c r="D233" s="520">
        <v>5.5892197731886563E-2</v>
      </c>
      <c r="E233" s="520">
        <v>0.36663307841725767</v>
      </c>
      <c r="F233" s="520">
        <v>0.36805773461948904</v>
      </c>
      <c r="G233" s="520">
        <v>7.7503262014556114E-4</v>
      </c>
      <c r="H233" s="520">
        <v>2.2181206972807097E-2</v>
      </c>
      <c r="I233" s="521">
        <v>66.79715841551311</v>
      </c>
      <c r="J233" s="522">
        <v>5.0430631494101348E-3</v>
      </c>
    </row>
    <row r="234" spans="2:10" x14ac:dyDescent="0.2">
      <c r="B234" s="514" t="s">
        <v>568</v>
      </c>
      <c r="C234" s="515">
        <v>15</v>
      </c>
      <c r="D234" s="164">
        <v>9.8532246712736919E-3</v>
      </c>
      <c r="E234" s="164">
        <v>5.1684167753732864E-2</v>
      </c>
      <c r="F234" s="164">
        <v>6.1704649517408713E-2</v>
      </c>
      <c r="G234" s="164">
        <v>1.3171645436443194E-4</v>
      </c>
      <c r="H234" s="164">
        <v>2.4111333684379245E-3</v>
      </c>
      <c r="I234" s="516">
        <v>8.4645855758790649</v>
      </c>
      <c r="J234" s="517">
        <v>8.8904051099517186E-4</v>
      </c>
    </row>
    <row r="235" spans="2:10" x14ac:dyDescent="0.2">
      <c r="B235" s="514"/>
      <c r="C235" s="515">
        <v>25</v>
      </c>
      <c r="D235" s="164">
        <v>3.9711477965137118E-2</v>
      </c>
      <c r="E235" s="164">
        <v>0.13554059848839714</v>
      </c>
      <c r="F235" s="164">
        <v>0.25094475581332909</v>
      </c>
      <c r="G235" s="164">
        <v>4.1766491239854251E-4</v>
      </c>
      <c r="H235" s="164">
        <v>9.3567551533129938E-3</v>
      </c>
      <c r="I235" s="516">
        <v>32.917834511388328</v>
      </c>
      <c r="J235" s="517">
        <v>3.5831032281210518E-3</v>
      </c>
    </row>
    <row r="236" spans="2:10" x14ac:dyDescent="0.2">
      <c r="B236" s="514"/>
      <c r="C236" s="515">
        <v>50</v>
      </c>
      <c r="D236" s="164">
        <v>0.12219813188498894</v>
      </c>
      <c r="E236" s="164">
        <v>0.37282822708076652</v>
      </c>
      <c r="F236" s="164">
        <v>0.3051434176565363</v>
      </c>
      <c r="G236" s="164">
        <v>4.2554525177548544E-4</v>
      </c>
      <c r="H236" s="164">
        <v>2.7369696107253656E-2</v>
      </c>
      <c r="I236" s="516">
        <v>32.917822298587538</v>
      </c>
      <c r="J236" s="517">
        <v>1.102574280458047E-2</v>
      </c>
    </row>
    <row r="237" spans="2:10" x14ac:dyDescent="0.2">
      <c r="B237" s="514"/>
      <c r="C237" s="515">
        <v>120</v>
      </c>
      <c r="D237" s="164">
        <v>0.10178440184159934</v>
      </c>
      <c r="E237" s="164">
        <v>0.45291787527851779</v>
      </c>
      <c r="F237" s="164">
        <v>0.62660781637876339</v>
      </c>
      <c r="G237" s="164">
        <v>7.6125329111501364E-4</v>
      </c>
      <c r="H237" s="164">
        <v>5.1379617128485482E-2</v>
      </c>
      <c r="I237" s="516">
        <v>64.895141602383589</v>
      </c>
      <c r="J237" s="517">
        <v>9.1838449241650067E-3</v>
      </c>
    </row>
    <row r="238" spans="2:10" x14ac:dyDescent="0.2">
      <c r="B238" s="514"/>
      <c r="C238" s="515">
        <v>175</v>
      </c>
      <c r="D238" s="164">
        <v>0.15901883442932857</v>
      </c>
      <c r="E238" s="164">
        <v>0.84636908878603134</v>
      </c>
      <c r="F238" s="164">
        <v>1.1893036677250612</v>
      </c>
      <c r="G238" s="164">
        <v>1.6190984640390817E-3</v>
      </c>
      <c r="H238" s="164">
        <v>6.5294187062067674E-2</v>
      </c>
      <c r="I238" s="163">
        <v>143.89794804275431</v>
      </c>
      <c r="J238" s="517">
        <v>1.4348013574156363E-2</v>
      </c>
    </row>
    <row r="239" spans="2:10" x14ac:dyDescent="0.2">
      <c r="B239" s="514"/>
      <c r="C239" s="515">
        <v>250</v>
      </c>
      <c r="D239" s="164">
        <v>0.18834891832810088</v>
      </c>
      <c r="E239" s="164">
        <v>0.60308429948408648</v>
      </c>
      <c r="F239" s="164">
        <v>1.6715007094468997</v>
      </c>
      <c r="G239" s="164">
        <v>2.5080153809071935E-3</v>
      </c>
      <c r="H239" s="164">
        <v>6.3484532620195308E-2</v>
      </c>
      <c r="I239" s="163">
        <v>222.90069586854381</v>
      </c>
      <c r="J239" s="517">
        <v>1.699442167783953E-2</v>
      </c>
    </row>
    <row r="240" spans="2:10" x14ac:dyDescent="0.2">
      <c r="B240" s="514"/>
      <c r="C240" s="515">
        <v>500</v>
      </c>
      <c r="D240" s="164">
        <v>0.2433028534184602</v>
      </c>
      <c r="E240" s="164">
        <v>1.008576453536562</v>
      </c>
      <c r="F240" s="164">
        <v>2.1048399772969701</v>
      </c>
      <c r="G240" s="164">
        <v>3.0555948780489404E-3</v>
      </c>
      <c r="H240" s="164">
        <v>8.0522820182100469E-2</v>
      </c>
      <c r="I240" s="163">
        <v>311.30846606501302</v>
      </c>
      <c r="J240" s="517">
        <v>2.1952825719526919E-2</v>
      </c>
    </row>
    <row r="241" spans="2:10" x14ac:dyDescent="0.2">
      <c r="B241" s="514"/>
      <c r="C241" s="515">
        <v>750</v>
      </c>
      <c r="D241" s="164">
        <v>0.46103158012660833</v>
      </c>
      <c r="E241" s="164">
        <v>1.8971052177535168</v>
      </c>
      <c r="F241" s="164">
        <v>4.0616120575757781</v>
      </c>
      <c r="G241" s="164">
        <v>5.9008951086984944E-3</v>
      </c>
      <c r="H241" s="164">
        <v>0.15352152912216807</v>
      </c>
      <c r="I241" s="163">
        <v>586.87778167326519</v>
      </c>
      <c r="J241" s="517">
        <v>4.1598146629055872E-2</v>
      </c>
    </row>
    <row r="242" spans="2:10" x14ac:dyDescent="0.2">
      <c r="B242" s="518" t="s">
        <v>569</v>
      </c>
      <c r="C242" s="519"/>
      <c r="D242" s="520">
        <v>0.11290586934271991</v>
      </c>
      <c r="E242" s="520">
        <v>0.44217782756966606</v>
      </c>
      <c r="F242" s="520">
        <v>0.54102622460856287</v>
      </c>
      <c r="G242" s="520">
        <v>6.9604335701525311E-4</v>
      </c>
      <c r="H242" s="520">
        <v>4.2273338254712564E-2</v>
      </c>
      <c r="I242" s="521">
        <v>58.714088419608387</v>
      </c>
      <c r="J242" s="522">
        <v>1.0187316821628746E-2</v>
      </c>
    </row>
    <row r="243" spans="2:10" x14ac:dyDescent="0.2">
      <c r="B243" s="514" t="s">
        <v>570</v>
      </c>
      <c r="C243" s="515">
        <v>15</v>
      </c>
      <c r="D243" s="164">
        <v>8.6394761899301533E-3</v>
      </c>
      <c r="E243" s="164">
        <v>3.9370567808524284E-2</v>
      </c>
      <c r="F243" s="164">
        <v>5.3616226136186503E-2</v>
      </c>
      <c r="G243" s="164">
        <v>9.6592047661233792E-5</v>
      </c>
      <c r="H243" s="164">
        <v>3.0068643462612672E-3</v>
      </c>
      <c r="I243" s="516">
        <v>6.2073617412885556</v>
      </c>
      <c r="J243" s="517">
        <v>7.7952608503042379E-4</v>
      </c>
    </row>
    <row r="244" spans="2:10" x14ac:dyDescent="0.2">
      <c r="B244" s="514"/>
      <c r="C244" s="515">
        <v>25</v>
      </c>
      <c r="D244" s="164">
        <v>1.6591854384658971E-2</v>
      </c>
      <c r="E244" s="164">
        <v>5.1114128702462784E-2</v>
      </c>
      <c r="F244" s="164">
        <v>9.4134272577426736E-2</v>
      </c>
      <c r="G244" s="164">
        <v>1.4319939093232706E-4</v>
      </c>
      <c r="H244" s="164">
        <v>4.8748399798943642E-3</v>
      </c>
      <c r="I244" s="516">
        <v>11.286113011637596</v>
      </c>
      <c r="J244" s="517">
        <v>1.4970564411385195E-3</v>
      </c>
    </row>
    <row r="245" spans="2:10" x14ac:dyDescent="0.2">
      <c r="B245" s="514"/>
      <c r="C245" s="515">
        <v>50</v>
      </c>
      <c r="D245" s="164">
        <v>6.3830224325951174E-2</v>
      </c>
      <c r="E245" s="164">
        <v>0.24084330766194162</v>
      </c>
      <c r="F245" s="164">
        <v>0.21834039855370929</v>
      </c>
      <c r="G245" s="164">
        <v>3.3557286377262094E-4</v>
      </c>
      <c r="H245" s="164">
        <v>1.6196063398619231E-2</v>
      </c>
      <c r="I245" s="516">
        <v>25.958059708320636</v>
      </c>
      <c r="J245" s="517">
        <v>5.7592985786854949E-3</v>
      </c>
    </row>
    <row r="246" spans="2:10" x14ac:dyDescent="0.2">
      <c r="B246" s="514"/>
      <c r="C246" s="515">
        <v>120</v>
      </c>
      <c r="D246" s="164">
        <v>4.4426520905127311E-2</v>
      </c>
      <c r="E246" s="164">
        <v>0.25590986432177276</v>
      </c>
      <c r="F246" s="164">
        <v>0.30326147106221352</v>
      </c>
      <c r="G246" s="164">
        <v>4.6337163541687143E-4</v>
      </c>
      <c r="H246" s="164">
        <v>2.3405592574605928E-2</v>
      </c>
      <c r="I246" s="516">
        <v>39.501391304354584</v>
      </c>
      <c r="J246" s="517">
        <v>4.0085333999316155E-3</v>
      </c>
    </row>
    <row r="247" spans="2:10" x14ac:dyDescent="0.2">
      <c r="B247" s="514"/>
      <c r="C247" s="515">
        <v>175</v>
      </c>
      <c r="D247" s="164">
        <v>7.7411672248221264E-2</v>
      </c>
      <c r="E247" s="164">
        <v>0.54038936460420728</v>
      </c>
      <c r="F247" s="164">
        <v>0.62144370828732443</v>
      </c>
      <c r="G247" s="164">
        <v>1.1047966112952229E-3</v>
      </c>
      <c r="H247" s="164">
        <v>3.2154999824177279E-2</v>
      </c>
      <c r="I247" s="516">
        <v>98.189146616336004</v>
      </c>
      <c r="J247" s="517">
        <v>6.9847320190802448E-3</v>
      </c>
    </row>
    <row r="248" spans="2:10" x14ac:dyDescent="0.2">
      <c r="B248" s="514"/>
      <c r="C248" s="515">
        <v>250</v>
      </c>
      <c r="D248" s="164">
        <v>6.568132727756E-2</v>
      </c>
      <c r="E248" s="164">
        <v>0.23835845551197113</v>
      </c>
      <c r="F248" s="164">
        <v>0.65818226969287918</v>
      </c>
      <c r="G248" s="164">
        <v>1.3397242246388486E-3</v>
      </c>
      <c r="H248" s="164">
        <v>1.9985351311305501E-2</v>
      </c>
      <c r="I248" s="163">
        <v>119.06847610091764</v>
      </c>
      <c r="J248" s="517">
        <v>5.9263214247961288E-3</v>
      </c>
    </row>
    <row r="249" spans="2:10" x14ac:dyDescent="0.2">
      <c r="B249" s="514"/>
      <c r="C249" s="515">
        <v>500</v>
      </c>
      <c r="D249" s="164">
        <v>8.6545085179389886E-2</v>
      </c>
      <c r="E249" s="164">
        <v>0.3263249364663045</v>
      </c>
      <c r="F249" s="164">
        <v>0.80958534652574443</v>
      </c>
      <c r="G249" s="164">
        <v>1.6450365036587598E-3</v>
      </c>
      <c r="H249" s="164">
        <v>2.6400549431175997E-2</v>
      </c>
      <c r="I249" s="163">
        <v>167.59875847898977</v>
      </c>
      <c r="J249" s="517">
        <v>7.8088217846110459E-3</v>
      </c>
    </row>
    <row r="250" spans="2:10" ht="10.8" thickBot="1" x14ac:dyDescent="0.25">
      <c r="B250" s="525" t="s">
        <v>571</v>
      </c>
      <c r="C250" s="526"/>
      <c r="D250" s="527">
        <v>4.3370226484823589E-2</v>
      </c>
      <c r="E250" s="527">
        <v>0.19120066454317311</v>
      </c>
      <c r="F250" s="527">
        <v>0.20541322111991117</v>
      </c>
      <c r="G250" s="527">
        <v>3.1746438372093436E-4</v>
      </c>
      <c r="H250" s="527">
        <v>1.5040815694295762E-2</v>
      </c>
      <c r="I250" s="528">
        <v>25.602677718153867</v>
      </c>
      <c r="J250" s="529">
        <v>3.9132258020810676E-3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workbookViewId="0">
      <selection activeCell="I19" sqref="I19:J1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2018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1.0072183331826927E-2</v>
      </c>
      <c r="E9" s="164">
        <v>5.2832692584202909E-2</v>
      </c>
      <c r="F9" s="164">
        <v>6.3075849462070399E-2</v>
      </c>
      <c r="G9" s="164">
        <v>1.3464347544723902E-4</v>
      </c>
      <c r="H9" s="164">
        <v>2.4627673208624792E-3</v>
      </c>
      <c r="I9" s="516">
        <v>8.6526862686781705</v>
      </c>
      <c r="J9" s="517">
        <v>9.0879707094361647E-4</v>
      </c>
    </row>
    <row r="10" spans="1:10" x14ac:dyDescent="0.2">
      <c r="B10" s="514"/>
      <c r="C10" s="515">
        <v>25</v>
      </c>
      <c r="D10" s="164">
        <v>1.4293755953964867E-2</v>
      </c>
      <c r="E10" s="164">
        <v>4.6793023463179435E-2</v>
      </c>
      <c r="F10" s="164">
        <v>8.6534624197211002E-2</v>
      </c>
      <c r="G10" s="164">
        <v>1.3906252672512323E-4</v>
      </c>
      <c r="H10" s="164">
        <v>3.8836999238977894E-3</v>
      </c>
      <c r="I10" s="516">
        <v>10.960070712331031</v>
      </c>
      <c r="J10" s="517">
        <v>1.2897024020210733E-3</v>
      </c>
    </row>
    <row r="11" spans="1:10" x14ac:dyDescent="0.2">
      <c r="B11" s="514"/>
      <c r="C11" s="515">
        <v>50</v>
      </c>
      <c r="D11" s="164">
        <v>3.363844335969892E-2</v>
      </c>
      <c r="E11" s="164">
        <v>0.15060495849157657</v>
      </c>
      <c r="F11" s="164">
        <v>0.15247769287440058</v>
      </c>
      <c r="G11" s="164">
        <v>2.535439422423813E-4</v>
      </c>
      <c r="H11" s="164">
        <v>9.253854831418707E-3</v>
      </c>
      <c r="I11" s="516">
        <v>19.612751749132372</v>
      </c>
      <c r="J11" s="517">
        <v>3.0351421780668098E-3</v>
      </c>
    </row>
    <row r="12" spans="1:10" x14ac:dyDescent="0.2">
      <c r="B12" s="514"/>
      <c r="C12" s="515">
        <v>120</v>
      </c>
      <c r="D12" s="164">
        <v>3.2686093214011364E-2</v>
      </c>
      <c r="E12" s="164">
        <v>0.23191105405808568</v>
      </c>
      <c r="F12" s="164">
        <v>0.25652894420864331</v>
      </c>
      <c r="G12" s="164">
        <v>4.466019753080203E-4</v>
      </c>
      <c r="H12" s="164">
        <v>1.6950602369484331E-2</v>
      </c>
      <c r="I12" s="516">
        <v>38.071830204285249</v>
      </c>
      <c r="J12" s="517">
        <v>2.9492141591912126E-3</v>
      </c>
    </row>
    <row r="13" spans="1:10" x14ac:dyDescent="0.2">
      <c r="B13" s="514"/>
      <c r="C13" s="515">
        <v>500</v>
      </c>
      <c r="D13" s="164">
        <v>8.402111424613691E-2</v>
      </c>
      <c r="E13" s="164">
        <v>0.38994916635507737</v>
      </c>
      <c r="F13" s="164">
        <v>0.88517790881051328</v>
      </c>
      <c r="G13" s="164">
        <v>2.089252408096434E-3</v>
      </c>
      <c r="H13" s="164">
        <v>2.699241524126152E-2</v>
      </c>
      <c r="I13" s="163">
        <v>212.85612518050968</v>
      </c>
      <c r="J13" s="517">
        <v>7.5810888742155408E-3</v>
      </c>
    </row>
    <row r="14" spans="1:10" x14ac:dyDescent="0.2">
      <c r="B14" s="514"/>
      <c r="C14" s="515">
        <v>750</v>
      </c>
      <c r="D14" s="164">
        <v>0.15448260158697247</v>
      </c>
      <c r="E14" s="164">
        <v>0.70486749467324572</v>
      </c>
      <c r="F14" s="164">
        <v>1.6423390998455605</v>
      </c>
      <c r="G14" s="164">
        <v>3.8686167961737732E-3</v>
      </c>
      <c r="H14" s="164">
        <v>4.9416683324904967E-2</v>
      </c>
      <c r="I14" s="163">
        <v>384.75616583319436</v>
      </c>
      <c r="J14" s="517">
        <v>1.3938717400643272E-2</v>
      </c>
    </row>
    <row r="15" spans="1:10" x14ac:dyDescent="0.2">
      <c r="B15" s="518" t="s">
        <v>505</v>
      </c>
      <c r="C15" s="519"/>
      <c r="D15" s="520">
        <v>3.2170431716642849E-2</v>
      </c>
      <c r="E15" s="520">
        <v>0.1740139097674025</v>
      </c>
      <c r="F15" s="520">
        <v>0.21519247422073778</v>
      </c>
      <c r="G15" s="520">
        <v>3.9920789235994337E-4</v>
      </c>
      <c r="H15" s="520">
        <v>1.188547797479007E-2</v>
      </c>
      <c r="I15" s="521">
        <v>34.721701255801349</v>
      </c>
      <c r="J15" s="522">
        <v>2.902686256735309E-3</v>
      </c>
    </row>
    <row r="16" spans="1:10" x14ac:dyDescent="0.2">
      <c r="B16" s="514" t="s">
        <v>506</v>
      </c>
      <c r="C16" s="515">
        <v>15</v>
      </c>
      <c r="D16" s="164">
        <v>9.7921921527383254E-3</v>
      </c>
      <c r="E16" s="164">
        <v>4.5559689896789747E-2</v>
      </c>
      <c r="F16" s="164">
        <v>6.0773735839607664E-2</v>
      </c>
      <c r="G16" s="164">
        <v>1.1239801291934432E-4</v>
      </c>
      <c r="H16" s="164">
        <v>3.2927790283123468E-3</v>
      </c>
      <c r="I16" s="516">
        <v>7.2231114548009776</v>
      </c>
      <c r="J16" s="517">
        <v>8.8353361292339676E-4</v>
      </c>
    </row>
    <row r="17" spans="2:10" x14ac:dyDescent="0.2">
      <c r="B17" s="514"/>
      <c r="C17" s="515">
        <v>25</v>
      </c>
      <c r="D17" s="164">
        <v>2.0654372584252335E-2</v>
      </c>
      <c r="E17" s="164">
        <v>6.4545186613325978E-2</v>
      </c>
      <c r="F17" s="164">
        <v>0.11870865496944524</v>
      </c>
      <c r="G17" s="164">
        <v>1.832951923368028E-4</v>
      </c>
      <c r="H17" s="164">
        <v>5.9546658098571714E-3</v>
      </c>
      <c r="I17" s="516">
        <v>14.446226153334161</v>
      </c>
      <c r="J17" s="517">
        <v>1.8636111767565537E-3</v>
      </c>
    </row>
    <row r="18" spans="2:10" x14ac:dyDescent="0.2">
      <c r="B18" s="514"/>
      <c r="C18" s="515">
        <v>50</v>
      </c>
      <c r="D18" s="164">
        <v>5.1782234484234531E-2</v>
      </c>
      <c r="E18" s="164">
        <v>0.21417367154060452</v>
      </c>
      <c r="F18" s="164">
        <v>0.18478762866478282</v>
      </c>
      <c r="G18" s="164">
        <v>2.8791179873332629E-4</v>
      </c>
      <c r="H18" s="164">
        <v>1.3056170295917978E-2</v>
      </c>
      <c r="I18" s="516">
        <v>22.27125815267382</v>
      </c>
      <c r="J18" s="517">
        <v>4.6722271755845939E-3</v>
      </c>
    </row>
    <row r="19" spans="2:10" x14ac:dyDescent="0.2">
      <c r="B19" s="514"/>
      <c r="C19" s="515">
        <v>120</v>
      </c>
      <c r="D19" s="164">
        <v>5.0416153809851365E-2</v>
      </c>
      <c r="E19" s="164">
        <v>0.30972343791112278</v>
      </c>
      <c r="F19" s="164">
        <v>0.33701545603863431</v>
      </c>
      <c r="G19" s="164">
        <v>5.5075018393990012E-4</v>
      </c>
      <c r="H19" s="164">
        <v>2.5498023136350873E-2</v>
      </c>
      <c r="I19" s="516">
        <v>46.950229999212652</v>
      </c>
      <c r="J19" s="517">
        <v>4.5489685812083744E-3</v>
      </c>
    </row>
    <row r="20" spans="2:10" x14ac:dyDescent="0.2">
      <c r="B20" s="514"/>
      <c r="C20" s="515">
        <v>175</v>
      </c>
      <c r="D20" s="164">
        <v>6.8461507807313735E-2</v>
      </c>
      <c r="E20" s="164">
        <v>0.49940297698721364</v>
      </c>
      <c r="F20" s="164">
        <v>0.50685173840554276</v>
      </c>
      <c r="G20" s="164">
        <v>9.9558663301302646E-4</v>
      </c>
      <c r="H20" s="164">
        <v>2.6829627414223688E-2</v>
      </c>
      <c r="I20" s="516">
        <v>88.483110123849656</v>
      </c>
      <c r="J20" s="517">
        <v>6.1771717709019399E-3</v>
      </c>
    </row>
    <row r="21" spans="2:10" x14ac:dyDescent="0.2">
      <c r="B21" s="514"/>
      <c r="C21" s="515">
        <v>250</v>
      </c>
      <c r="D21" s="164">
        <v>7.4726699787438386E-2</v>
      </c>
      <c r="E21" s="164">
        <v>0.26525976408543472</v>
      </c>
      <c r="F21" s="164">
        <v>0.65290474403307741</v>
      </c>
      <c r="G21" s="164">
        <v>1.4764486875331339E-3</v>
      </c>
      <c r="H21" s="164">
        <v>2.0557763938608364E-2</v>
      </c>
      <c r="I21" s="163">
        <v>131.21987433770693</v>
      </c>
      <c r="J21" s="517">
        <v>6.7424711241242776E-3</v>
      </c>
    </row>
    <row r="22" spans="2:10" x14ac:dyDescent="0.2">
      <c r="B22" s="514"/>
      <c r="C22" s="515">
        <v>500</v>
      </c>
      <c r="D22" s="164">
        <v>0.12616953679003201</v>
      </c>
      <c r="E22" s="164">
        <v>0.45039438874110466</v>
      </c>
      <c r="F22" s="164">
        <v>1.0160706951444545</v>
      </c>
      <c r="G22" s="164">
        <v>2.2746186244811234E-3</v>
      </c>
      <c r="H22" s="164">
        <v>3.4489831310911274E-2</v>
      </c>
      <c r="I22" s="163">
        <v>231.74146035155189</v>
      </c>
      <c r="J22" s="517">
        <v>1.1384074986695114E-2</v>
      </c>
    </row>
    <row r="23" spans="2:10" x14ac:dyDescent="0.2">
      <c r="B23" s="514"/>
      <c r="C23" s="515">
        <v>750</v>
      </c>
      <c r="D23" s="164">
        <v>0.19597517301941128</v>
      </c>
      <c r="E23" s="164">
        <v>0.69606390755323322</v>
      </c>
      <c r="F23" s="164">
        <v>1.6133734450883328</v>
      </c>
      <c r="G23" s="164">
        <v>3.601058706737951E-3</v>
      </c>
      <c r="H23" s="164">
        <v>5.4041836717220557E-2</v>
      </c>
      <c r="I23" s="163">
        <v>358.14581739875052</v>
      </c>
      <c r="J23" s="517">
        <v>1.7682523073933608E-2</v>
      </c>
    </row>
    <row r="24" spans="2:10" x14ac:dyDescent="0.2">
      <c r="B24" s="514"/>
      <c r="C24" s="515">
        <v>1000</v>
      </c>
      <c r="D24" s="164">
        <v>0.29577256283792047</v>
      </c>
      <c r="E24" s="164">
        <v>1.0416181286898123</v>
      </c>
      <c r="F24" s="164">
        <v>3.7257257190259359</v>
      </c>
      <c r="G24" s="164">
        <v>4.8901778474251993E-3</v>
      </c>
      <c r="H24" s="164">
        <v>9.6483660261467485E-2</v>
      </c>
      <c r="I24" s="163">
        <v>486.35622949180987</v>
      </c>
      <c r="J24" s="517">
        <v>2.6687085720502966E-2</v>
      </c>
    </row>
    <row r="25" spans="2:10" x14ac:dyDescent="0.2">
      <c r="B25" s="518" t="s">
        <v>507</v>
      </c>
      <c r="C25" s="519"/>
      <c r="D25" s="520">
        <v>5.8163886917928967E-2</v>
      </c>
      <c r="E25" s="520">
        <v>0.31302104241305589</v>
      </c>
      <c r="F25" s="520">
        <v>0.39353653045043846</v>
      </c>
      <c r="G25" s="520">
        <v>7.1132450645834428E-4</v>
      </c>
      <c r="H25" s="520">
        <v>2.4633959994713989E-2</v>
      </c>
      <c r="I25" s="521">
        <v>63.607313808702237</v>
      </c>
      <c r="J25" s="522">
        <v>5.2480340407141729E-3</v>
      </c>
    </row>
    <row r="26" spans="2:10" x14ac:dyDescent="0.2">
      <c r="B26" s="514" t="s">
        <v>508</v>
      </c>
      <c r="C26" s="515">
        <v>15</v>
      </c>
      <c r="D26" s="164">
        <v>1.204282796272548E-2</v>
      </c>
      <c r="E26" s="164">
        <v>6.316953043903685E-2</v>
      </c>
      <c r="F26" s="164">
        <v>7.5416760600899024E-2</v>
      </c>
      <c r="G26" s="164">
        <v>1.6098671239989947E-4</v>
      </c>
      <c r="H26" s="164">
        <v>2.9469405216734842E-3</v>
      </c>
      <c r="I26" s="516">
        <v>10.345603786298305</v>
      </c>
      <c r="J26" s="517">
        <v>1.0866051233011842E-3</v>
      </c>
    </row>
    <row r="27" spans="2:10" x14ac:dyDescent="0.2">
      <c r="B27" s="514"/>
      <c r="C27" s="515">
        <v>25</v>
      </c>
      <c r="D27" s="164">
        <v>1.9288432230892331E-2</v>
      </c>
      <c r="E27" s="164">
        <v>6.5834009448779027E-2</v>
      </c>
      <c r="F27" s="164">
        <v>0.12188742354606139</v>
      </c>
      <c r="G27" s="164">
        <v>2.0286578656784955E-4</v>
      </c>
      <c r="H27" s="164">
        <v>4.5508804301591663E-3</v>
      </c>
      <c r="I27" s="516">
        <v>15.988663477516054</v>
      </c>
      <c r="J27" s="517">
        <v>1.7403644858411218E-3</v>
      </c>
    </row>
    <row r="28" spans="2:10" x14ac:dyDescent="0.2">
      <c r="B28" s="514"/>
      <c r="C28" s="515">
        <v>50</v>
      </c>
      <c r="D28" s="164">
        <v>2.0406057473989915E-2</v>
      </c>
      <c r="E28" s="164">
        <v>0.22106580968482642</v>
      </c>
      <c r="F28" s="164">
        <v>0.18966220338277012</v>
      </c>
      <c r="G28" s="164">
        <v>4.0122845045131584E-4</v>
      </c>
      <c r="H28" s="164">
        <v>3.4296779569981542E-3</v>
      </c>
      <c r="I28" s="516">
        <v>31.036810876022102</v>
      </c>
      <c r="J28" s="517">
        <v>1.8412056700901529E-3</v>
      </c>
    </row>
    <row r="29" spans="2:10" x14ac:dyDescent="0.2">
      <c r="B29" s="514"/>
      <c r="C29" s="515">
        <v>120</v>
      </c>
      <c r="D29" s="164">
        <v>3.084874459027305E-2</v>
      </c>
      <c r="E29" s="164">
        <v>0.46650216223168456</v>
      </c>
      <c r="F29" s="164">
        <v>0.27100315469723518</v>
      </c>
      <c r="G29" s="164">
        <v>9.0467818141783509E-4</v>
      </c>
      <c r="H29" s="164">
        <v>7.2412596089498297E-3</v>
      </c>
      <c r="I29" s="516">
        <v>77.121786625322102</v>
      </c>
      <c r="J29" s="517">
        <v>2.7834325013313161E-3</v>
      </c>
    </row>
    <row r="30" spans="2:10" x14ac:dyDescent="0.2">
      <c r="B30" s="514"/>
      <c r="C30" s="515">
        <v>175</v>
      </c>
      <c r="D30" s="164">
        <v>4.7490233503182176E-2</v>
      </c>
      <c r="E30" s="164">
        <v>0.75415137542551391</v>
      </c>
      <c r="F30" s="164">
        <v>0.29096365802623975</v>
      </c>
      <c r="G30" s="164">
        <v>1.5873513798153294E-3</v>
      </c>
      <c r="H30" s="164">
        <v>9.1580923585309146E-3</v>
      </c>
      <c r="I30" s="163">
        <v>141.07638471060324</v>
      </c>
      <c r="J30" s="517">
        <v>4.2849678070148323E-3</v>
      </c>
    </row>
    <row r="31" spans="2:10" x14ac:dyDescent="0.2">
      <c r="B31" s="514"/>
      <c r="C31" s="515">
        <v>250</v>
      </c>
      <c r="D31" s="164">
        <v>5.3756300836553222E-2</v>
      </c>
      <c r="E31" s="164">
        <v>0.34258159342448463</v>
      </c>
      <c r="F31" s="164">
        <v>0.24993161786565121</v>
      </c>
      <c r="G31" s="164">
        <v>2.1164690251013456E-3</v>
      </c>
      <c r="H31" s="164">
        <v>6.828492589484478E-3</v>
      </c>
      <c r="I31" s="163">
        <v>188.10187721977087</v>
      </c>
      <c r="J31" s="517">
        <v>4.8503442831422825E-3</v>
      </c>
    </row>
    <row r="32" spans="2:10" x14ac:dyDescent="0.2">
      <c r="B32" s="514"/>
      <c r="C32" s="515">
        <v>500</v>
      </c>
      <c r="D32" s="164">
        <v>8.866834278743152E-2</v>
      </c>
      <c r="E32" s="164">
        <v>0.55115614474010599</v>
      </c>
      <c r="F32" s="164">
        <v>0.40346806408426422</v>
      </c>
      <c r="G32" s="164">
        <v>3.0555960000074114E-3</v>
      </c>
      <c r="H32" s="164">
        <v>1.120905701743025E-2</v>
      </c>
      <c r="I32" s="163">
        <v>311.30863981080984</v>
      </c>
      <c r="J32" s="517">
        <v>8.0004029323293528E-3</v>
      </c>
    </row>
    <row r="33" spans="2:10" x14ac:dyDescent="0.2">
      <c r="B33" s="514"/>
      <c r="C33" s="515">
        <v>750</v>
      </c>
      <c r="D33" s="164">
        <v>0.17546063710398033</v>
      </c>
      <c r="E33" s="164">
        <v>1.0890622933651037</v>
      </c>
      <c r="F33" s="164">
        <v>0.8022483878236315</v>
      </c>
      <c r="G33" s="164">
        <v>6.1845903501730418E-3</v>
      </c>
      <c r="H33" s="164">
        <v>2.2202415560486518E-2</v>
      </c>
      <c r="I33" s="163">
        <v>615.09307937775452</v>
      </c>
      <c r="J33" s="517">
        <v>1.5831537232547807E-2</v>
      </c>
    </row>
    <row r="34" spans="2:10" x14ac:dyDescent="0.2">
      <c r="B34" s="514"/>
      <c r="C34" s="515">
        <v>1000</v>
      </c>
      <c r="D34" s="164">
        <v>0.27892775428828193</v>
      </c>
      <c r="E34" s="164">
        <v>1.6441149319236448</v>
      </c>
      <c r="F34" s="164">
        <v>4.2095205895479744</v>
      </c>
      <c r="G34" s="164">
        <v>9.3336293302706454E-3</v>
      </c>
      <c r="H34" s="164">
        <v>7.2261284045238419E-2</v>
      </c>
      <c r="I34" s="163">
        <v>928.28288714764085</v>
      </c>
      <c r="J34" s="517">
        <v>2.5167199077027337E-2</v>
      </c>
    </row>
    <row r="35" spans="2:10" x14ac:dyDescent="0.2">
      <c r="B35" s="518" t="s">
        <v>509</v>
      </c>
      <c r="C35" s="519"/>
      <c r="D35" s="520">
        <v>5.3909615991318674E-2</v>
      </c>
      <c r="E35" s="520">
        <v>0.50107702473046123</v>
      </c>
      <c r="F35" s="520">
        <v>0.41746551817530281</v>
      </c>
      <c r="G35" s="520">
        <v>1.7460492969232524E-3</v>
      </c>
      <c r="H35" s="520">
        <v>9.9025539338221599E-3</v>
      </c>
      <c r="I35" s="523">
        <v>164.88355845440182</v>
      </c>
      <c r="J35" s="522">
        <v>4.8641780975783389E-3</v>
      </c>
    </row>
    <row r="36" spans="2:10" x14ac:dyDescent="0.2">
      <c r="B36" s="514" t="s">
        <v>510</v>
      </c>
      <c r="C36" s="515">
        <v>15</v>
      </c>
      <c r="D36" s="164">
        <v>7.3570741930485033E-3</v>
      </c>
      <c r="E36" s="164">
        <v>3.8590847564145658E-2</v>
      </c>
      <c r="F36" s="164">
        <v>4.607280643103142E-2</v>
      </c>
      <c r="G36" s="164">
        <v>9.8348264519509243E-5</v>
      </c>
      <c r="H36" s="164">
        <v>1.8174834604128825E-3</v>
      </c>
      <c r="I36" s="516">
        <v>6.3202239973482985</v>
      </c>
      <c r="J36" s="517">
        <v>6.6381688207023349E-4</v>
      </c>
    </row>
    <row r="37" spans="2:10" x14ac:dyDescent="0.2">
      <c r="B37" s="514"/>
      <c r="C37" s="515">
        <v>25</v>
      </c>
      <c r="D37" s="164">
        <v>2.3155147283013402E-2</v>
      </c>
      <c r="E37" s="164">
        <v>7.5382336366505834E-2</v>
      </c>
      <c r="F37" s="164">
        <v>0.13914683087334331</v>
      </c>
      <c r="G37" s="164">
        <v>2.2275455797509167E-4</v>
      </c>
      <c r="H37" s="164">
        <v>6.3620684677818838E-3</v>
      </c>
      <c r="I37" s="516">
        <v>17.55617391327948</v>
      </c>
      <c r="J37" s="517">
        <v>2.0892519450010348E-3</v>
      </c>
    </row>
    <row r="38" spans="2:10" x14ac:dyDescent="0.2">
      <c r="B38" s="518" t="s">
        <v>511</v>
      </c>
      <c r="C38" s="519"/>
      <c r="D38" s="520">
        <v>8.6617625764736066E-3</v>
      </c>
      <c r="E38" s="520">
        <v>4.162928318702204E-2</v>
      </c>
      <c r="F38" s="520">
        <v>5.3759351353123451E-2</v>
      </c>
      <c r="G38" s="520">
        <v>1.0862239383719006E-4</v>
      </c>
      <c r="H38" s="520">
        <v>2.1927993127220198E-3</v>
      </c>
      <c r="I38" s="521">
        <v>7.2481481339554072</v>
      </c>
      <c r="J38" s="522">
        <v>7.8153684433031302E-4</v>
      </c>
    </row>
    <row r="39" spans="2:10" x14ac:dyDescent="0.2">
      <c r="B39" s="514" t="s">
        <v>512</v>
      </c>
      <c r="C39" s="515">
        <v>25</v>
      </c>
      <c r="D39" s="164">
        <v>1.9878429273720112E-2</v>
      </c>
      <c r="E39" s="164">
        <v>6.7847747731901317E-2</v>
      </c>
      <c r="F39" s="164">
        <v>0.12561576469388577</v>
      </c>
      <c r="G39" s="164">
        <v>2.0907110367041851E-4</v>
      </c>
      <c r="H39" s="164">
        <v>4.6896255937339485E-3</v>
      </c>
      <c r="I39" s="516">
        <v>16.477725912006498</v>
      </c>
      <c r="J39" s="517">
        <v>1.7935989656290808E-3</v>
      </c>
    </row>
    <row r="40" spans="2:10" x14ac:dyDescent="0.2">
      <c r="B40" s="514"/>
      <c r="C40" s="515">
        <v>50</v>
      </c>
      <c r="D40" s="164">
        <v>5.4901826336801268E-2</v>
      </c>
      <c r="E40" s="164">
        <v>0.25335175980259539</v>
      </c>
      <c r="F40" s="164">
        <v>0.23880079241621716</v>
      </c>
      <c r="G40" s="164">
        <v>3.9052897596784421E-4</v>
      </c>
      <c r="H40" s="164">
        <v>1.4751521784236497E-2</v>
      </c>
      <c r="I40" s="516">
        <v>30.209155869904876</v>
      </c>
      <c r="J40" s="517">
        <v>4.9537027101793484E-3</v>
      </c>
    </row>
    <row r="41" spans="2:10" x14ac:dyDescent="0.2">
      <c r="B41" s="514"/>
      <c r="C41" s="515">
        <v>120</v>
      </c>
      <c r="D41" s="164">
        <v>6.5035449166983644E-2</v>
      </c>
      <c r="E41" s="164">
        <v>0.4660526350357202</v>
      </c>
      <c r="F41" s="164">
        <v>0.48982019071219368</v>
      </c>
      <c r="G41" s="164">
        <v>8.6981447951418422E-4</v>
      </c>
      <c r="H41" s="164">
        <v>3.3516309506929007E-2</v>
      </c>
      <c r="I41" s="516">
        <v>74.149755370363465</v>
      </c>
      <c r="J41" s="517">
        <v>5.8680430255882874E-3</v>
      </c>
    </row>
    <row r="42" spans="2:10" x14ac:dyDescent="0.2">
      <c r="B42" s="514"/>
      <c r="C42" s="515">
        <v>175</v>
      </c>
      <c r="D42" s="164">
        <v>0.10123747029783571</v>
      </c>
      <c r="E42" s="164">
        <v>0.86613455422982344</v>
      </c>
      <c r="F42" s="164">
        <v>0.83044629383244806</v>
      </c>
      <c r="G42" s="164">
        <v>1.8025262623923061E-3</v>
      </c>
      <c r="H42" s="164">
        <v>4.1041947066849369E-2</v>
      </c>
      <c r="I42" s="163">
        <v>160.20012362194612</v>
      </c>
      <c r="J42" s="517">
        <v>9.1344936779994799E-3</v>
      </c>
    </row>
    <row r="43" spans="2:10" x14ac:dyDescent="0.2">
      <c r="B43" s="518" t="s">
        <v>513</v>
      </c>
      <c r="C43" s="519"/>
      <c r="D43" s="520">
        <v>6.0464275768444792E-2</v>
      </c>
      <c r="E43" s="520">
        <v>0.38503854378176045</v>
      </c>
      <c r="F43" s="520">
        <v>0.39586322417414993</v>
      </c>
      <c r="G43" s="520">
        <v>6.9733455510390281E-4</v>
      </c>
      <c r="H43" s="520">
        <v>2.6077161565346809E-2</v>
      </c>
      <c r="I43" s="521">
        <v>58.463645368493573</v>
      </c>
      <c r="J43" s="522">
        <v>5.4555935202718134E-3</v>
      </c>
    </row>
    <row r="44" spans="2:10" x14ac:dyDescent="0.2">
      <c r="B44" s="514" t="s">
        <v>514</v>
      </c>
      <c r="C44" s="515">
        <v>50</v>
      </c>
      <c r="D44" s="164">
        <v>6.4588545882241832E-2</v>
      </c>
      <c r="E44" s="164">
        <v>0.2527114887789178</v>
      </c>
      <c r="F44" s="164">
        <v>0.2019377409403969</v>
      </c>
      <c r="G44" s="164">
        <v>2.9974602072336003E-4</v>
      </c>
      <c r="H44" s="164">
        <v>1.5129710143249585E-2</v>
      </c>
      <c r="I44" s="516">
        <v>23.186695025517988</v>
      </c>
      <c r="J44" s="517">
        <v>5.8277195386401024E-3</v>
      </c>
    </row>
    <row r="45" spans="2:10" x14ac:dyDescent="0.2">
      <c r="B45" s="514"/>
      <c r="C45" s="515">
        <v>120</v>
      </c>
      <c r="D45" s="164">
        <v>6.3870661682325913E-2</v>
      </c>
      <c r="E45" s="164">
        <v>0.34863034604097226</v>
      </c>
      <c r="F45" s="164">
        <v>0.38574957428306089</v>
      </c>
      <c r="G45" s="164">
        <v>5.8826139268297324E-4</v>
      </c>
      <c r="H45" s="164">
        <v>3.0641628967521616E-2</v>
      </c>
      <c r="I45" s="516">
        <v>50.147969714257975</v>
      </c>
      <c r="J45" s="517">
        <v>5.7629472413349841E-3</v>
      </c>
    </row>
    <row r="46" spans="2:10" x14ac:dyDescent="0.2">
      <c r="B46" s="514"/>
      <c r="C46" s="515">
        <v>175</v>
      </c>
      <c r="D46" s="164">
        <v>7.5220617110253393E-2</v>
      </c>
      <c r="E46" s="164">
        <v>0.47662094962396911</v>
      </c>
      <c r="F46" s="164">
        <v>0.50291514038369978</v>
      </c>
      <c r="G46" s="164">
        <v>9.0401452938601416E-4</v>
      </c>
      <c r="H46" s="164">
        <v>2.8272444681224484E-2</v>
      </c>
      <c r="I46" s="516">
        <v>80.344598398770799</v>
      </c>
      <c r="J46" s="517">
        <v>6.7870341214582757E-3</v>
      </c>
    </row>
    <row r="47" spans="2:10" x14ac:dyDescent="0.2">
      <c r="B47" s="514"/>
      <c r="C47" s="515">
        <v>250</v>
      </c>
      <c r="D47" s="164">
        <v>7.8659531942396901E-2</v>
      </c>
      <c r="E47" s="164">
        <v>0.25213643347863124</v>
      </c>
      <c r="F47" s="164">
        <v>0.61683072392101612</v>
      </c>
      <c r="G47" s="164">
        <v>1.2619803720205467E-3</v>
      </c>
      <c r="H47" s="164">
        <v>2.1188814517060256E-2</v>
      </c>
      <c r="I47" s="163">
        <v>112.15890299921203</v>
      </c>
      <c r="J47" s="517">
        <v>7.0973240081162875E-3</v>
      </c>
    </row>
    <row r="48" spans="2:10" x14ac:dyDescent="0.2">
      <c r="B48" s="514"/>
      <c r="C48" s="515">
        <v>500</v>
      </c>
      <c r="D48" s="164">
        <v>0.12016088121198615</v>
      </c>
      <c r="E48" s="164">
        <v>0.40854464795009471</v>
      </c>
      <c r="F48" s="164">
        <v>0.87484942252360398</v>
      </c>
      <c r="G48" s="164">
        <v>1.7677529466161633E-3</v>
      </c>
      <c r="H48" s="164">
        <v>3.1731744371793019E-2</v>
      </c>
      <c r="I48" s="163">
        <v>180.10127182932982</v>
      </c>
      <c r="J48" s="517">
        <v>1.0841920844072756E-2</v>
      </c>
    </row>
    <row r="49" spans="2:10" x14ac:dyDescent="0.2">
      <c r="B49" s="514"/>
      <c r="C49" s="515">
        <v>750</v>
      </c>
      <c r="D49" s="164">
        <v>0.20343259022081403</v>
      </c>
      <c r="E49" s="164">
        <v>0.68688232719029918</v>
      </c>
      <c r="F49" s="164">
        <v>1.523906955029054</v>
      </c>
      <c r="G49" s="164">
        <v>3.0470306199821121E-3</v>
      </c>
      <c r="H49" s="164">
        <v>5.4412982861956762E-2</v>
      </c>
      <c r="I49" s="163">
        <v>303.04467127163099</v>
      </c>
      <c r="J49" s="517">
        <v>1.835539444657314E-2</v>
      </c>
    </row>
    <row r="50" spans="2:10" x14ac:dyDescent="0.2">
      <c r="B50" s="514"/>
      <c r="C50" s="515">
        <v>9999</v>
      </c>
      <c r="D50" s="164">
        <v>0.74217646525326297</v>
      </c>
      <c r="E50" s="164">
        <v>2.3932562734499148</v>
      </c>
      <c r="F50" s="164">
        <v>7.8338001590943325</v>
      </c>
      <c r="G50" s="164">
        <v>9.7591715812833831E-3</v>
      </c>
      <c r="H50" s="164">
        <v>0.21458933150377554</v>
      </c>
      <c r="I50" s="163">
        <v>970.60557483854359</v>
      </c>
      <c r="J50" s="517">
        <v>6.696538294049538E-2</v>
      </c>
    </row>
    <row r="51" spans="2:10" x14ac:dyDescent="0.2">
      <c r="B51" s="518" t="s">
        <v>515</v>
      </c>
      <c r="C51" s="519"/>
      <c r="D51" s="520">
        <v>0.10122929728417308</v>
      </c>
      <c r="E51" s="520">
        <v>0.40595170296720329</v>
      </c>
      <c r="F51" s="520">
        <v>0.79082068779688663</v>
      </c>
      <c r="G51" s="520">
        <v>1.3768055908380135E-3</v>
      </c>
      <c r="H51" s="520">
        <v>3.1828790487930997E-2</v>
      </c>
      <c r="I51" s="523">
        <v>128.6277410507501</v>
      </c>
      <c r="J51" s="522">
        <v>9.1337563359607105E-3</v>
      </c>
    </row>
    <row r="52" spans="2:10" x14ac:dyDescent="0.2">
      <c r="B52" s="514" t="s">
        <v>516</v>
      </c>
      <c r="C52" s="515">
        <v>50</v>
      </c>
      <c r="D52" s="164">
        <v>8.1286532524009636E-2</v>
      </c>
      <c r="E52" s="164">
        <v>0.28839668949566</v>
      </c>
      <c r="F52" s="164">
        <v>0.22402956978317601</v>
      </c>
      <c r="G52" s="164">
        <v>3.2163122445208291E-4</v>
      </c>
      <c r="H52" s="164">
        <v>1.8081837744582434E-2</v>
      </c>
      <c r="I52" s="516">
        <v>24.879600966038911</v>
      </c>
      <c r="J52" s="517">
        <v>7.3343529954313664E-3</v>
      </c>
    </row>
    <row r="53" spans="2:10" x14ac:dyDescent="0.2">
      <c r="B53" s="514"/>
      <c r="C53" s="515">
        <v>120</v>
      </c>
      <c r="D53" s="164">
        <v>9.4535374020932886E-2</v>
      </c>
      <c r="E53" s="164">
        <v>0.467854163671162</v>
      </c>
      <c r="F53" s="164">
        <v>0.55888306162824664</v>
      </c>
      <c r="G53" s="164">
        <v>7.7199179291641501E-4</v>
      </c>
      <c r="H53" s="164">
        <v>4.4764948721936863E-2</v>
      </c>
      <c r="I53" s="516">
        <v>65.810566328731724</v>
      </c>
      <c r="J53" s="517">
        <v>8.5297746683284294E-3</v>
      </c>
    </row>
    <row r="54" spans="2:10" x14ac:dyDescent="0.2">
      <c r="B54" s="514"/>
      <c r="C54" s="515">
        <v>175</v>
      </c>
      <c r="D54" s="164">
        <v>0.12695216100188322</v>
      </c>
      <c r="E54" s="164">
        <v>0.73267779638495201</v>
      </c>
      <c r="F54" s="164">
        <v>0.85339072150987449</v>
      </c>
      <c r="G54" s="164">
        <v>1.3635699014092598E-3</v>
      </c>
      <c r="H54" s="164">
        <v>4.7874489846989512E-2</v>
      </c>
      <c r="I54" s="163">
        <v>121.18769491983754</v>
      </c>
      <c r="J54" s="517">
        <v>1.1454689783660486E-2</v>
      </c>
    </row>
    <row r="55" spans="2:10" x14ac:dyDescent="0.2">
      <c r="B55" s="514"/>
      <c r="C55" s="515">
        <v>250</v>
      </c>
      <c r="D55" s="164">
        <v>0.13330376392905913</v>
      </c>
      <c r="E55" s="164">
        <v>0.41793842856320257</v>
      </c>
      <c r="F55" s="164">
        <v>1.0430143731602195</v>
      </c>
      <c r="G55" s="164">
        <v>1.8692651984198716E-3</v>
      </c>
      <c r="H55" s="164">
        <v>3.8549978511422604E-2</v>
      </c>
      <c r="I55" s="163">
        <v>166.13153444424285</v>
      </c>
      <c r="J55" s="517">
        <v>1.2027782923556336E-2</v>
      </c>
    </row>
    <row r="56" spans="2:10" x14ac:dyDescent="0.2">
      <c r="B56" s="514"/>
      <c r="C56" s="515">
        <v>500</v>
      </c>
      <c r="D56" s="164">
        <v>0.1959431851470953</v>
      </c>
      <c r="E56" s="164">
        <v>0.72016406710944114</v>
      </c>
      <c r="F56" s="164">
        <v>1.4624723653571745</v>
      </c>
      <c r="G56" s="164">
        <v>2.5444219492205995E-3</v>
      </c>
      <c r="H56" s="164">
        <v>5.5353989565612716E-2</v>
      </c>
      <c r="I56" s="163">
        <v>259.22941650981181</v>
      </c>
      <c r="J56" s="517">
        <v>1.7679642304372231E-2</v>
      </c>
    </row>
    <row r="57" spans="2:10" x14ac:dyDescent="0.2">
      <c r="B57" s="514"/>
      <c r="C57" s="515">
        <v>750</v>
      </c>
      <c r="D57" s="164">
        <v>0.35289940933819358</v>
      </c>
      <c r="E57" s="164">
        <v>1.2889355188305605</v>
      </c>
      <c r="F57" s="164">
        <v>2.6916370572420769</v>
      </c>
      <c r="G57" s="164">
        <v>4.672299604508677E-3</v>
      </c>
      <c r="H57" s="164">
        <v>0.10056759743118515</v>
      </c>
      <c r="I57" s="163">
        <v>464.68685594744215</v>
      </c>
      <c r="J57" s="517">
        <v>3.1841537036810683E-2</v>
      </c>
    </row>
    <row r="58" spans="2:10" x14ac:dyDescent="0.2">
      <c r="B58" s="514"/>
      <c r="C58" s="515">
        <v>1000</v>
      </c>
      <c r="D58" s="164">
        <v>0.53798689052192195</v>
      </c>
      <c r="E58" s="164">
        <v>2.0171297266796397</v>
      </c>
      <c r="F58" s="164">
        <v>5.7361525798807191</v>
      </c>
      <c r="G58" s="164">
        <v>6.6170746151348525E-3</v>
      </c>
      <c r="H58" s="164">
        <v>0.16630451350569375</v>
      </c>
      <c r="I58" s="163">
        <v>658.10578618301417</v>
      </c>
      <c r="J58" s="517">
        <v>4.8541688933981045E-2</v>
      </c>
    </row>
    <row r="59" spans="2:10" x14ac:dyDescent="0.2">
      <c r="B59" s="518" t="s">
        <v>517</v>
      </c>
      <c r="C59" s="519"/>
      <c r="D59" s="520">
        <v>0.1184542725202372</v>
      </c>
      <c r="E59" s="520">
        <v>0.53869564352426724</v>
      </c>
      <c r="F59" s="520">
        <v>0.79601968578582172</v>
      </c>
      <c r="G59" s="520">
        <v>1.2581549677042122E-3</v>
      </c>
      <c r="H59" s="520">
        <v>4.5677175625726686E-2</v>
      </c>
      <c r="I59" s="523">
        <v>114.01817098859513</v>
      </c>
      <c r="J59" s="522">
        <v>1.0687938736071169E-2</v>
      </c>
    </row>
    <row r="60" spans="2:10" x14ac:dyDescent="0.2">
      <c r="B60" s="514" t="s">
        <v>518</v>
      </c>
      <c r="C60" s="515">
        <v>50</v>
      </c>
      <c r="D60" s="164">
        <v>9.4891510606557733E-2</v>
      </c>
      <c r="E60" s="164">
        <v>0.42302268443572738</v>
      </c>
      <c r="F60" s="164">
        <v>0.36073663593827732</v>
      </c>
      <c r="G60" s="164">
        <v>5.690149954029768E-4</v>
      </c>
      <c r="H60" s="164">
        <v>2.4079608309557334E-2</v>
      </c>
      <c r="I60" s="516">
        <v>44.01584366141882</v>
      </c>
      <c r="J60" s="517">
        <v>8.5619070235143976E-3</v>
      </c>
    </row>
    <row r="61" spans="2:10" x14ac:dyDescent="0.2">
      <c r="B61" s="514"/>
      <c r="C61" s="515">
        <v>120</v>
      </c>
      <c r="D61" s="164">
        <v>8.4939156934155088E-2</v>
      </c>
      <c r="E61" s="164">
        <v>0.55061572906465905</v>
      </c>
      <c r="F61" s="164">
        <v>0.56791546986745522</v>
      </c>
      <c r="G61" s="164">
        <v>9.7528671938062529E-4</v>
      </c>
      <c r="H61" s="164">
        <v>4.1619869387293104E-2</v>
      </c>
      <c r="I61" s="516">
        <v>83.141004324038946</v>
      </c>
      <c r="J61" s="517">
        <v>7.6639240715927395E-3</v>
      </c>
    </row>
    <row r="62" spans="2:10" x14ac:dyDescent="0.2">
      <c r="B62" s="514"/>
      <c r="C62" s="515">
        <v>175</v>
      </c>
      <c r="D62" s="164">
        <v>0.12577422347260236</v>
      </c>
      <c r="E62" s="164">
        <v>0.95202117910554407</v>
      </c>
      <c r="F62" s="164">
        <v>0.89753542739040415</v>
      </c>
      <c r="G62" s="164">
        <v>1.8819638364122708E-3</v>
      </c>
      <c r="H62" s="164">
        <v>4.7496047088303753E-2</v>
      </c>
      <c r="I62" s="163">
        <v>167.26022180392647</v>
      </c>
      <c r="J62" s="517">
        <v>1.1348406114641505E-2</v>
      </c>
    </row>
    <row r="63" spans="2:10" x14ac:dyDescent="0.2">
      <c r="B63" s="514"/>
      <c r="C63" s="515">
        <v>250</v>
      </c>
      <c r="D63" s="164">
        <v>0.13856972225679323</v>
      </c>
      <c r="E63" s="164">
        <v>0.49323312653905044</v>
      </c>
      <c r="F63" s="164">
        <v>1.1283559326349351</v>
      </c>
      <c r="G63" s="164">
        <v>2.7514092139323434E-3</v>
      </c>
      <c r="H63" s="164">
        <v>3.5938663384558325E-2</v>
      </c>
      <c r="I63" s="163">
        <v>244.53242666032372</v>
      </c>
      <c r="J63" s="517">
        <v>1.2502922778700161E-2</v>
      </c>
    </row>
    <row r="64" spans="2:10" x14ac:dyDescent="0.2">
      <c r="B64" s="514"/>
      <c r="C64" s="515">
        <v>500</v>
      </c>
      <c r="D64" s="164">
        <v>0.20373118159651685</v>
      </c>
      <c r="E64" s="164">
        <v>0.72313909245083186</v>
      </c>
      <c r="F64" s="164">
        <v>1.5204757688008201</v>
      </c>
      <c r="G64" s="164">
        <v>3.6674532118498521E-3</v>
      </c>
      <c r="H64" s="164">
        <v>5.2359711532862223E-2</v>
      </c>
      <c r="I64" s="163">
        <v>373.64550654539289</v>
      </c>
      <c r="J64" s="517">
        <v>1.8382337549693553E-2</v>
      </c>
    </row>
    <row r="65" spans="2:10" x14ac:dyDescent="0.2">
      <c r="B65" s="514"/>
      <c r="C65" s="515">
        <v>750</v>
      </c>
      <c r="D65" s="164">
        <v>0.31928677683455009</v>
      </c>
      <c r="E65" s="164">
        <v>1.1367861691091823</v>
      </c>
      <c r="F65" s="164">
        <v>2.4441092060838461</v>
      </c>
      <c r="G65" s="164">
        <v>5.9205626193093632E-3</v>
      </c>
      <c r="H65" s="164">
        <v>8.2417487279111634E-2</v>
      </c>
      <c r="I65" s="163">
        <v>588.83389531873536</v>
      </c>
      <c r="J65" s="517">
        <v>2.8808725011449352E-2</v>
      </c>
    </row>
    <row r="66" spans="2:10" x14ac:dyDescent="0.2">
      <c r="B66" s="514"/>
      <c r="C66" s="515">
        <v>9999</v>
      </c>
      <c r="D66" s="164">
        <v>0.83117262664735703</v>
      </c>
      <c r="E66" s="164">
        <v>2.7569490227828584</v>
      </c>
      <c r="F66" s="164">
        <v>9.5901748592762921</v>
      </c>
      <c r="G66" s="164">
        <v>1.31491540230307E-2</v>
      </c>
      <c r="H66" s="164">
        <v>0.24672604100403731</v>
      </c>
      <c r="I66" s="524">
        <v>1307.7590268765869</v>
      </c>
      <c r="J66" s="517">
        <v>7.4995365377180351E-2</v>
      </c>
    </row>
    <row r="67" spans="2:10" x14ac:dyDescent="0.2">
      <c r="B67" s="518" t="s">
        <v>519</v>
      </c>
      <c r="C67" s="519"/>
      <c r="D67" s="520">
        <v>0.11087899853988098</v>
      </c>
      <c r="E67" s="520">
        <v>0.63284978904457856</v>
      </c>
      <c r="F67" s="520">
        <v>0.73299983032436267</v>
      </c>
      <c r="G67" s="520">
        <v>1.456447598362508E-3</v>
      </c>
      <c r="H67" s="520">
        <v>4.1199270878347176E-2</v>
      </c>
      <c r="I67" s="523">
        <v>132.30864525146225</v>
      </c>
      <c r="J67" s="522">
        <v>1.0004433846280572E-2</v>
      </c>
    </row>
    <row r="68" spans="2:10" x14ac:dyDescent="0.2">
      <c r="B68" s="514" t="s">
        <v>520</v>
      </c>
      <c r="C68" s="515">
        <v>25</v>
      </c>
      <c r="D68" s="164">
        <v>9.2154551076770366E-3</v>
      </c>
      <c r="E68" s="164">
        <v>3.1393791803805624E-2</v>
      </c>
      <c r="F68" s="164">
        <v>5.8364242493024569E-2</v>
      </c>
      <c r="G68" s="164">
        <v>9.6739143587423889E-5</v>
      </c>
      <c r="H68" s="164">
        <v>2.2703748629998668E-3</v>
      </c>
      <c r="I68" s="516">
        <v>7.6243975979846077</v>
      </c>
      <c r="J68" s="517">
        <v>8.3149566351516731E-4</v>
      </c>
    </row>
    <row r="69" spans="2:10" x14ac:dyDescent="0.2">
      <c r="B69" s="518" t="s">
        <v>521</v>
      </c>
      <c r="C69" s="519"/>
      <c r="D69" s="520">
        <v>9.2154551076770366E-3</v>
      </c>
      <c r="E69" s="520">
        <v>3.1393791803805624E-2</v>
      </c>
      <c r="F69" s="520">
        <v>5.8364242493024569E-2</v>
      </c>
      <c r="G69" s="520">
        <v>9.6739143587423889E-5</v>
      </c>
      <c r="H69" s="520">
        <v>2.2703748629998668E-3</v>
      </c>
      <c r="I69" s="521">
        <v>7.6243975979846077</v>
      </c>
      <c r="J69" s="522">
        <v>8.3149566351516731E-4</v>
      </c>
    </row>
    <row r="70" spans="2:10" x14ac:dyDescent="0.2">
      <c r="B70" s="514" t="s">
        <v>522</v>
      </c>
      <c r="C70" s="515">
        <v>25</v>
      </c>
      <c r="D70" s="164">
        <v>1.9833044054494143E-2</v>
      </c>
      <c r="E70" s="164">
        <v>6.7692840999976772E-2</v>
      </c>
      <c r="F70" s="164">
        <v>0.12532896160504997</v>
      </c>
      <c r="G70" s="164">
        <v>2.0859375483886879E-4</v>
      </c>
      <c r="H70" s="164">
        <v>4.682956428591731E-3</v>
      </c>
      <c r="I70" s="516">
        <v>16.440103492706037</v>
      </c>
      <c r="J70" s="517">
        <v>1.7895036756472903E-3</v>
      </c>
    </row>
    <row r="71" spans="2:10" x14ac:dyDescent="0.2">
      <c r="B71" s="514"/>
      <c r="C71" s="515">
        <v>50</v>
      </c>
      <c r="D71" s="164">
        <v>4.680756664710313E-2</v>
      </c>
      <c r="E71" s="164">
        <v>0.25208686233541788</v>
      </c>
      <c r="F71" s="164">
        <v>0.20021506721032789</v>
      </c>
      <c r="G71" s="164">
        <v>3.234143896501051E-4</v>
      </c>
      <c r="H71" s="164">
        <v>1.1053900112286076E-2</v>
      </c>
      <c r="I71" s="516">
        <v>25.017541856398079</v>
      </c>
      <c r="J71" s="517">
        <v>4.2233705346154731E-3</v>
      </c>
    </row>
    <row r="72" spans="2:10" x14ac:dyDescent="0.2">
      <c r="B72" s="514"/>
      <c r="C72" s="515">
        <v>120</v>
      </c>
      <c r="D72" s="164">
        <v>6.9294434180277101E-2</v>
      </c>
      <c r="E72" s="164">
        <v>0.50174372128073219</v>
      </c>
      <c r="F72" s="164">
        <v>0.44252519061283896</v>
      </c>
      <c r="G72" s="164">
        <v>8.6363639372505536E-4</v>
      </c>
      <c r="H72" s="164">
        <v>2.8931124860038335E-2</v>
      </c>
      <c r="I72" s="516">
        <v>73.623065450180775</v>
      </c>
      <c r="J72" s="517">
        <v>6.25232367636852E-3</v>
      </c>
    </row>
    <row r="73" spans="2:10" x14ac:dyDescent="0.2">
      <c r="B73" s="514"/>
      <c r="C73" s="515">
        <v>175</v>
      </c>
      <c r="D73" s="164">
        <v>8.2387199380193454E-2</v>
      </c>
      <c r="E73" s="164">
        <v>0.66406834767704936</v>
      </c>
      <c r="F73" s="164">
        <v>0.50690247358409757</v>
      </c>
      <c r="G73" s="164">
        <v>1.2626851177797807E-3</v>
      </c>
      <c r="H73" s="164">
        <v>2.6430377148428139E-2</v>
      </c>
      <c r="I73" s="163">
        <v>112.22156519786613</v>
      </c>
      <c r="J73" s="517">
        <v>7.4336665819125783E-3</v>
      </c>
    </row>
    <row r="74" spans="2:10" x14ac:dyDescent="0.2">
      <c r="B74" s="514"/>
      <c r="C74" s="515">
        <v>250</v>
      </c>
      <c r="D74" s="164">
        <v>9.3329502473863263E-2</v>
      </c>
      <c r="E74" s="164">
        <v>0.33233981272962537</v>
      </c>
      <c r="F74" s="164">
        <v>0.59838076823512265</v>
      </c>
      <c r="G74" s="164">
        <v>1.7854533989350586E-3</v>
      </c>
      <c r="H74" s="164">
        <v>2.0200727006780179E-2</v>
      </c>
      <c r="I74" s="163">
        <v>158.68278453928801</v>
      </c>
      <c r="J74" s="517">
        <v>8.4209722592290051E-3</v>
      </c>
    </row>
    <row r="75" spans="2:10" x14ac:dyDescent="0.2">
      <c r="B75" s="514"/>
      <c r="C75" s="515">
        <v>500</v>
      </c>
      <c r="D75" s="164">
        <v>0.13386641566610369</v>
      </c>
      <c r="E75" s="164">
        <v>0.46889693641413166</v>
      </c>
      <c r="F75" s="164">
        <v>0.78810957933497405</v>
      </c>
      <c r="G75" s="164">
        <v>2.2941887362225512E-3</v>
      </c>
      <c r="H75" s="164">
        <v>2.8425561073409961E-2</v>
      </c>
      <c r="I75" s="163">
        <v>233.73535326026993</v>
      </c>
      <c r="J75" s="517">
        <v>1.2078550367923749E-2</v>
      </c>
    </row>
    <row r="76" spans="2:10" x14ac:dyDescent="0.2">
      <c r="B76" s="514"/>
      <c r="C76" s="515">
        <v>750</v>
      </c>
      <c r="D76" s="164">
        <v>0.22236028470616104</v>
      </c>
      <c r="E76" s="164">
        <v>0.77685516786694475</v>
      </c>
      <c r="F76" s="164">
        <v>1.3381477061921407</v>
      </c>
      <c r="G76" s="164">
        <v>3.8953473247548406E-3</v>
      </c>
      <c r="H76" s="164">
        <v>4.7646724074235765E-2</v>
      </c>
      <c r="I76" s="163">
        <v>387.41457779805137</v>
      </c>
      <c r="J76" s="517">
        <v>2.0063221162495475E-2</v>
      </c>
    </row>
    <row r="77" spans="2:10" x14ac:dyDescent="0.2">
      <c r="B77" s="518" t="s">
        <v>523</v>
      </c>
      <c r="C77" s="519"/>
      <c r="D77" s="520">
        <v>8.4807420046402987E-2</v>
      </c>
      <c r="E77" s="520">
        <v>0.51595736223227129</v>
      </c>
      <c r="F77" s="520">
        <v>0.51807128174552641</v>
      </c>
      <c r="G77" s="520">
        <v>1.3153763084413899E-3</v>
      </c>
      <c r="H77" s="520">
        <v>2.491208572743191E-2</v>
      </c>
      <c r="I77" s="523">
        <v>119.57975574466042</v>
      </c>
      <c r="J77" s="522">
        <v>7.6520376556402907E-3</v>
      </c>
    </row>
    <row r="78" spans="2:10" x14ac:dyDescent="0.2">
      <c r="B78" s="514" t="s">
        <v>524</v>
      </c>
      <c r="C78" s="515">
        <v>50</v>
      </c>
      <c r="D78" s="164">
        <v>2.2881247197957651E-2</v>
      </c>
      <c r="E78" s="164">
        <v>0.14398459721998247</v>
      </c>
      <c r="F78" s="164">
        <v>0.11801814682314388</v>
      </c>
      <c r="G78" s="164">
        <v>1.8967164766758992E-4</v>
      </c>
      <c r="H78" s="164">
        <v>5.7675432852466379E-3</v>
      </c>
      <c r="I78" s="516">
        <v>14.671946601585081</v>
      </c>
      <c r="J78" s="517">
        <v>2.0645379803022616E-3</v>
      </c>
    </row>
    <row r="79" spans="2:10" x14ac:dyDescent="0.2">
      <c r="B79" s="514"/>
      <c r="C79" s="515">
        <v>120</v>
      </c>
      <c r="D79" s="164">
        <v>2.6471812702541096E-2</v>
      </c>
      <c r="E79" s="164">
        <v>0.21176068990701885</v>
      </c>
      <c r="F79" s="164">
        <v>0.17453334182184643</v>
      </c>
      <c r="G79" s="164">
        <v>3.6628424092956366E-4</v>
      </c>
      <c r="H79" s="164">
        <v>1.0801821525461875E-2</v>
      </c>
      <c r="I79" s="516">
        <v>31.224916804386957</v>
      </c>
      <c r="J79" s="517">
        <v>2.3885088468098958E-3</v>
      </c>
    </row>
    <row r="80" spans="2:10" x14ac:dyDescent="0.2">
      <c r="B80" s="514"/>
      <c r="C80" s="515">
        <v>175</v>
      </c>
      <c r="D80" s="164">
        <v>3.9354326438930658E-2</v>
      </c>
      <c r="E80" s="164">
        <v>0.33216250785092116</v>
      </c>
      <c r="F80" s="164">
        <v>0.23280996529407647</v>
      </c>
      <c r="G80" s="164">
        <v>6.3070785638493778E-4</v>
      </c>
      <c r="H80" s="164">
        <v>1.2480390740519251E-2</v>
      </c>
      <c r="I80" s="516">
        <v>56.054369588336804</v>
      </c>
      <c r="J80" s="517">
        <v>3.5508775554428332E-3</v>
      </c>
    </row>
    <row r="81" spans="2:10" x14ac:dyDescent="0.2">
      <c r="B81" s="514"/>
      <c r="C81" s="515">
        <v>250</v>
      </c>
      <c r="D81" s="164">
        <v>4.3988459196970045E-2</v>
      </c>
      <c r="E81" s="164">
        <v>0.15586897594563792</v>
      </c>
      <c r="F81" s="164">
        <v>0.25941053269136022</v>
      </c>
      <c r="G81" s="164">
        <v>8.6775211525874586E-4</v>
      </c>
      <c r="H81" s="164">
        <v>8.8860101869843774E-3</v>
      </c>
      <c r="I81" s="516">
        <v>77.121755278753497</v>
      </c>
      <c r="J81" s="517">
        <v>3.9690079985693211E-3</v>
      </c>
    </row>
    <row r="82" spans="2:10" x14ac:dyDescent="0.2">
      <c r="B82" s="514"/>
      <c r="C82" s="515">
        <v>500</v>
      </c>
      <c r="D82" s="164">
        <v>6.2324882539397962E-2</v>
      </c>
      <c r="E82" s="164">
        <v>0.21314516539527328</v>
      </c>
      <c r="F82" s="164">
        <v>0.34323267390791529</v>
      </c>
      <c r="G82" s="164">
        <v>1.0893058896571436E-3</v>
      </c>
      <c r="H82" s="164">
        <v>1.2497364762343947E-2</v>
      </c>
      <c r="I82" s="163">
        <v>110.98010617893297</v>
      </c>
      <c r="J82" s="517">
        <v>5.6234743904107617E-3</v>
      </c>
    </row>
    <row r="83" spans="2:10" x14ac:dyDescent="0.2">
      <c r="B83" s="518" t="s">
        <v>525</v>
      </c>
      <c r="C83" s="519"/>
      <c r="D83" s="520">
        <v>3.7152556464429706E-2</v>
      </c>
      <c r="E83" s="520">
        <v>0.2173282651866342</v>
      </c>
      <c r="F83" s="520">
        <v>0.2186036838932843</v>
      </c>
      <c r="G83" s="520">
        <v>6.0284196572950397E-4</v>
      </c>
      <c r="H83" s="520">
        <v>1.0135656286009796E-2</v>
      </c>
      <c r="I83" s="521">
        <v>54.395757393421057</v>
      </c>
      <c r="J83" s="522">
        <v>3.3522153956900263E-3</v>
      </c>
    </row>
    <row r="84" spans="2:10" x14ac:dyDescent="0.2">
      <c r="B84" s="514" t="s">
        <v>526</v>
      </c>
      <c r="C84" s="515">
        <v>15</v>
      </c>
      <c r="D84" s="164">
        <v>1.2261457920805937E-2</v>
      </c>
      <c r="E84" s="164">
        <v>6.4384696007298944E-2</v>
      </c>
      <c r="F84" s="164">
        <v>8.523480781044461E-2</v>
      </c>
      <c r="G84" s="164">
        <v>1.5884022080407445E-4</v>
      </c>
      <c r="H84" s="164">
        <v>4.2902951632834765E-3</v>
      </c>
      <c r="I84" s="516">
        <v>10.20766017881485</v>
      </c>
      <c r="J84" s="517">
        <v>1.1063316979902473E-3</v>
      </c>
    </row>
    <row r="85" spans="2:10" x14ac:dyDescent="0.2">
      <c r="B85" s="514"/>
      <c r="C85" s="515">
        <v>25</v>
      </c>
      <c r="D85" s="164">
        <v>2.3147395103196369E-2</v>
      </c>
      <c r="E85" s="164">
        <v>7.8776515880176576E-2</v>
      </c>
      <c r="F85" s="164">
        <v>0.14488229932168986</v>
      </c>
      <c r="G85" s="164">
        <v>2.2370922835035042E-4</v>
      </c>
      <c r="H85" s="164">
        <v>6.9905105556581125E-3</v>
      </c>
      <c r="I85" s="516">
        <v>17.631416716941896</v>
      </c>
      <c r="J85" s="517">
        <v>2.0885524763380472E-3</v>
      </c>
    </row>
    <row r="86" spans="2:10" x14ac:dyDescent="0.2">
      <c r="B86" s="514"/>
      <c r="C86" s="515">
        <v>50</v>
      </c>
      <c r="D86" s="164">
        <v>4.9138833363495324E-2</v>
      </c>
      <c r="E86" s="164">
        <v>0.22645840137106238</v>
      </c>
      <c r="F86" s="164">
        <v>0.23572727174128258</v>
      </c>
      <c r="G86" s="164">
        <v>3.9587872471801483E-4</v>
      </c>
      <c r="H86" s="164">
        <v>1.3834422828754696E-2</v>
      </c>
      <c r="I86" s="516">
        <v>30.622982247960433</v>
      </c>
      <c r="J86" s="517">
        <v>4.4337193846246152E-3</v>
      </c>
    </row>
    <row r="87" spans="2:10" x14ac:dyDescent="0.2">
      <c r="B87" s="514"/>
      <c r="C87" s="515">
        <v>120</v>
      </c>
      <c r="D87" s="164">
        <v>6.4171903629997196E-2</v>
      </c>
      <c r="E87" s="164">
        <v>0.46942308043161696</v>
      </c>
      <c r="F87" s="164">
        <v>0.51813057722749734</v>
      </c>
      <c r="G87" s="164">
        <v>9.143865445070074E-4</v>
      </c>
      <c r="H87" s="164">
        <v>3.3306540940260324E-2</v>
      </c>
      <c r="I87" s="516">
        <v>77.9494180677994</v>
      </c>
      <c r="J87" s="517">
        <v>5.7901269313147116E-3</v>
      </c>
    </row>
    <row r="88" spans="2:10" x14ac:dyDescent="0.2">
      <c r="B88" s="514"/>
      <c r="C88" s="515">
        <v>175</v>
      </c>
      <c r="D88" s="164">
        <v>8.0756348418064158E-2</v>
      </c>
      <c r="E88" s="164">
        <v>0.73241500920089853</v>
      </c>
      <c r="F88" s="164">
        <v>0.75283574961528599</v>
      </c>
      <c r="G88" s="164">
        <v>1.5975106842597427E-3</v>
      </c>
      <c r="H88" s="164">
        <v>3.3729247584115676E-2</v>
      </c>
      <c r="I88" s="163">
        <v>141.97929422677095</v>
      </c>
      <c r="J88" s="517">
        <v>7.2865164386436707E-3</v>
      </c>
    </row>
    <row r="89" spans="2:10" x14ac:dyDescent="0.2">
      <c r="B89" s="514"/>
      <c r="C89" s="515">
        <v>250</v>
      </c>
      <c r="D89" s="164">
        <v>8.5685737602370651E-2</v>
      </c>
      <c r="E89" s="164">
        <v>0.39314579297195673</v>
      </c>
      <c r="F89" s="164">
        <v>0.97562742374137945</v>
      </c>
      <c r="G89" s="164">
        <v>2.391045894337696E-3</v>
      </c>
      <c r="H89" s="164">
        <v>2.7430703872068293E-2</v>
      </c>
      <c r="I89" s="163">
        <v>212.50495125086329</v>
      </c>
      <c r="J89" s="517">
        <v>7.7312866671874585E-3</v>
      </c>
    </row>
    <row r="90" spans="2:10" x14ac:dyDescent="0.2">
      <c r="B90" s="514"/>
      <c r="C90" s="515">
        <v>500</v>
      </c>
      <c r="D90" s="164">
        <v>0.12638235283760516</v>
      </c>
      <c r="E90" s="164">
        <v>0.61128527251200493</v>
      </c>
      <c r="F90" s="164">
        <v>1.3835687495947413</v>
      </c>
      <c r="G90" s="164">
        <v>3.3063196284514708E-3</v>
      </c>
      <c r="H90" s="164">
        <v>4.1514510168595212E-2</v>
      </c>
      <c r="I90" s="163">
        <v>336.85270856192903</v>
      </c>
      <c r="J90" s="517">
        <v>1.1403278220219325E-2</v>
      </c>
    </row>
    <row r="91" spans="2:10" x14ac:dyDescent="0.2">
      <c r="B91" s="514"/>
      <c r="C91" s="515">
        <v>750</v>
      </c>
      <c r="D91" s="164">
        <v>0.20796716002166357</v>
      </c>
      <c r="E91" s="164">
        <v>0.98681346280640758</v>
      </c>
      <c r="F91" s="164">
        <v>2.2918316870113555</v>
      </c>
      <c r="G91" s="164">
        <v>5.4676594626665133E-3</v>
      </c>
      <c r="H91" s="164">
        <v>6.7857310150132855E-2</v>
      </c>
      <c r="I91" s="163">
        <v>543.78988370937122</v>
      </c>
      <c r="J91" s="517">
        <v>1.8764539039659554E-2</v>
      </c>
    </row>
    <row r="92" spans="2:10" x14ac:dyDescent="0.2">
      <c r="B92" s="514"/>
      <c r="C92" s="515">
        <v>9999</v>
      </c>
      <c r="D92" s="164">
        <v>0.52296096742401166</v>
      </c>
      <c r="E92" s="164">
        <v>2.0947530770519269</v>
      </c>
      <c r="F92" s="164">
        <v>7.5355902962258234</v>
      </c>
      <c r="G92" s="164">
        <v>1.0543439660267271E-2</v>
      </c>
      <c r="H92" s="164">
        <v>0.17782775342063833</v>
      </c>
      <c r="I92" s="524">
        <v>1048.6051694648984</v>
      </c>
      <c r="J92" s="517">
        <v>4.7185927667207722E-2</v>
      </c>
    </row>
    <row r="93" spans="2:10" x14ac:dyDescent="0.2">
      <c r="B93" s="518" t="s">
        <v>527</v>
      </c>
      <c r="C93" s="519"/>
      <c r="D93" s="520">
        <v>4.7707402031249457E-2</v>
      </c>
      <c r="E93" s="520">
        <v>0.27857642622085971</v>
      </c>
      <c r="F93" s="520">
        <v>0.37586938307319323</v>
      </c>
      <c r="G93" s="520">
        <v>6.9799324997379876E-4</v>
      </c>
      <c r="H93" s="520">
        <v>1.9163477239594225E-2</v>
      </c>
      <c r="I93" s="521">
        <v>60.992682293407086</v>
      </c>
      <c r="J93" s="522">
        <v>4.304562312606946E-3</v>
      </c>
    </row>
    <row r="94" spans="2:10" x14ac:dyDescent="0.2">
      <c r="B94" s="514" t="s">
        <v>528</v>
      </c>
      <c r="C94" s="515">
        <v>50</v>
      </c>
      <c r="D94" s="164">
        <v>6.7645068387467852E-2</v>
      </c>
      <c r="E94" s="164">
        <v>0.28682351847346932</v>
      </c>
      <c r="F94" s="164">
        <v>0.23048794928492738</v>
      </c>
      <c r="G94" s="164">
        <v>3.5599908942043023E-4</v>
      </c>
      <c r="H94" s="164">
        <v>1.5739812325646065E-2</v>
      </c>
      <c r="I94" s="516">
        <v>27.53812548810096</v>
      </c>
      <c r="J94" s="517">
        <v>6.1035052260877557E-3</v>
      </c>
    </row>
    <row r="95" spans="2:10" x14ac:dyDescent="0.2">
      <c r="B95" s="514"/>
      <c r="C95" s="515">
        <v>120</v>
      </c>
      <c r="D95" s="164">
        <v>8.599293756199354E-2</v>
      </c>
      <c r="E95" s="164">
        <v>0.51377202129300081</v>
      </c>
      <c r="F95" s="164">
        <v>0.53229588989684018</v>
      </c>
      <c r="G95" s="164">
        <v>8.7937633582105951E-4</v>
      </c>
      <c r="H95" s="164">
        <v>3.9849850089848024E-2</v>
      </c>
      <c r="I95" s="516">
        <v>74.964853425195486</v>
      </c>
      <c r="J95" s="517">
        <v>7.7590040417885447E-3</v>
      </c>
    </row>
    <row r="96" spans="2:10" x14ac:dyDescent="0.2">
      <c r="B96" s="514"/>
      <c r="C96" s="515">
        <v>175</v>
      </c>
      <c r="D96" s="164">
        <v>0.10590902641356391</v>
      </c>
      <c r="E96" s="164">
        <v>0.72941300620292304</v>
      </c>
      <c r="F96" s="164">
        <v>0.70018781297805577</v>
      </c>
      <c r="G96" s="164">
        <v>1.3943296644779006E-3</v>
      </c>
      <c r="H96" s="164">
        <v>3.8491078487052473E-2</v>
      </c>
      <c r="I96" s="163">
        <v>123.92152657276836</v>
      </c>
      <c r="J96" s="517">
        <v>9.556002822973985E-3</v>
      </c>
    </row>
    <row r="97" spans="2:10" x14ac:dyDescent="0.2">
      <c r="B97" s="514"/>
      <c r="C97" s="515">
        <v>250</v>
      </c>
      <c r="D97" s="164">
        <v>0.11148148519913265</v>
      </c>
      <c r="E97" s="164">
        <v>0.3778215726678853</v>
      </c>
      <c r="F97" s="164">
        <v>0.84094197780656033</v>
      </c>
      <c r="G97" s="164">
        <v>1.9365693614895995E-3</v>
      </c>
      <c r="H97" s="164">
        <v>2.8735935678200101E-2</v>
      </c>
      <c r="I97" s="163">
        <v>172.1132236868614</v>
      </c>
      <c r="J97" s="517">
        <v>1.0058793413017481E-2</v>
      </c>
    </row>
    <row r="98" spans="2:10" x14ac:dyDescent="0.2">
      <c r="B98" s="514"/>
      <c r="C98" s="515">
        <v>500</v>
      </c>
      <c r="D98" s="164">
        <v>0.14204672893087397</v>
      </c>
      <c r="E98" s="164">
        <v>0.51944988295495698</v>
      </c>
      <c r="F98" s="164">
        <v>0.99889717266806777</v>
      </c>
      <c r="G98" s="164">
        <v>2.2524626963553339E-3</v>
      </c>
      <c r="H98" s="164">
        <v>3.5928558524679917E-2</v>
      </c>
      <c r="I98" s="163">
        <v>229.48424083111456</v>
      </c>
      <c r="J98" s="517">
        <v>1.2816646598928946E-2</v>
      </c>
    </row>
    <row r="99" spans="2:10" x14ac:dyDescent="0.2">
      <c r="B99" s="514"/>
      <c r="C99" s="515">
        <v>750</v>
      </c>
      <c r="D99" s="164">
        <v>0.30240970070985518</v>
      </c>
      <c r="E99" s="164">
        <v>1.0988139049238312</v>
      </c>
      <c r="F99" s="164">
        <v>2.1819650751265529</v>
      </c>
      <c r="G99" s="164">
        <v>4.8839998864485578E-3</v>
      </c>
      <c r="H99" s="164">
        <v>7.7385073074046573E-2</v>
      </c>
      <c r="I99" s="163">
        <v>485.74158342013601</v>
      </c>
      <c r="J99" s="517">
        <v>2.7285949174623448E-2</v>
      </c>
    </row>
    <row r="100" spans="2:10" x14ac:dyDescent="0.2">
      <c r="B100" s="518" t="s">
        <v>529</v>
      </c>
      <c r="C100" s="519"/>
      <c r="D100" s="520">
        <v>0.10494400234914766</v>
      </c>
      <c r="E100" s="520">
        <v>0.58120305631919855</v>
      </c>
      <c r="F100" s="520">
        <v>0.72171490331872457</v>
      </c>
      <c r="G100" s="520">
        <v>1.4960729893442326E-3</v>
      </c>
      <c r="H100" s="520">
        <v>3.5497974692618499E-2</v>
      </c>
      <c r="I100" s="523">
        <v>132.7430144990567</v>
      </c>
      <c r="J100" s="522">
        <v>9.468928810851502E-3</v>
      </c>
    </row>
    <row r="101" spans="2:10" x14ac:dyDescent="0.2">
      <c r="B101" s="514" t="s">
        <v>530</v>
      </c>
      <c r="C101" s="515">
        <v>120</v>
      </c>
      <c r="D101" s="164">
        <v>0.16221654386488629</v>
      </c>
      <c r="E101" s="164">
        <v>0.68792648038701831</v>
      </c>
      <c r="F101" s="164">
        <v>0.9426547404243556</v>
      </c>
      <c r="G101" s="164">
        <v>1.0995881333497027E-3</v>
      </c>
      <c r="H101" s="164">
        <v>7.7895154540605596E-2</v>
      </c>
      <c r="I101" s="516">
        <v>93.737418254131782</v>
      </c>
      <c r="J101" s="517">
        <v>1.463653969160209E-2</v>
      </c>
    </row>
    <row r="102" spans="2:10" x14ac:dyDescent="0.2">
      <c r="B102" s="514"/>
      <c r="C102" s="515">
        <v>175</v>
      </c>
      <c r="D102" s="164">
        <v>0.16137110336689839</v>
      </c>
      <c r="E102" s="164">
        <v>0.80845059922443108</v>
      </c>
      <c r="F102" s="164">
        <v>1.1190669099087749</v>
      </c>
      <c r="G102" s="164">
        <v>1.4674186935314673E-3</v>
      </c>
      <c r="H102" s="164">
        <v>6.3185566088836798E-2</v>
      </c>
      <c r="I102" s="163">
        <v>130.41732670558903</v>
      </c>
      <c r="J102" s="517">
        <v>1.4560252613509073E-2</v>
      </c>
    </row>
    <row r="103" spans="2:10" x14ac:dyDescent="0.2">
      <c r="B103" s="514"/>
      <c r="C103" s="515">
        <v>250</v>
      </c>
      <c r="D103" s="164">
        <v>0.12754910421065033</v>
      </c>
      <c r="E103" s="164">
        <v>0.38608096366600492</v>
      </c>
      <c r="F103" s="164">
        <v>1.0243874960649197</v>
      </c>
      <c r="G103" s="164">
        <v>1.467418074982604E-3</v>
      </c>
      <c r="H103" s="164">
        <v>4.1124081663227681E-2</v>
      </c>
      <c r="I103" s="163">
        <v>130.41726761211464</v>
      </c>
      <c r="J103" s="517">
        <v>1.1508552629449253E-2</v>
      </c>
    </row>
    <row r="104" spans="2:10" x14ac:dyDescent="0.2">
      <c r="B104" s="514"/>
      <c r="C104" s="515">
        <v>750</v>
      </c>
      <c r="D104" s="164">
        <v>0.51731592368352586</v>
      </c>
      <c r="E104" s="164">
        <v>2.0914218693271134</v>
      </c>
      <c r="F104" s="164">
        <v>4.1263562627143706</v>
      </c>
      <c r="G104" s="164">
        <v>5.7123931509244601E-3</v>
      </c>
      <c r="H104" s="164">
        <v>0.16329611324918947</v>
      </c>
      <c r="I104" s="163">
        <v>568.13013336714118</v>
      </c>
      <c r="J104" s="517">
        <v>4.6676583360593167E-2</v>
      </c>
    </row>
    <row r="105" spans="2:10" x14ac:dyDescent="0.2">
      <c r="B105" s="514"/>
      <c r="C105" s="515">
        <v>1000</v>
      </c>
      <c r="D105" s="164">
        <v>0.78416815788166983</v>
      </c>
      <c r="E105" s="164">
        <v>3.2770240225826246</v>
      </c>
      <c r="F105" s="164">
        <v>8.0819882691639666</v>
      </c>
      <c r="G105" s="164">
        <v>8.1874903132293682E-3</v>
      </c>
      <c r="H105" s="164">
        <v>0.25258533014388418</v>
      </c>
      <c r="I105" s="163">
        <v>814.29255756865666</v>
      </c>
      <c r="J105" s="517">
        <v>7.0754247200190967E-2</v>
      </c>
    </row>
    <row r="106" spans="2:10" x14ac:dyDescent="0.2">
      <c r="B106" s="518" t="s">
        <v>531</v>
      </c>
      <c r="C106" s="519"/>
      <c r="D106" s="520">
        <v>0.16306563216244721</v>
      </c>
      <c r="E106" s="520">
        <v>0.67619068792846915</v>
      </c>
      <c r="F106" s="520">
        <v>1.2292828406002849</v>
      </c>
      <c r="G106" s="520">
        <v>1.6713942813552951E-3</v>
      </c>
      <c r="H106" s="520">
        <v>5.7912276838985893E-2</v>
      </c>
      <c r="I106" s="523">
        <v>151.41105691508676</v>
      </c>
      <c r="J106" s="522">
        <v>1.4713149521255433E-2</v>
      </c>
    </row>
    <row r="107" spans="2:10" x14ac:dyDescent="0.2">
      <c r="B107" s="514" t="s">
        <v>532</v>
      </c>
      <c r="C107" s="515">
        <v>175</v>
      </c>
      <c r="D107" s="164">
        <v>9.8338734747635811E-2</v>
      </c>
      <c r="E107" s="164">
        <v>0.75422909797034798</v>
      </c>
      <c r="F107" s="164">
        <v>0.59466165400906357</v>
      </c>
      <c r="G107" s="164">
        <v>1.4074521253012299E-3</v>
      </c>
      <c r="H107" s="164">
        <v>3.1381728322392007E-2</v>
      </c>
      <c r="I107" s="163">
        <v>125.08777729161154</v>
      </c>
      <c r="J107" s="517">
        <v>8.8729445026711866E-3</v>
      </c>
    </row>
    <row r="108" spans="2:10" x14ac:dyDescent="0.2">
      <c r="B108" s="514"/>
      <c r="C108" s="515">
        <v>250</v>
      </c>
      <c r="D108" s="164">
        <v>0.1041767465113491</v>
      </c>
      <c r="E108" s="164">
        <v>0.35715448415065187</v>
      </c>
      <c r="F108" s="164">
        <v>0.66603800397589519</v>
      </c>
      <c r="G108" s="164">
        <v>1.873921930245647E-3</v>
      </c>
      <c r="H108" s="164">
        <v>2.2542352700611085E-2</v>
      </c>
      <c r="I108" s="163">
        <v>166.54543379579488</v>
      </c>
      <c r="J108" s="517">
        <v>9.3996999235005617E-3</v>
      </c>
    </row>
    <row r="109" spans="2:10" x14ac:dyDescent="0.2">
      <c r="B109" s="514"/>
      <c r="C109" s="515">
        <v>500</v>
      </c>
      <c r="D109" s="164">
        <v>0.16561432083312971</v>
      </c>
      <c r="E109" s="164">
        <v>0.55784312843357686</v>
      </c>
      <c r="F109" s="164">
        <v>0.97057559279839178</v>
      </c>
      <c r="G109" s="164">
        <v>2.6730457859347832E-3</v>
      </c>
      <c r="H109" s="164">
        <v>3.5113816961244576E-2</v>
      </c>
      <c r="I109" s="163">
        <v>272.33385676982761</v>
      </c>
      <c r="J109" s="517">
        <v>1.494311299918835E-2</v>
      </c>
    </row>
    <row r="110" spans="2:10" x14ac:dyDescent="0.2">
      <c r="B110" s="514"/>
      <c r="C110" s="515">
        <v>750</v>
      </c>
      <c r="D110" s="164">
        <v>0.26929706194778014</v>
      </c>
      <c r="E110" s="164">
        <v>0.90443415070183453</v>
      </c>
      <c r="F110" s="164">
        <v>1.615238995432134</v>
      </c>
      <c r="G110" s="164">
        <v>4.4415585486726108E-3</v>
      </c>
      <c r="H110" s="164">
        <v>5.7654140478607438E-2</v>
      </c>
      <c r="I110" s="163">
        <v>441.73838315628058</v>
      </c>
      <c r="J110" s="517">
        <v>2.4298248399420672E-2</v>
      </c>
    </row>
    <row r="111" spans="2:10" x14ac:dyDescent="0.2">
      <c r="B111" s="514"/>
      <c r="C111" s="515">
        <v>1000</v>
      </c>
      <c r="D111" s="164">
        <v>0.40576098080779366</v>
      </c>
      <c r="E111" s="164">
        <v>1.3339330789960486</v>
      </c>
      <c r="F111" s="164">
        <v>4.3394197686165503</v>
      </c>
      <c r="G111" s="164">
        <v>6.2814269357035699E-3</v>
      </c>
      <c r="H111" s="164">
        <v>0.11102650028668593</v>
      </c>
      <c r="I111" s="163">
        <v>624.72399681507102</v>
      </c>
      <c r="J111" s="517">
        <v>3.6611150314811929E-2</v>
      </c>
    </row>
    <row r="112" spans="2:10" x14ac:dyDescent="0.2">
      <c r="B112" s="518" t="s">
        <v>533</v>
      </c>
      <c r="C112" s="519"/>
      <c r="D112" s="520">
        <v>0.16133579856400088</v>
      </c>
      <c r="E112" s="520">
        <v>0.56341484986188173</v>
      </c>
      <c r="F112" s="520">
        <v>1.0525245185736298</v>
      </c>
      <c r="G112" s="520">
        <v>2.6584605229756798E-3</v>
      </c>
      <c r="H112" s="520">
        <v>3.5966985253500783E-2</v>
      </c>
      <c r="I112" s="523">
        <v>260.07190241064683</v>
      </c>
      <c r="J112" s="522">
        <v>1.4557069300491008E-2</v>
      </c>
    </row>
    <row r="113" spans="2:10" x14ac:dyDescent="0.2">
      <c r="B113" s="514" t="s">
        <v>534</v>
      </c>
      <c r="C113" s="515">
        <v>15</v>
      </c>
      <c r="D113" s="164">
        <v>1.1765476462069602E-2</v>
      </c>
      <c r="E113" s="164">
        <v>6.1714709525793505E-2</v>
      </c>
      <c r="F113" s="164">
        <v>7.3679889623947101E-2</v>
      </c>
      <c r="G113" s="164">
        <v>1.5727910183139585E-4</v>
      </c>
      <c r="H113" s="164">
        <v>2.8790716861634286E-3</v>
      </c>
      <c r="I113" s="516">
        <v>10.107340651040547</v>
      </c>
      <c r="J113" s="517">
        <v>1.0615800521627282E-3</v>
      </c>
    </row>
    <row r="114" spans="2:10" x14ac:dyDescent="0.2">
      <c r="B114" s="514"/>
      <c r="C114" s="515">
        <v>25</v>
      </c>
      <c r="D114" s="164">
        <v>1.5945098772087649E-2</v>
      </c>
      <c r="E114" s="164">
        <v>5.442276407057408E-2</v>
      </c>
      <c r="F114" s="164">
        <v>0.10076025220092945</v>
      </c>
      <c r="G114" s="164">
        <v>1.6770235588901616E-4</v>
      </c>
      <c r="H114" s="164">
        <v>3.7620603753407964E-3</v>
      </c>
      <c r="I114" s="516">
        <v>13.217291495541826</v>
      </c>
      <c r="J114" s="517">
        <v>1.4387011113433123E-3</v>
      </c>
    </row>
    <row r="115" spans="2:10" x14ac:dyDescent="0.2">
      <c r="B115" s="514"/>
      <c r="C115" s="515">
        <v>50</v>
      </c>
      <c r="D115" s="164">
        <v>4.1185262604084193E-2</v>
      </c>
      <c r="E115" s="164">
        <v>0.23420851755806338</v>
      </c>
      <c r="F115" s="164">
        <v>0.21020759443967463</v>
      </c>
      <c r="G115" s="164">
        <v>3.6183511740171462E-4</v>
      </c>
      <c r="H115" s="164">
        <v>1.0762483779150119E-2</v>
      </c>
      <c r="I115" s="516">
        <v>27.989558799205803</v>
      </c>
      <c r="J115" s="517">
        <v>3.7160801440687158E-3</v>
      </c>
    </row>
    <row r="116" spans="2:10" x14ac:dyDescent="0.2">
      <c r="B116" s="514"/>
      <c r="C116" s="515">
        <v>120</v>
      </c>
      <c r="D116" s="164">
        <v>6.0384446710864903E-2</v>
      </c>
      <c r="E116" s="164">
        <v>0.51162483674325687</v>
      </c>
      <c r="F116" s="164">
        <v>0.45727284078871516</v>
      </c>
      <c r="G116" s="164">
        <v>9.4851438325562365E-4</v>
      </c>
      <c r="H116" s="164">
        <v>2.7947717081736868E-2</v>
      </c>
      <c r="I116" s="516">
        <v>80.858739206592389</v>
      </c>
      <c r="J116" s="517">
        <v>5.4483919326325713E-3</v>
      </c>
    </row>
    <row r="117" spans="2:10" x14ac:dyDescent="0.2">
      <c r="B117" s="514"/>
      <c r="C117" s="515">
        <v>175</v>
      </c>
      <c r="D117" s="164">
        <v>6.0803262455856037E-2</v>
      </c>
      <c r="E117" s="164">
        <v>0.58590611045229057</v>
      </c>
      <c r="F117" s="164">
        <v>0.44776718455555292</v>
      </c>
      <c r="G117" s="164">
        <v>1.1984860337219379E-3</v>
      </c>
      <c r="H117" s="164">
        <v>2.1762998114598715E-2</v>
      </c>
      <c r="I117" s="163">
        <v>106.5158537913082</v>
      </c>
      <c r="J117" s="517">
        <v>5.4861803870114613E-3</v>
      </c>
    </row>
    <row r="118" spans="2:10" x14ac:dyDescent="0.2">
      <c r="B118" s="514"/>
      <c r="C118" s="515">
        <v>500</v>
      </c>
      <c r="D118" s="164">
        <v>0.11222734178646317</v>
      </c>
      <c r="E118" s="164">
        <v>0.4743040148615339</v>
      </c>
      <c r="F118" s="164">
        <v>0.8003746229939348</v>
      </c>
      <c r="G118" s="164">
        <v>2.4954338651265763E-3</v>
      </c>
      <c r="H118" s="164">
        <v>2.7532185746590679E-2</v>
      </c>
      <c r="I118" s="163">
        <v>254.23847108919361</v>
      </c>
      <c r="J118" s="517">
        <v>1.0126092850486785E-2</v>
      </c>
    </row>
    <row r="119" spans="2:10" x14ac:dyDescent="0.2">
      <c r="B119" s="518" t="s">
        <v>535</v>
      </c>
      <c r="C119" s="519"/>
      <c r="D119" s="520">
        <v>6.3308760096323732E-2</v>
      </c>
      <c r="E119" s="520">
        <v>0.35421510212814822</v>
      </c>
      <c r="F119" s="520">
        <v>0.44778354473811538</v>
      </c>
      <c r="G119" s="520">
        <v>1.2664518604667873E-3</v>
      </c>
      <c r="H119" s="520">
        <v>1.8111237854403009E-2</v>
      </c>
      <c r="I119" s="523">
        <v>122.52056929190333</v>
      </c>
      <c r="J119" s="522">
        <v>5.7122477679352138E-3</v>
      </c>
    </row>
    <row r="120" spans="2:10" x14ac:dyDescent="0.2">
      <c r="B120" s="514" t="s">
        <v>536</v>
      </c>
      <c r="C120" s="515">
        <v>15</v>
      </c>
      <c r="D120" s="164">
        <v>6.6325129822415703E-3</v>
      </c>
      <c r="E120" s="164">
        <v>3.9050259646848037E-2</v>
      </c>
      <c r="F120" s="164">
        <v>4.6621275245109443E-2</v>
      </c>
      <c r="G120" s="164">
        <v>9.9519082951313984E-5</v>
      </c>
      <c r="H120" s="164">
        <v>1.8217446646706429E-3</v>
      </c>
      <c r="I120" s="516">
        <v>6.3954635939798274</v>
      </c>
      <c r="J120" s="517">
        <v>5.9844097143272148E-4</v>
      </c>
    </row>
    <row r="121" spans="2:10" x14ac:dyDescent="0.2">
      <c r="B121" s="514"/>
      <c r="C121" s="515">
        <v>25</v>
      </c>
      <c r="D121" s="164">
        <v>1.8516893593754677E-2</v>
      </c>
      <c r="E121" s="164">
        <v>6.3200634595661886E-2</v>
      </c>
      <c r="F121" s="164">
        <v>0.11701193993286135</v>
      </c>
      <c r="G121" s="164">
        <v>1.9475113541694448E-4</v>
      </c>
      <c r="H121" s="164">
        <v>4.3721871451905718E-3</v>
      </c>
      <c r="I121" s="516">
        <v>15.349111515741738</v>
      </c>
      <c r="J121" s="517">
        <v>1.6707495587189268E-3</v>
      </c>
    </row>
    <row r="122" spans="2:10" x14ac:dyDescent="0.2">
      <c r="B122" s="514"/>
      <c r="C122" s="515">
        <v>50</v>
      </c>
      <c r="D122" s="164">
        <v>5.4804075938957288E-2</v>
      </c>
      <c r="E122" s="164">
        <v>0.23135433774440137</v>
      </c>
      <c r="F122" s="164">
        <v>0.18686877505113475</v>
      </c>
      <c r="G122" s="164">
        <v>2.8110313677828769E-4</v>
      </c>
      <c r="H122" s="164">
        <v>1.3404060611801384E-2</v>
      </c>
      <c r="I122" s="516">
        <v>21.744577248364994</v>
      </c>
      <c r="J122" s="517">
        <v>4.9448841683466058E-3</v>
      </c>
    </row>
    <row r="123" spans="2:10" x14ac:dyDescent="0.2">
      <c r="B123" s="514"/>
      <c r="C123" s="515">
        <v>120</v>
      </c>
      <c r="D123" s="164">
        <v>7.3198627417529638E-2</v>
      </c>
      <c r="E123" s="164">
        <v>0.42769579929095797</v>
      </c>
      <c r="F123" s="164">
        <v>0.45444494678430047</v>
      </c>
      <c r="G123" s="164">
        <v>7.2771390034788745E-4</v>
      </c>
      <c r="H123" s="164">
        <v>3.4966313307164092E-2</v>
      </c>
      <c r="I123" s="516">
        <v>62.035973259281867</v>
      </c>
      <c r="J123" s="517">
        <v>6.6045945866731078E-3</v>
      </c>
    </row>
    <row r="124" spans="2:10" x14ac:dyDescent="0.2">
      <c r="B124" s="514"/>
      <c r="C124" s="515">
        <v>175</v>
      </c>
      <c r="D124" s="164">
        <v>8.3457478177588793E-2</v>
      </c>
      <c r="E124" s="164">
        <v>0.56640250221420974</v>
      </c>
      <c r="F124" s="164">
        <v>0.56077733406333219</v>
      </c>
      <c r="G124" s="164">
        <v>1.0793993260983235E-3</v>
      </c>
      <c r="H124" s="164">
        <v>3.0664291494635457E-2</v>
      </c>
      <c r="I124" s="516">
        <v>95.931953945667075</v>
      </c>
      <c r="J124" s="517">
        <v>7.5302348547354805E-3</v>
      </c>
    </row>
    <row r="125" spans="2:10" x14ac:dyDescent="0.2">
      <c r="B125" s="514"/>
      <c r="C125" s="515">
        <v>250</v>
      </c>
      <c r="D125" s="164">
        <v>8.8419060275131384E-2</v>
      </c>
      <c r="E125" s="164">
        <v>0.2861724375507303</v>
      </c>
      <c r="F125" s="164">
        <v>0.68659334476510181</v>
      </c>
      <c r="G125" s="164">
        <v>1.5255505353996771E-3</v>
      </c>
      <c r="H125" s="164">
        <v>2.2141769339398085E-2</v>
      </c>
      <c r="I125" s="163">
        <v>135.58384876553393</v>
      </c>
      <c r="J125" s="517">
        <v>7.9779091870211174E-3</v>
      </c>
    </row>
    <row r="126" spans="2:10" x14ac:dyDescent="0.2">
      <c r="B126" s="514"/>
      <c r="C126" s="515">
        <v>500</v>
      </c>
      <c r="D126" s="164">
        <v>0.16643210532120442</v>
      </c>
      <c r="E126" s="164">
        <v>0.53363861589237105</v>
      </c>
      <c r="F126" s="164">
        <v>1.1845658290411973</v>
      </c>
      <c r="G126" s="164">
        <v>2.6051025195719E-3</v>
      </c>
      <c r="H126" s="164">
        <v>4.1226395884784967E-2</v>
      </c>
      <c r="I126" s="163">
        <v>265.41176019437791</v>
      </c>
      <c r="J126" s="517">
        <v>1.5016895837410902E-2</v>
      </c>
    </row>
    <row r="127" spans="2:10" x14ac:dyDescent="0.2">
      <c r="B127" s="514"/>
      <c r="C127" s="515">
        <v>750</v>
      </c>
      <c r="D127" s="164">
        <v>0.27549086132649969</v>
      </c>
      <c r="E127" s="164">
        <v>0.87953937310416552</v>
      </c>
      <c r="F127" s="164">
        <v>2.0056760678571979</v>
      </c>
      <c r="G127" s="164">
        <v>4.398437522207325E-3</v>
      </c>
      <c r="H127" s="164">
        <v>6.8866761570906876E-2</v>
      </c>
      <c r="I127" s="163">
        <v>437.44980745090635</v>
      </c>
      <c r="J127" s="517">
        <v>2.4857098137510306E-2</v>
      </c>
    </row>
    <row r="128" spans="2:10" x14ac:dyDescent="0.2">
      <c r="B128" s="514"/>
      <c r="C128" s="515">
        <v>1000</v>
      </c>
      <c r="D128" s="164">
        <v>0.38658278698394677</v>
      </c>
      <c r="E128" s="164">
        <v>1.2370312938685495</v>
      </c>
      <c r="F128" s="164">
        <v>4.3715546705905783</v>
      </c>
      <c r="G128" s="164">
        <v>5.6266561367375734E-3</v>
      </c>
      <c r="H128" s="164">
        <v>0.11693451432974489</v>
      </c>
      <c r="I128" s="163">
        <v>559.60325536198491</v>
      </c>
      <c r="J128" s="517">
        <v>3.4880755306371282E-2</v>
      </c>
    </row>
    <row r="129" spans="2:10" x14ac:dyDescent="0.2">
      <c r="B129" s="518" t="s">
        <v>537</v>
      </c>
      <c r="C129" s="519"/>
      <c r="D129" s="520">
        <v>0.11130818058980443</v>
      </c>
      <c r="E129" s="520">
        <v>0.45914021503563773</v>
      </c>
      <c r="F129" s="520">
        <v>0.8242309010574338</v>
      </c>
      <c r="G129" s="520">
        <v>1.6001046791050038E-3</v>
      </c>
      <c r="H129" s="520">
        <v>3.3649586619602545E-2</v>
      </c>
      <c r="I129" s="523">
        <v>152.23991321929404</v>
      </c>
      <c r="J129" s="522">
        <v>1.0043157600703782E-2</v>
      </c>
    </row>
    <row r="130" spans="2:10" x14ac:dyDescent="0.2">
      <c r="B130" s="514" t="s">
        <v>538</v>
      </c>
      <c r="C130" s="515">
        <v>50</v>
      </c>
      <c r="D130" s="164">
        <v>7.5834868422413271E-2</v>
      </c>
      <c r="E130" s="164">
        <v>0.31919751142253461</v>
      </c>
      <c r="F130" s="164">
        <v>0.25975798197397637</v>
      </c>
      <c r="G130" s="164">
        <v>3.9215021140798933E-4</v>
      </c>
      <c r="H130" s="164">
        <v>1.8637848841995531E-2</v>
      </c>
      <c r="I130" s="516">
        <v>30.334560894356294</v>
      </c>
      <c r="J130" s="517">
        <v>6.8424580887933417E-3</v>
      </c>
    </row>
    <row r="131" spans="2:10" x14ac:dyDescent="0.2">
      <c r="B131" s="514"/>
      <c r="C131" s="515">
        <v>120</v>
      </c>
      <c r="D131" s="164">
        <v>7.090798169916579E-2</v>
      </c>
      <c r="E131" s="164">
        <v>0.41618768825324121</v>
      </c>
      <c r="F131" s="164">
        <v>0.44368872533092207</v>
      </c>
      <c r="G131" s="164">
        <v>7.116800340680495E-4</v>
      </c>
      <c r="H131" s="164">
        <v>3.4123279143121306E-2</v>
      </c>
      <c r="I131" s="516">
        <v>60.669121227734671</v>
      </c>
      <c r="J131" s="517">
        <v>6.3979126014599777E-3</v>
      </c>
    </row>
    <row r="132" spans="2:10" x14ac:dyDescent="0.2">
      <c r="B132" s="514"/>
      <c r="C132" s="515">
        <v>175</v>
      </c>
      <c r="D132" s="164">
        <v>0.10498376246052026</v>
      </c>
      <c r="E132" s="164">
        <v>0.71707740995801583</v>
      </c>
      <c r="F132" s="164">
        <v>0.71251782053035584</v>
      </c>
      <c r="G132" s="164">
        <v>1.3735879914672194E-3</v>
      </c>
      <c r="H132" s="164">
        <v>3.8907214993290411E-2</v>
      </c>
      <c r="I132" s="163">
        <v>122.07809705497013</v>
      </c>
      <c r="J132" s="517">
        <v>9.4725185557162535E-3</v>
      </c>
    </row>
    <row r="133" spans="2:10" x14ac:dyDescent="0.2">
      <c r="B133" s="514"/>
      <c r="C133" s="515">
        <v>250</v>
      </c>
      <c r="D133" s="164">
        <v>9.3408476406908955E-2</v>
      </c>
      <c r="E133" s="164">
        <v>0.30458167711160716</v>
      </c>
      <c r="F133" s="164">
        <v>0.73364423951599611</v>
      </c>
      <c r="G133" s="164">
        <v>1.6316555556613566E-3</v>
      </c>
      <c r="H133" s="164">
        <v>2.3654840991803875E-2</v>
      </c>
      <c r="I133" s="163">
        <v>145.01399028092297</v>
      </c>
      <c r="J133" s="517">
        <v>8.4280964127821378E-3</v>
      </c>
    </row>
    <row r="134" spans="2:10" x14ac:dyDescent="0.2">
      <c r="B134" s="514"/>
      <c r="C134" s="515">
        <v>500</v>
      </c>
      <c r="D134" s="164">
        <v>0.1186296580666156</v>
      </c>
      <c r="E134" s="164">
        <v>0.38380460296692648</v>
      </c>
      <c r="F134" s="164">
        <v>0.85432007261066112</v>
      </c>
      <c r="G134" s="164">
        <v>1.88086825400018E-3</v>
      </c>
      <c r="H134" s="164">
        <v>2.9729695196020058E-2</v>
      </c>
      <c r="I134" s="163">
        <v>191.62563621593253</v>
      </c>
      <c r="J134" s="517">
        <v>1.0703767317340214E-2</v>
      </c>
    </row>
    <row r="135" spans="2:10" x14ac:dyDescent="0.2">
      <c r="B135" s="514"/>
      <c r="C135" s="515">
        <v>9999</v>
      </c>
      <c r="D135" s="164">
        <v>0.53859356887706578</v>
      </c>
      <c r="E135" s="164">
        <v>1.6330623655740422</v>
      </c>
      <c r="F135" s="164">
        <v>5.7821798843961059</v>
      </c>
      <c r="G135" s="164">
        <v>7.2765640230326887E-3</v>
      </c>
      <c r="H135" s="164">
        <v>0.15433555145191585</v>
      </c>
      <c r="I135" s="163">
        <v>741.34714551805666</v>
      </c>
      <c r="J135" s="517">
        <v>4.8596450631479791E-2</v>
      </c>
    </row>
    <row r="136" spans="2:10" x14ac:dyDescent="0.2">
      <c r="B136" s="518" t="s">
        <v>539</v>
      </c>
      <c r="C136" s="519"/>
      <c r="D136" s="520">
        <v>0.10498726750303965</v>
      </c>
      <c r="E136" s="520">
        <v>0.44954824890101003</v>
      </c>
      <c r="F136" s="520">
        <v>0.80526847854110795</v>
      </c>
      <c r="G136" s="520">
        <v>1.543220120094305E-3</v>
      </c>
      <c r="H136" s="520">
        <v>3.2449966002034383E-2</v>
      </c>
      <c r="I136" s="523">
        <v>141.19406091930557</v>
      </c>
      <c r="J136" s="522">
        <v>9.4728334659563585E-3</v>
      </c>
    </row>
    <row r="137" spans="2:10" x14ac:dyDescent="0.2">
      <c r="B137" s="514" t="s">
        <v>540</v>
      </c>
      <c r="C137" s="515">
        <v>25</v>
      </c>
      <c r="D137" s="164">
        <v>2.2628892437475401E-2</v>
      </c>
      <c r="E137" s="164">
        <v>7.6895851036969609E-2</v>
      </c>
      <c r="F137" s="164">
        <v>0.14342377744127066</v>
      </c>
      <c r="G137" s="164">
        <v>2.3675629564737509E-4</v>
      </c>
      <c r="H137" s="164">
        <v>5.6567365544865173E-3</v>
      </c>
      <c r="I137" s="516">
        <v>18.659707781169757</v>
      </c>
      <c r="J137" s="517">
        <v>2.0417683234791959E-3</v>
      </c>
    </row>
    <row r="138" spans="2:10" x14ac:dyDescent="0.2">
      <c r="B138" s="514"/>
      <c r="C138" s="515">
        <v>50</v>
      </c>
      <c r="D138" s="164">
        <v>9.6765723467670164E-2</v>
      </c>
      <c r="E138" s="164">
        <v>0.31883120339154342</v>
      </c>
      <c r="F138" s="164">
        <v>0.25393250710092635</v>
      </c>
      <c r="G138" s="164">
        <v>3.6183516324024231E-4</v>
      </c>
      <c r="H138" s="164">
        <v>2.1675437083731885E-2</v>
      </c>
      <c r="I138" s="516">
        <v>27.989558856391227</v>
      </c>
      <c r="J138" s="517">
        <v>8.7310151811733541E-3</v>
      </c>
    </row>
    <row r="139" spans="2:10" x14ac:dyDescent="0.2">
      <c r="B139" s="514"/>
      <c r="C139" s="515">
        <v>120</v>
      </c>
      <c r="D139" s="164">
        <v>0.10301426298562348</v>
      </c>
      <c r="E139" s="164">
        <v>0.48622275952926836</v>
      </c>
      <c r="F139" s="164">
        <v>0.62054423111353063</v>
      </c>
      <c r="G139" s="164">
        <v>8.1170926573786344E-4</v>
      </c>
      <c r="H139" s="164">
        <v>5.0628065243013214E-2</v>
      </c>
      <c r="I139" s="516">
        <v>69.196426369988217</v>
      </c>
      <c r="J139" s="517">
        <v>9.2948123821618971E-3</v>
      </c>
    </row>
    <row r="140" spans="2:10" x14ac:dyDescent="0.2">
      <c r="B140" s="514"/>
      <c r="C140" s="515">
        <v>175</v>
      </c>
      <c r="D140" s="164">
        <v>0.13650066593905569</v>
      </c>
      <c r="E140" s="164">
        <v>0.76324939917866907</v>
      </c>
      <c r="F140" s="164">
        <v>0.96437283219068093</v>
      </c>
      <c r="G140" s="164">
        <v>1.4434323240694131E-3</v>
      </c>
      <c r="H140" s="164">
        <v>5.3946533387830328E-2</v>
      </c>
      <c r="I140" s="163">
        <v>128.28551249601233</v>
      </c>
      <c r="J140" s="517">
        <v>1.2316236265529136E-2</v>
      </c>
    </row>
    <row r="141" spans="2:10" x14ac:dyDescent="0.2">
      <c r="B141" s="514"/>
      <c r="C141" s="515">
        <v>250</v>
      </c>
      <c r="D141" s="164">
        <v>0.15741122322273737</v>
      </c>
      <c r="E141" s="164">
        <v>0.50002067893398294</v>
      </c>
      <c r="F141" s="164">
        <v>1.3161979362973808</v>
      </c>
      <c r="G141" s="164">
        <v>2.1870178019374868E-3</v>
      </c>
      <c r="H141" s="164">
        <v>4.9048358435397475E-2</v>
      </c>
      <c r="I141" s="163">
        <v>194.37194946224628</v>
      </c>
      <c r="J141" s="517">
        <v>1.4202962729893931E-2</v>
      </c>
    </row>
    <row r="142" spans="2:10" x14ac:dyDescent="0.2">
      <c r="B142" s="514"/>
      <c r="C142" s="515">
        <v>500</v>
      </c>
      <c r="D142" s="164">
        <v>0.17650172667779004</v>
      </c>
      <c r="E142" s="164">
        <v>0.68850300006141596</v>
      </c>
      <c r="F142" s="164">
        <v>1.4189058624996573</v>
      </c>
      <c r="G142" s="164">
        <v>2.2893892803023119E-3</v>
      </c>
      <c r="H142" s="164">
        <v>5.3868235235973817E-2</v>
      </c>
      <c r="I142" s="163">
        <v>233.24630761942706</v>
      </c>
      <c r="J142" s="517">
        <v>1.5925464162183857E-2</v>
      </c>
    </row>
    <row r="143" spans="2:10" x14ac:dyDescent="0.2">
      <c r="B143" s="518" t="s">
        <v>541</v>
      </c>
      <c r="C143" s="519"/>
      <c r="D143" s="520">
        <v>0.11214865788739893</v>
      </c>
      <c r="E143" s="520">
        <v>0.50173460293745387</v>
      </c>
      <c r="F143" s="520">
        <v>0.62408314296320211</v>
      </c>
      <c r="G143" s="520">
        <v>8.9492536837336477E-4</v>
      </c>
      <c r="H143" s="520">
        <v>4.1897580599063788E-2</v>
      </c>
      <c r="I143" s="521">
        <v>77.933355029761003</v>
      </c>
      <c r="J143" s="522">
        <v>1.0118993439623284E-2</v>
      </c>
    </row>
    <row r="144" spans="2:10" x14ac:dyDescent="0.2">
      <c r="B144" s="514" t="s">
        <v>542</v>
      </c>
      <c r="C144" s="515">
        <v>25</v>
      </c>
      <c r="D144" s="164">
        <v>1.523408109425785E-2</v>
      </c>
      <c r="E144" s="164">
        <v>5.1995956492700009E-2</v>
      </c>
      <c r="F144" s="164">
        <v>9.6267180585447837E-2</v>
      </c>
      <c r="G144" s="164">
        <v>1.6022420923011041E-4</v>
      </c>
      <c r="H144" s="164">
        <v>3.5943034140667146E-3</v>
      </c>
      <c r="I144" s="516">
        <v>12.627910037524655</v>
      </c>
      <c r="J144" s="517">
        <v>1.3745466642099712E-3</v>
      </c>
    </row>
    <row r="145" spans="2:10" x14ac:dyDescent="0.2">
      <c r="B145" s="514"/>
      <c r="C145" s="515">
        <v>50</v>
      </c>
      <c r="D145" s="164">
        <v>8.2099187555024475E-2</v>
      </c>
      <c r="E145" s="164">
        <v>0.26955746325346597</v>
      </c>
      <c r="F145" s="164">
        <v>0.21649165430591802</v>
      </c>
      <c r="G145" s="164">
        <v>3.0931062843322498E-4</v>
      </c>
      <c r="H145" s="164">
        <v>1.8532439349578593E-2</v>
      </c>
      <c r="I145" s="516">
        <v>23.926554571488452</v>
      </c>
      <c r="J145" s="517">
        <v>7.4076778753715796E-3</v>
      </c>
    </row>
    <row r="146" spans="2:10" x14ac:dyDescent="0.2">
      <c r="B146" s="514"/>
      <c r="C146" s="515">
        <v>120</v>
      </c>
      <c r="D146" s="164">
        <v>8.0547964568081235E-2</v>
      </c>
      <c r="E146" s="164">
        <v>0.3808726636975826</v>
      </c>
      <c r="F146" s="164">
        <v>0.48688192761422927</v>
      </c>
      <c r="G146" s="164">
        <v>6.3930556871242519E-4</v>
      </c>
      <c r="H146" s="164">
        <v>4.0032638590278578E-2</v>
      </c>
      <c r="I146" s="516">
        <v>54.499364810665796</v>
      </c>
      <c r="J146" s="517">
        <v>7.2677152639502376E-3</v>
      </c>
    </row>
    <row r="147" spans="2:10" x14ac:dyDescent="0.2">
      <c r="B147" s="514"/>
      <c r="C147" s="515">
        <v>175</v>
      </c>
      <c r="D147" s="164">
        <v>0.10624682191655359</v>
      </c>
      <c r="E147" s="164">
        <v>0.59714290782443646</v>
      </c>
      <c r="F147" s="164">
        <v>0.75674345122370457</v>
      </c>
      <c r="G147" s="164">
        <v>1.1366844405500641E-3</v>
      </c>
      <c r="H147" s="164">
        <v>4.2403837168135332E-2</v>
      </c>
      <c r="I147" s="163">
        <v>101.02322758175072</v>
      </c>
      <c r="J147" s="517">
        <v>9.5864808851784094E-3</v>
      </c>
    </row>
    <row r="148" spans="2:10" x14ac:dyDescent="0.2">
      <c r="B148" s="514"/>
      <c r="C148" s="515">
        <v>250</v>
      </c>
      <c r="D148" s="164">
        <v>9.6218525521531414E-2</v>
      </c>
      <c r="E148" s="164">
        <v>0.30681165150173895</v>
      </c>
      <c r="F148" s="164">
        <v>0.82358878580538508</v>
      </c>
      <c r="G148" s="164">
        <v>1.3759874478858664E-3</v>
      </c>
      <c r="H148" s="164">
        <v>2.9997495697653996E-2</v>
      </c>
      <c r="I148" s="163">
        <v>122.29133454162223</v>
      </c>
      <c r="J148" s="517">
        <v>8.6816443703461778E-3</v>
      </c>
    </row>
    <row r="149" spans="2:10" x14ac:dyDescent="0.2">
      <c r="B149" s="518" t="s">
        <v>543</v>
      </c>
      <c r="C149" s="519"/>
      <c r="D149" s="520">
        <v>8.5650756078634621E-2</v>
      </c>
      <c r="E149" s="520">
        <v>0.41358006963794691</v>
      </c>
      <c r="F149" s="520">
        <v>0.55583364302611959</v>
      </c>
      <c r="G149" s="520">
        <v>7.9300867229172847E-4</v>
      </c>
      <c r="H149" s="520">
        <v>3.7367341872363014E-2</v>
      </c>
      <c r="I149" s="521">
        <v>68.940314821338859</v>
      </c>
      <c r="J149" s="522">
        <v>7.7281314919169265E-3</v>
      </c>
    </row>
    <row r="150" spans="2:10" x14ac:dyDescent="0.2">
      <c r="B150" s="514" t="s">
        <v>544</v>
      </c>
      <c r="C150" s="515">
        <v>15</v>
      </c>
      <c r="D150" s="164">
        <v>5.0214954677955436E-3</v>
      </c>
      <c r="E150" s="164">
        <v>2.633978692549354E-2</v>
      </c>
      <c r="F150" s="164">
        <v>3.1446517782295895E-2</v>
      </c>
      <c r="G150" s="164">
        <v>6.7126594412035049E-5</v>
      </c>
      <c r="H150" s="164">
        <v>1.2287851334654408E-3</v>
      </c>
      <c r="I150" s="516">
        <v>4.3138039454946409</v>
      </c>
      <c r="J150" s="517">
        <v>4.5308150272864407E-4</v>
      </c>
    </row>
    <row r="151" spans="2:10" x14ac:dyDescent="0.2">
      <c r="B151" s="518" t="s">
        <v>545</v>
      </c>
      <c r="C151" s="519"/>
      <c r="D151" s="520">
        <v>5.0214954677955436E-3</v>
      </c>
      <c r="E151" s="520">
        <v>2.633978692549354E-2</v>
      </c>
      <c r="F151" s="520">
        <v>3.1446517782295895E-2</v>
      </c>
      <c r="G151" s="520">
        <v>6.7126594412035049E-5</v>
      </c>
      <c r="H151" s="520">
        <v>1.2287851334654408E-3</v>
      </c>
      <c r="I151" s="521">
        <v>4.3138039454946409</v>
      </c>
      <c r="J151" s="522">
        <v>4.5308150272864407E-4</v>
      </c>
    </row>
    <row r="152" spans="2:10" x14ac:dyDescent="0.2">
      <c r="B152" s="514" t="s">
        <v>546</v>
      </c>
      <c r="C152" s="515">
        <v>15</v>
      </c>
      <c r="D152" s="164">
        <v>5.8746541080907533E-3</v>
      </c>
      <c r="E152" s="164">
        <v>3.0847701544506917E-2</v>
      </c>
      <c r="F152" s="164">
        <v>4.0837310188141566E-2</v>
      </c>
      <c r="G152" s="164">
        <v>7.6102805024760528E-5</v>
      </c>
      <c r="H152" s="164">
        <v>2.0555473009095482E-3</v>
      </c>
      <c r="I152" s="516">
        <v>4.8906484757025552</v>
      </c>
      <c r="J152" s="517">
        <v>5.3006062511324248E-4</v>
      </c>
    </row>
    <row r="153" spans="2:10" x14ac:dyDescent="0.2">
      <c r="B153" s="514"/>
      <c r="C153" s="515">
        <v>25</v>
      </c>
      <c r="D153" s="164">
        <v>9.38407943018775E-3</v>
      </c>
      <c r="E153" s="164">
        <v>3.1936428651372792E-2</v>
      </c>
      <c r="F153" s="164">
        <v>5.8736052433839982E-2</v>
      </c>
      <c r="G153" s="164">
        <v>9.0692959506527676E-5</v>
      </c>
      <c r="H153" s="164">
        <v>2.8339913395305978E-3</v>
      </c>
      <c r="I153" s="516">
        <v>7.1478719953109824</v>
      </c>
      <c r="J153" s="517">
        <v>8.4671016202634425E-4</v>
      </c>
    </row>
    <row r="154" spans="2:10" x14ac:dyDescent="0.2">
      <c r="B154" s="514"/>
      <c r="C154" s="515">
        <v>50</v>
      </c>
      <c r="D154" s="164">
        <v>1.6950832023361138E-2</v>
      </c>
      <c r="E154" s="164">
        <v>8.9458169783675628E-2</v>
      </c>
      <c r="F154" s="164">
        <v>0.10588278555649813</v>
      </c>
      <c r="G154" s="164">
        <v>1.8480830591471943E-4</v>
      </c>
      <c r="H154" s="164">
        <v>5.3921626216730852E-3</v>
      </c>
      <c r="I154" s="516">
        <v>14.295738813505189</v>
      </c>
      <c r="J154" s="517">
        <v>1.5294460931059969E-3</v>
      </c>
    </row>
    <row r="155" spans="2:10" x14ac:dyDescent="0.2">
      <c r="B155" s="514"/>
      <c r="C155" s="515">
        <v>120</v>
      </c>
      <c r="D155" s="164">
        <v>1.6716587393236421E-2</v>
      </c>
      <c r="E155" s="164">
        <v>0.13828183455385931</v>
      </c>
      <c r="F155" s="164">
        <v>0.15281484826550618</v>
      </c>
      <c r="G155" s="164">
        <v>2.8243599717522633E-4</v>
      </c>
      <c r="H155" s="164">
        <v>8.7024161559923555E-3</v>
      </c>
      <c r="I155" s="516">
        <v>24.077038767248602</v>
      </c>
      <c r="J155" s="517">
        <v>1.5083105402564456E-3</v>
      </c>
    </row>
    <row r="156" spans="2:10" x14ac:dyDescent="0.2">
      <c r="B156" s="518" t="s">
        <v>547</v>
      </c>
      <c r="C156" s="519"/>
      <c r="D156" s="520">
        <v>1.0117819699117649E-2</v>
      </c>
      <c r="E156" s="520">
        <v>5.620265994944991E-2</v>
      </c>
      <c r="F156" s="520">
        <v>7.0305571212292611E-2</v>
      </c>
      <c r="G156" s="520">
        <v>1.2539797500318566E-4</v>
      </c>
      <c r="H156" s="520">
        <v>3.6411979818702358E-3</v>
      </c>
      <c r="I156" s="521">
        <v>9.413546443564659</v>
      </c>
      <c r="J156" s="522">
        <v>9.1291450853732501E-4</v>
      </c>
    </row>
    <row r="157" spans="2:10" x14ac:dyDescent="0.2">
      <c r="B157" s="514" t="s">
        <v>548</v>
      </c>
      <c r="C157" s="515">
        <v>15</v>
      </c>
      <c r="D157" s="164">
        <v>1.0064200426446819E-2</v>
      </c>
      <c r="E157" s="164">
        <v>4.6825245623620046E-2</v>
      </c>
      <c r="F157" s="164">
        <v>6.2461920593534628E-2</v>
      </c>
      <c r="G157" s="164">
        <v>1.1552018414506589E-4</v>
      </c>
      <c r="H157" s="164">
        <v>3.3842457194727354E-3</v>
      </c>
      <c r="I157" s="516">
        <v>7.4237560028698226</v>
      </c>
      <c r="J157" s="517">
        <v>9.0807673566884513E-4</v>
      </c>
    </row>
    <row r="158" spans="2:10" x14ac:dyDescent="0.2">
      <c r="B158" s="514"/>
      <c r="C158" s="515">
        <v>25</v>
      </c>
      <c r="D158" s="164">
        <v>2.7861883916318868E-2</v>
      </c>
      <c r="E158" s="164">
        <v>8.7068777444983689E-2</v>
      </c>
      <c r="F158" s="164">
        <v>0.16013302171694249</v>
      </c>
      <c r="G158" s="164">
        <v>2.4725752005804152E-4</v>
      </c>
      <c r="H158" s="164">
        <v>8.0325965497177482E-3</v>
      </c>
      <c r="I158" s="516">
        <v>19.487350960727664</v>
      </c>
      <c r="J158" s="517">
        <v>2.5139330238412917E-3</v>
      </c>
    </row>
    <row r="159" spans="2:10" x14ac:dyDescent="0.2">
      <c r="B159" s="514"/>
      <c r="C159" s="515">
        <v>50</v>
      </c>
      <c r="D159" s="164">
        <v>5.9925747387692165E-2</v>
      </c>
      <c r="E159" s="164">
        <v>0.2670351118064816</v>
      </c>
      <c r="F159" s="164">
        <v>0.26766196192746083</v>
      </c>
      <c r="G159" s="164">
        <v>4.4386402420432212E-4</v>
      </c>
      <c r="H159" s="164">
        <v>1.6371680686976465E-2</v>
      </c>
      <c r="I159" s="516">
        <v>34.33485482908052</v>
      </c>
      <c r="J159" s="517">
        <v>5.4070040052826389E-3</v>
      </c>
    </row>
    <row r="160" spans="2:10" x14ac:dyDescent="0.2">
      <c r="B160" s="514"/>
      <c r="C160" s="515">
        <v>120</v>
      </c>
      <c r="D160" s="164">
        <v>6.7550381338463458E-2</v>
      </c>
      <c r="E160" s="164">
        <v>0.47673215768181537</v>
      </c>
      <c r="F160" s="164">
        <v>0.52598520791159653</v>
      </c>
      <c r="G160" s="164">
        <v>9.1438677320548347E-4</v>
      </c>
      <c r="H160" s="164">
        <v>3.5030868192059764E-2</v>
      </c>
      <c r="I160" s="516">
        <v>77.949425298874615</v>
      </c>
      <c r="J160" s="517">
        <v>6.0949624867407508E-3</v>
      </c>
    </row>
    <row r="161" spans="2:10" x14ac:dyDescent="0.2">
      <c r="B161" s="514"/>
      <c r="C161" s="515">
        <v>175</v>
      </c>
      <c r="D161" s="164">
        <v>8.4494762885450631E-2</v>
      </c>
      <c r="E161" s="164">
        <v>0.7337882863929206</v>
      </c>
      <c r="F161" s="164">
        <v>0.75480101089097473</v>
      </c>
      <c r="G161" s="164">
        <v>1.5766283757272649E-3</v>
      </c>
      <c r="H161" s="164">
        <v>3.5022667259652134E-2</v>
      </c>
      <c r="I161" s="163">
        <v>140.12339423544859</v>
      </c>
      <c r="J161" s="517">
        <v>7.6238280718474161E-3</v>
      </c>
    </row>
    <row r="162" spans="2:10" x14ac:dyDescent="0.2">
      <c r="B162" s="514"/>
      <c r="C162" s="515">
        <v>250</v>
      </c>
      <c r="D162" s="164">
        <v>8.6589393814782853E-2</v>
      </c>
      <c r="E162" s="164">
        <v>0.37856289660736514</v>
      </c>
      <c r="F162" s="164">
        <v>0.93994916021027908</v>
      </c>
      <c r="G162" s="164">
        <v>2.2657495530861538E-3</v>
      </c>
      <c r="H162" s="164">
        <v>2.7103330394353996E-2</v>
      </c>
      <c r="I162" s="163">
        <v>201.36928042952366</v>
      </c>
      <c r="J162" s="517">
        <v>7.8128203763525722E-3</v>
      </c>
    </row>
    <row r="163" spans="2:10" x14ac:dyDescent="0.2">
      <c r="B163" s="514"/>
      <c r="C163" s="515">
        <v>500</v>
      </c>
      <c r="D163" s="164">
        <v>0.13868290477940576</v>
      </c>
      <c r="E163" s="164">
        <v>0.63431482242826431</v>
      </c>
      <c r="F163" s="164">
        <v>1.436657434630515</v>
      </c>
      <c r="G163" s="164">
        <v>3.3882945777888277E-3</v>
      </c>
      <c r="H163" s="164">
        <v>4.4244347814671701E-2</v>
      </c>
      <c r="I163" s="163">
        <v>345.20451767113701</v>
      </c>
      <c r="J163" s="517">
        <v>1.2513133720198785E-2</v>
      </c>
    </row>
    <row r="164" spans="2:10" x14ac:dyDescent="0.2">
      <c r="B164" s="514"/>
      <c r="C164" s="515">
        <v>750</v>
      </c>
      <c r="D164" s="164">
        <v>0.23297086366447387</v>
      </c>
      <c r="E164" s="164">
        <v>1.0486657708868912</v>
      </c>
      <c r="F164" s="164">
        <v>2.4375941769672926</v>
      </c>
      <c r="G164" s="164">
        <v>5.7382411186571169E-3</v>
      </c>
      <c r="H164" s="164">
        <v>7.4078172881484855E-2</v>
      </c>
      <c r="I164" s="163">
        <v>570.70103848891461</v>
      </c>
      <c r="J164" s="517">
        <v>2.1020592167694599E-2</v>
      </c>
    </row>
    <row r="165" spans="2:10" x14ac:dyDescent="0.2">
      <c r="B165" s="514"/>
      <c r="C165" s="515">
        <v>9999</v>
      </c>
      <c r="D165" s="164">
        <v>0.70502976760582381</v>
      </c>
      <c r="E165" s="164">
        <v>2.7433628980730762</v>
      </c>
      <c r="F165" s="164">
        <v>9.8508576244870589</v>
      </c>
      <c r="G165" s="164">
        <v>1.3622493743859748E-2</v>
      </c>
      <c r="H165" s="164">
        <v>0.23576310117426158</v>
      </c>
      <c r="I165" s="524">
        <v>1354.8349911727728</v>
      </c>
      <c r="J165" s="517">
        <v>6.3613690829737668E-2</v>
      </c>
    </row>
    <row r="166" spans="2:10" x14ac:dyDescent="0.2">
      <c r="B166" s="518" t="s">
        <v>549</v>
      </c>
      <c r="C166" s="519"/>
      <c r="D166" s="520">
        <v>4.5793206176718323E-2</v>
      </c>
      <c r="E166" s="520">
        <v>0.27217203543011792</v>
      </c>
      <c r="F166" s="520">
        <v>0.33064069839882221</v>
      </c>
      <c r="G166" s="520">
        <v>5.9045669157269446E-4</v>
      </c>
      <c r="H166" s="520">
        <v>1.8942006085664095E-2</v>
      </c>
      <c r="I166" s="521">
        <v>49.606655824908195</v>
      </c>
      <c r="J166" s="522">
        <v>4.1318474926686413E-3</v>
      </c>
    </row>
    <row r="167" spans="2:10" x14ac:dyDescent="0.2">
      <c r="B167" s="514" t="s">
        <v>550</v>
      </c>
      <c r="C167" s="515">
        <v>15</v>
      </c>
      <c r="D167" s="164">
        <v>7.3570740987081613E-3</v>
      </c>
      <c r="E167" s="164">
        <v>3.8590839733736136E-2</v>
      </c>
      <c r="F167" s="164">
        <v>4.6072792358835525E-2</v>
      </c>
      <c r="G167" s="164">
        <v>9.8348262780459354E-5</v>
      </c>
      <c r="H167" s="164">
        <v>1.8003129187975286E-3</v>
      </c>
      <c r="I167" s="516">
        <v>6.3202220431154732</v>
      </c>
      <c r="J167" s="517">
        <v>6.6381689051014687E-4</v>
      </c>
    </row>
    <row r="168" spans="2:10" x14ac:dyDescent="0.2">
      <c r="B168" s="514"/>
      <c r="C168" s="515">
        <v>25</v>
      </c>
      <c r="D168" s="164">
        <v>1.6096381860399116E-2</v>
      </c>
      <c r="E168" s="164">
        <v>5.4939118222420848E-2</v>
      </c>
      <c r="F168" s="164">
        <v>0.10171626254112492</v>
      </c>
      <c r="G168" s="164">
        <v>1.6929351131308938E-4</v>
      </c>
      <c r="H168" s="164">
        <v>3.7977541987228784E-3</v>
      </c>
      <c r="I168" s="516">
        <v>13.342693864957411</v>
      </c>
      <c r="J168" s="517">
        <v>1.4523505212406666E-3</v>
      </c>
    </row>
    <row r="169" spans="2:10" x14ac:dyDescent="0.2">
      <c r="B169" s="514"/>
      <c r="C169" s="515">
        <v>50</v>
      </c>
      <c r="D169" s="164">
        <v>6.6246105757280724E-2</v>
      </c>
      <c r="E169" s="164">
        <v>0.25474061447080493</v>
      </c>
      <c r="F169" s="164">
        <v>0.21714893215464404</v>
      </c>
      <c r="G169" s="164">
        <v>3.358971558329881E-4</v>
      </c>
      <c r="H169" s="164">
        <v>1.5819757011581788E-2</v>
      </c>
      <c r="I169" s="516">
        <v>25.983140434236585</v>
      </c>
      <c r="J169" s="517">
        <v>5.9772790294704168E-3</v>
      </c>
    </row>
    <row r="170" spans="2:10" x14ac:dyDescent="0.2">
      <c r="B170" s="514"/>
      <c r="C170" s="515">
        <v>120</v>
      </c>
      <c r="D170" s="164">
        <v>6.8005287678747861E-2</v>
      </c>
      <c r="E170" s="164">
        <v>0.3918511358928331</v>
      </c>
      <c r="F170" s="164">
        <v>0.44109534308041143</v>
      </c>
      <c r="G170" s="164">
        <v>6.9196831215809966E-4</v>
      </c>
      <c r="H170" s="164">
        <v>3.4100950106580638E-2</v>
      </c>
      <c r="I170" s="516">
        <v>58.988747635475733</v>
      </c>
      <c r="J170" s="517">
        <v>6.136008230264966E-3</v>
      </c>
    </row>
    <row r="171" spans="2:10" x14ac:dyDescent="0.2">
      <c r="B171" s="514"/>
      <c r="C171" s="515">
        <v>175</v>
      </c>
      <c r="D171" s="164">
        <v>8.9736145593586558E-2</v>
      </c>
      <c r="E171" s="164">
        <v>0.61299806941465973</v>
      </c>
      <c r="F171" s="164">
        <v>0.65686497560942603</v>
      </c>
      <c r="G171" s="164">
        <v>1.2168284914196685E-3</v>
      </c>
      <c r="H171" s="164">
        <v>3.5589447470447899E-2</v>
      </c>
      <c r="I171" s="163">
        <v>108.14603450792212</v>
      </c>
      <c r="J171" s="517">
        <v>8.0967498285132323E-3</v>
      </c>
    </row>
    <row r="172" spans="2:10" x14ac:dyDescent="0.2">
      <c r="B172" s="514"/>
      <c r="C172" s="515">
        <v>250</v>
      </c>
      <c r="D172" s="164">
        <v>9.3362312531121844E-2</v>
      </c>
      <c r="E172" s="164">
        <v>0.33060835376697673</v>
      </c>
      <c r="F172" s="164">
        <v>0.8164186599942973</v>
      </c>
      <c r="G172" s="164">
        <v>1.7225228680334771E-3</v>
      </c>
      <c r="H172" s="164">
        <v>2.7364011985605993E-2</v>
      </c>
      <c r="I172" s="163">
        <v>153.0898468576824</v>
      </c>
      <c r="J172" s="517">
        <v>8.4239312734354869E-3</v>
      </c>
    </row>
    <row r="173" spans="2:10" x14ac:dyDescent="0.2">
      <c r="B173" s="514"/>
      <c r="C173" s="515">
        <v>500</v>
      </c>
      <c r="D173" s="164">
        <v>0.12618573024299312</v>
      </c>
      <c r="E173" s="164">
        <v>0.49022183132960184</v>
      </c>
      <c r="F173" s="164">
        <v>1.0345057631071573</v>
      </c>
      <c r="G173" s="164">
        <v>2.150548425419398E-3</v>
      </c>
      <c r="H173" s="164">
        <v>3.6455554061555331E-2</v>
      </c>
      <c r="I173" s="163">
        <v>219.10099909917136</v>
      </c>
      <c r="J173" s="517">
        <v>1.1385539181805474E-2</v>
      </c>
    </row>
    <row r="174" spans="2:10" x14ac:dyDescent="0.2">
      <c r="B174" s="518" t="s">
        <v>551</v>
      </c>
      <c r="C174" s="519"/>
      <c r="D174" s="520">
        <v>6.8263269785231992E-2</v>
      </c>
      <c r="E174" s="520">
        <v>0.38848169707372032</v>
      </c>
      <c r="F174" s="520">
        <v>0.44847803597277369</v>
      </c>
      <c r="G174" s="520">
        <v>7.6960939011159395E-4</v>
      </c>
      <c r="H174" s="520">
        <v>2.9074268860509591E-2</v>
      </c>
      <c r="I174" s="521">
        <v>67.044050293315848</v>
      </c>
      <c r="J174" s="522">
        <v>6.1592856908143584E-3</v>
      </c>
    </row>
    <row r="175" spans="2:10" x14ac:dyDescent="0.2">
      <c r="B175" s="514" t="s">
        <v>164</v>
      </c>
      <c r="C175" s="515">
        <v>50</v>
      </c>
      <c r="D175" s="164">
        <v>6.5511746917255628E-2</v>
      </c>
      <c r="E175" s="164">
        <v>0.32938133995589741</v>
      </c>
      <c r="F175" s="164">
        <v>0.27435395893499009</v>
      </c>
      <c r="G175" s="164">
        <v>4.3770395235645125E-4</v>
      </c>
      <c r="H175" s="164">
        <v>1.6551539987716152E-2</v>
      </c>
      <c r="I175" s="516">
        <v>33.858349590276241</v>
      </c>
      <c r="J175" s="517">
        <v>5.9110202981093969E-3</v>
      </c>
    </row>
    <row r="176" spans="2:10" x14ac:dyDescent="0.2">
      <c r="B176" s="514"/>
      <c r="C176" s="515">
        <v>120</v>
      </c>
      <c r="D176" s="164">
        <v>5.961526076165425E-2</v>
      </c>
      <c r="E176" s="164">
        <v>0.41789773446945794</v>
      </c>
      <c r="F176" s="164">
        <v>0.39673287124208212</v>
      </c>
      <c r="G176" s="164">
        <v>7.3256826619072697E-4</v>
      </c>
      <c r="H176" s="164">
        <v>2.7326514955125843E-2</v>
      </c>
      <c r="I176" s="516">
        <v>62.449833466702557</v>
      </c>
      <c r="J176" s="517">
        <v>5.3789899462790324E-3</v>
      </c>
    </row>
    <row r="177" spans="2:10" x14ac:dyDescent="0.2">
      <c r="B177" s="514"/>
      <c r="C177" s="515">
        <v>175</v>
      </c>
      <c r="D177" s="164">
        <v>9.1116825700759907E-2</v>
      </c>
      <c r="E177" s="164">
        <v>0.72308344105105571</v>
      </c>
      <c r="F177" s="164">
        <v>0.60716720507086053</v>
      </c>
      <c r="G177" s="164">
        <v>1.4053351510014925E-3</v>
      </c>
      <c r="H177" s="164">
        <v>3.2190593363951782E-2</v>
      </c>
      <c r="I177" s="163">
        <v>124.8996383136583</v>
      </c>
      <c r="J177" s="517">
        <v>8.2213252227786009E-3</v>
      </c>
    </row>
    <row r="178" spans="2:10" x14ac:dyDescent="0.2">
      <c r="B178" s="514"/>
      <c r="C178" s="515">
        <v>250</v>
      </c>
      <c r="D178" s="164">
        <v>9.8805100782597188E-2</v>
      </c>
      <c r="E178" s="164">
        <v>0.35036767110371425</v>
      </c>
      <c r="F178" s="164">
        <v>0.70752625158309979</v>
      </c>
      <c r="G178" s="164">
        <v>1.9217538744324835E-3</v>
      </c>
      <c r="H178" s="164">
        <v>2.3710607862665187E-2</v>
      </c>
      <c r="I178" s="163">
        <v>170.79650239635384</v>
      </c>
      <c r="J178" s="517">
        <v>8.9150258809723524E-3</v>
      </c>
    </row>
    <row r="179" spans="2:10" x14ac:dyDescent="0.2">
      <c r="B179" s="514"/>
      <c r="C179" s="515">
        <v>500</v>
      </c>
      <c r="D179" s="164">
        <v>0.14406653080120255</v>
      </c>
      <c r="E179" s="164">
        <v>0.5029494346564547</v>
      </c>
      <c r="F179" s="164">
        <v>0.94680622661383618</v>
      </c>
      <c r="G179" s="164">
        <v>2.5183283451068782E-3</v>
      </c>
      <c r="H179" s="164">
        <v>3.4119556336220075E-2</v>
      </c>
      <c r="I179" s="163">
        <v>256.57092537446226</v>
      </c>
      <c r="J179" s="517">
        <v>1.2998895242377182E-2</v>
      </c>
    </row>
    <row r="180" spans="2:10" x14ac:dyDescent="0.2">
      <c r="B180" s="518" t="s">
        <v>552</v>
      </c>
      <c r="C180" s="519"/>
      <c r="D180" s="520">
        <v>6.3781128981704141E-2</v>
      </c>
      <c r="E180" s="520">
        <v>0.44991301853779897</v>
      </c>
      <c r="F180" s="520">
        <v>0.4218963324222002</v>
      </c>
      <c r="G180" s="520">
        <v>8.1606484820412133E-4</v>
      </c>
      <c r="H180" s="520">
        <v>2.7674730377607565E-2</v>
      </c>
      <c r="I180" s="521">
        <v>70.280795556346575</v>
      </c>
      <c r="J180" s="522">
        <v>5.7548695150777375E-3</v>
      </c>
    </row>
    <row r="181" spans="2:10" x14ac:dyDescent="0.2">
      <c r="B181" s="514" t="s">
        <v>553</v>
      </c>
      <c r="C181" s="515">
        <v>175</v>
      </c>
      <c r="D181" s="164">
        <v>0.16759126431466925</v>
      </c>
      <c r="E181" s="164">
        <v>0.81907210069404335</v>
      </c>
      <c r="F181" s="164">
        <v>1.1443179186902728</v>
      </c>
      <c r="G181" s="164">
        <v>1.4568358253260146E-3</v>
      </c>
      <c r="H181" s="164">
        <v>6.4590354901165409E-2</v>
      </c>
      <c r="I181" s="163">
        <v>129.47677196804185</v>
      </c>
      <c r="J181" s="517">
        <v>1.5121485892560994E-2</v>
      </c>
    </row>
    <row r="182" spans="2:10" x14ac:dyDescent="0.2">
      <c r="B182" s="514"/>
      <c r="C182" s="515">
        <v>250</v>
      </c>
      <c r="D182" s="164">
        <v>0.18899550278314278</v>
      </c>
      <c r="E182" s="164">
        <v>0.56397481222441759</v>
      </c>
      <c r="F182" s="164">
        <v>1.4878666979122979</v>
      </c>
      <c r="G182" s="164">
        <v>2.064544442517646E-3</v>
      </c>
      <c r="H182" s="164">
        <v>6.0517977511930429E-2</v>
      </c>
      <c r="I182" s="163">
        <v>183.48708425076637</v>
      </c>
      <c r="J182" s="517">
        <v>1.7052761352794762E-2</v>
      </c>
    </row>
    <row r="183" spans="2:10" x14ac:dyDescent="0.2">
      <c r="B183" s="514"/>
      <c r="C183" s="515">
        <v>500</v>
      </c>
      <c r="D183" s="164">
        <v>0.25306555588459217</v>
      </c>
      <c r="E183" s="164">
        <v>1.0337614848680345</v>
      </c>
      <c r="F183" s="164">
        <v>1.9476307345240327</v>
      </c>
      <c r="G183" s="164">
        <v>2.5998107214987693E-3</v>
      </c>
      <c r="H183" s="164">
        <v>7.8678442800975884E-2</v>
      </c>
      <c r="I183" s="163">
        <v>264.87253998784388</v>
      </c>
      <c r="J183" s="517">
        <v>2.2833695420172207E-2</v>
      </c>
    </row>
    <row r="184" spans="2:10" x14ac:dyDescent="0.2">
      <c r="B184" s="514"/>
      <c r="C184" s="515">
        <v>750</v>
      </c>
      <c r="D184" s="164">
        <v>0.38209912424208592</v>
      </c>
      <c r="E184" s="164">
        <v>1.5520178553158881</v>
      </c>
      <c r="F184" s="164">
        <v>2.9917373415907544</v>
      </c>
      <c r="G184" s="164">
        <v>4.0097078411832189E-3</v>
      </c>
      <c r="H184" s="164">
        <v>0.11949848059466027</v>
      </c>
      <c r="I184" s="163">
        <v>398.78853471871759</v>
      </c>
      <c r="J184" s="517">
        <v>3.4476195508454537E-2</v>
      </c>
    </row>
    <row r="185" spans="2:10" x14ac:dyDescent="0.2">
      <c r="B185" s="514"/>
      <c r="C185" s="515">
        <v>1000</v>
      </c>
      <c r="D185" s="164">
        <v>0.59859727077361435</v>
      </c>
      <c r="E185" s="164">
        <v>2.5082025626610651</v>
      </c>
      <c r="F185" s="164">
        <v>6.0072086988768172</v>
      </c>
      <c r="G185" s="164">
        <v>5.9513295457057748E-3</v>
      </c>
      <c r="H185" s="164">
        <v>0.19061894647813854</v>
      </c>
      <c r="I185" s="163">
        <v>591.89398167488582</v>
      </c>
      <c r="J185" s="517">
        <v>5.4010470559627544E-2</v>
      </c>
    </row>
    <row r="186" spans="2:10" x14ac:dyDescent="0.2">
      <c r="B186" s="518" t="s">
        <v>554</v>
      </c>
      <c r="C186" s="519"/>
      <c r="D186" s="520">
        <v>0.23430319299318456</v>
      </c>
      <c r="E186" s="520">
        <v>0.88185217216592815</v>
      </c>
      <c r="F186" s="520">
        <v>1.8193846660138269</v>
      </c>
      <c r="G186" s="520">
        <v>2.4515372850175115E-3</v>
      </c>
      <c r="H186" s="520">
        <v>7.3727518990471613E-2</v>
      </c>
      <c r="I186" s="523">
        <v>239.08721178076075</v>
      </c>
      <c r="J186" s="522">
        <v>2.1140799339419685E-2</v>
      </c>
    </row>
    <row r="187" spans="2:10" x14ac:dyDescent="0.2">
      <c r="B187" s="514" t="s">
        <v>555</v>
      </c>
      <c r="C187" s="515">
        <v>25</v>
      </c>
      <c r="D187" s="164">
        <v>2.0423049470636907E-2</v>
      </c>
      <c r="E187" s="164">
        <v>6.9706609674615852E-2</v>
      </c>
      <c r="F187" s="164">
        <v>0.12905731049026503</v>
      </c>
      <c r="G187" s="164">
        <v>2.1479906850125632E-4</v>
      </c>
      <c r="H187" s="164">
        <v>4.818108575610794E-3</v>
      </c>
      <c r="I187" s="516">
        <v>16.929172536297322</v>
      </c>
      <c r="J187" s="517">
        <v>1.8427384203322718E-3</v>
      </c>
    </row>
    <row r="188" spans="2:10" x14ac:dyDescent="0.2">
      <c r="B188" s="514"/>
      <c r="C188" s="515">
        <v>50</v>
      </c>
      <c r="D188" s="164">
        <v>7.4241733723282993E-2</v>
      </c>
      <c r="E188" s="164">
        <v>0.31981226097531179</v>
      </c>
      <c r="F188" s="164">
        <v>0.2590937872546949</v>
      </c>
      <c r="G188" s="164">
        <v>4.02687602655835E-4</v>
      </c>
      <c r="H188" s="164">
        <v>1.7448301233676907E-2</v>
      </c>
      <c r="I188" s="516">
        <v>31.149672826820883</v>
      </c>
      <c r="J188" s="517">
        <v>6.6987122894802617E-3</v>
      </c>
    </row>
    <row r="189" spans="2:10" x14ac:dyDescent="0.2">
      <c r="B189" s="514"/>
      <c r="C189" s="515">
        <v>120</v>
      </c>
      <c r="D189" s="164">
        <v>6.5965893108681131E-2</v>
      </c>
      <c r="E189" s="164">
        <v>0.40155795953738443</v>
      </c>
      <c r="F189" s="164">
        <v>0.4121425061430668</v>
      </c>
      <c r="G189" s="164">
        <v>6.9108543215850075E-4</v>
      </c>
      <c r="H189" s="164">
        <v>3.0685215603659229E-2</v>
      </c>
      <c r="I189" s="516">
        <v>58.913506914239804</v>
      </c>
      <c r="J189" s="517">
        <v>5.9519955114860921E-3</v>
      </c>
    </row>
    <row r="190" spans="2:10" x14ac:dyDescent="0.2">
      <c r="B190" s="514"/>
      <c r="C190" s="515">
        <v>175</v>
      </c>
      <c r="D190" s="164">
        <v>8.8786358320565528E-2</v>
      </c>
      <c r="E190" s="164">
        <v>0.62268716764097964</v>
      </c>
      <c r="F190" s="164">
        <v>0.59018196411864599</v>
      </c>
      <c r="G190" s="164">
        <v>1.1962280726095088E-3</v>
      </c>
      <c r="H190" s="164">
        <v>3.2333793403232385E-2</v>
      </c>
      <c r="I190" s="163">
        <v>106.31519916534629</v>
      </c>
      <c r="J190" s="517">
        <v>8.0110486792356484E-3</v>
      </c>
    </row>
    <row r="191" spans="2:10" x14ac:dyDescent="0.2">
      <c r="B191" s="514"/>
      <c r="C191" s="515">
        <v>250</v>
      </c>
      <c r="D191" s="164">
        <v>9.4600970491392308E-2</v>
      </c>
      <c r="E191" s="164">
        <v>0.32371083064071982</v>
      </c>
      <c r="F191" s="164">
        <v>0.71418275667912545</v>
      </c>
      <c r="G191" s="164">
        <v>1.6762429502385828E-3</v>
      </c>
      <c r="H191" s="164">
        <v>2.4351421420554582E-2</v>
      </c>
      <c r="I191" s="163">
        <v>148.97670143852574</v>
      </c>
      <c r="J191" s="517">
        <v>8.5356955520187617E-3</v>
      </c>
    </row>
    <row r="192" spans="2:10" x14ac:dyDescent="0.2">
      <c r="B192" s="514"/>
      <c r="C192" s="515">
        <v>500</v>
      </c>
      <c r="D192" s="164">
        <v>0.14396400096249526</v>
      </c>
      <c r="E192" s="164">
        <v>0.52564747338446494</v>
      </c>
      <c r="F192" s="164">
        <v>1.0102839481099757</v>
      </c>
      <c r="G192" s="164">
        <v>2.3263135840886676E-3</v>
      </c>
      <c r="H192" s="164">
        <v>3.6343290202307338E-2</v>
      </c>
      <c r="I192" s="163">
        <v>237.00826816739442</v>
      </c>
      <c r="J192" s="517">
        <v>1.2989642365265288E-2</v>
      </c>
    </row>
    <row r="193" spans="2:10" x14ac:dyDescent="0.2">
      <c r="B193" s="514"/>
      <c r="C193" s="515">
        <v>750</v>
      </c>
      <c r="D193" s="164">
        <v>0.29664643050862344</v>
      </c>
      <c r="E193" s="164">
        <v>1.0762129953118633</v>
      </c>
      <c r="F193" s="164">
        <v>2.1374165536839227</v>
      </c>
      <c r="G193" s="164">
        <v>4.8818552594700713E-3</v>
      </c>
      <c r="H193" s="164">
        <v>7.5788856427789639E-2</v>
      </c>
      <c r="I193" s="163">
        <v>485.52845953949605</v>
      </c>
      <c r="J193" s="517">
        <v>2.67659250778636E-2</v>
      </c>
    </row>
    <row r="194" spans="2:10" x14ac:dyDescent="0.2">
      <c r="B194" s="514"/>
      <c r="C194" s="515">
        <v>1000</v>
      </c>
      <c r="D194" s="164">
        <v>0.39123150374864707</v>
      </c>
      <c r="E194" s="164">
        <v>1.4170089546532567</v>
      </c>
      <c r="F194" s="164">
        <v>4.45575936799115</v>
      </c>
      <c r="G194" s="164">
        <v>5.9712512406850321E-3</v>
      </c>
      <c r="H194" s="164">
        <v>0.11879246449079976</v>
      </c>
      <c r="I194" s="163">
        <v>593.87521097248737</v>
      </c>
      <c r="J194" s="517">
        <v>3.5300183223879331E-2</v>
      </c>
    </row>
    <row r="195" spans="2:10" x14ac:dyDescent="0.2">
      <c r="B195" s="518" t="s">
        <v>556</v>
      </c>
      <c r="C195" s="519"/>
      <c r="D195" s="520">
        <v>8.60575133010857E-2</v>
      </c>
      <c r="E195" s="520">
        <v>0.44695516332456925</v>
      </c>
      <c r="F195" s="520">
        <v>0.58309271279759856</v>
      </c>
      <c r="G195" s="520">
        <v>1.2006250663504935E-3</v>
      </c>
      <c r="H195" s="520">
        <v>2.9996107969973786E-2</v>
      </c>
      <c r="I195" s="523">
        <v>108.61102362706801</v>
      </c>
      <c r="J195" s="522">
        <v>7.7648309403487029E-3</v>
      </c>
    </row>
    <row r="196" spans="2:10" x14ac:dyDescent="0.2">
      <c r="B196" s="514" t="s">
        <v>557</v>
      </c>
      <c r="C196" s="515">
        <v>120</v>
      </c>
      <c r="D196" s="164">
        <v>0.13821215129942832</v>
      </c>
      <c r="E196" s="164">
        <v>0.66862093743820949</v>
      </c>
      <c r="F196" s="164">
        <v>0.81646452284604643</v>
      </c>
      <c r="G196" s="164">
        <v>1.1015003202664876E-3</v>
      </c>
      <c r="H196" s="164">
        <v>6.6055738573045072E-2</v>
      </c>
      <c r="I196" s="516">
        <v>93.90042752797801</v>
      </c>
      <c r="J196" s="517">
        <v>1.2470660896283597E-2</v>
      </c>
    </row>
    <row r="197" spans="2:10" x14ac:dyDescent="0.2">
      <c r="B197" s="514"/>
      <c r="C197" s="515">
        <v>175</v>
      </c>
      <c r="D197" s="164">
        <v>0.15789296380940804</v>
      </c>
      <c r="E197" s="164">
        <v>0.89538000010424401</v>
      </c>
      <c r="F197" s="164">
        <v>1.0711986245785301</v>
      </c>
      <c r="G197" s="164">
        <v>1.6660841423281286E-3</v>
      </c>
      <c r="H197" s="164">
        <v>6.0280881034662843E-2</v>
      </c>
      <c r="I197" s="163">
        <v>148.07379004235992</v>
      </c>
      <c r="J197" s="517">
        <v>1.4246428778378246E-2</v>
      </c>
    </row>
    <row r="198" spans="2:10" x14ac:dyDescent="0.2">
      <c r="B198" s="514"/>
      <c r="C198" s="515">
        <v>250</v>
      </c>
      <c r="D198" s="164">
        <v>0.17043650859157369</v>
      </c>
      <c r="E198" s="164">
        <v>0.53235887488361711</v>
      </c>
      <c r="F198" s="164">
        <v>1.3558162396431124</v>
      </c>
      <c r="G198" s="164">
        <v>2.3568998856579723E-3</v>
      </c>
      <c r="H198" s="164">
        <v>5.0139723320662237E-2</v>
      </c>
      <c r="I198" s="163">
        <v>209.47030382125672</v>
      </c>
      <c r="J198" s="517">
        <v>1.5378216079067954E-2</v>
      </c>
    </row>
    <row r="199" spans="2:10" x14ac:dyDescent="0.2">
      <c r="B199" s="514"/>
      <c r="C199" s="515">
        <v>500</v>
      </c>
      <c r="D199" s="164">
        <v>0.24583210594718735</v>
      </c>
      <c r="E199" s="164">
        <v>0.91647056880524502</v>
      </c>
      <c r="F199" s="164">
        <v>1.8678152310064</v>
      </c>
      <c r="G199" s="164">
        <v>3.1549262583779004E-3</v>
      </c>
      <c r="H199" s="164">
        <v>7.0698102807775914E-2</v>
      </c>
      <c r="I199" s="163">
        <v>321.42848144577874</v>
      </c>
      <c r="J199" s="517">
        <v>2.2181037455302012E-2</v>
      </c>
    </row>
    <row r="200" spans="2:10" x14ac:dyDescent="0.2">
      <c r="B200" s="514"/>
      <c r="C200" s="515">
        <v>750</v>
      </c>
      <c r="D200" s="164">
        <v>0.42668106336800932</v>
      </c>
      <c r="E200" s="164">
        <v>1.5806520731752061</v>
      </c>
      <c r="F200" s="164">
        <v>3.3122924113349685</v>
      </c>
      <c r="G200" s="164">
        <v>5.5831556564327105E-3</v>
      </c>
      <c r="H200" s="164">
        <v>0.12376680650931413</v>
      </c>
      <c r="I200" s="163">
        <v>555.27661873293209</v>
      </c>
      <c r="J200" s="517">
        <v>3.849873855842232E-2</v>
      </c>
    </row>
    <row r="201" spans="2:10" x14ac:dyDescent="0.2">
      <c r="B201" s="518" t="s">
        <v>558</v>
      </c>
      <c r="C201" s="519"/>
      <c r="D201" s="520">
        <v>0.21352763348173934</v>
      </c>
      <c r="E201" s="520">
        <v>0.84177482959960392</v>
      </c>
      <c r="F201" s="520">
        <v>1.6041826755616948</v>
      </c>
      <c r="G201" s="520">
        <v>2.6870734001460208E-3</v>
      </c>
      <c r="H201" s="520">
        <v>6.5306529765399288E-2</v>
      </c>
      <c r="I201" s="523">
        <v>262.48741280095589</v>
      </c>
      <c r="J201" s="522">
        <v>1.9266256812871425E-2</v>
      </c>
    </row>
    <row r="202" spans="2:10" x14ac:dyDescent="0.2">
      <c r="B202" s="514" t="s">
        <v>559</v>
      </c>
      <c r="C202" s="515">
        <v>15</v>
      </c>
      <c r="D202" s="164">
        <v>7.1819060341132114E-3</v>
      </c>
      <c r="E202" s="164">
        <v>3.7672010932224421E-2</v>
      </c>
      <c r="F202" s="164">
        <v>4.4975821828574056E-2</v>
      </c>
      <c r="G202" s="164">
        <v>9.6006633704493857E-5</v>
      </c>
      <c r="H202" s="164">
        <v>1.7574484311297502E-3</v>
      </c>
      <c r="I202" s="516">
        <v>6.1697413025986503</v>
      </c>
      <c r="J202" s="517">
        <v>6.4801168714526385E-4</v>
      </c>
    </row>
    <row r="203" spans="2:10" x14ac:dyDescent="0.2">
      <c r="B203" s="514"/>
      <c r="C203" s="515">
        <v>50</v>
      </c>
      <c r="D203" s="164">
        <v>6.4860787257758359E-2</v>
      </c>
      <c r="E203" s="164">
        <v>0.29661573322660084</v>
      </c>
      <c r="F203" s="164">
        <v>0.28197144958065362</v>
      </c>
      <c r="G203" s="164">
        <v>4.6785681711459788E-4</v>
      </c>
      <c r="H203" s="164">
        <v>1.7237642146426976E-2</v>
      </c>
      <c r="I203" s="516">
        <v>36.190806364594529</v>
      </c>
      <c r="J203" s="517">
        <v>5.8522849134997239E-3</v>
      </c>
    </row>
    <row r="204" spans="2:10" x14ac:dyDescent="0.2">
      <c r="B204" s="514"/>
      <c r="C204" s="515">
        <v>120</v>
      </c>
      <c r="D204" s="164">
        <v>6.9538408143031541E-2</v>
      </c>
      <c r="E204" s="164">
        <v>0.49985338515646999</v>
      </c>
      <c r="F204" s="164">
        <v>0.52557926971613456</v>
      </c>
      <c r="G204" s="164">
        <v>9.4086494178492578E-4</v>
      </c>
      <c r="H204" s="164">
        <v>3.5633865990902673E-2</v>
      </c>
      <c r="I204" s="516">
        <v>80.206646496699918</v>
      </c>
      <c r="J204" s="517">
        <v>6.2743401301614786E-3</v>
      </c>
    </row>
    <row r="205" spans="2:10" x14ac:dyDescent="0.2">
      <c r="B205" s="514"/>
      <c r="C205" s="515">
        <v>175</v>
      </c>
      <c r="D205" s="164">
        <v>9.5464904246439719E-2</v>
      </c>
      <c r="E205" s="164">
        <v>0.82763103926698822</v>
      </c>
      <c r="F205" s="164">
        <v>0.79679971173778208</v>
      </c>
      <c r="G205" s="164">
        <v>1.7388907020667622E-3</v>
      </c>
      <c r="H205" s="164">
        <v>3.8530758116749268E-2</v>
      </c>
      <c r="I205" s="163">
        <v>154.54446918885142</v>
      </c>
      <c r="J205" s="517">
        <v>8.6136439935493303E-3</v>
      </c>
    </row>
    <row r="206" spans="2:10" x14ac:dyDescent="0.2">
      <c r="B206" s="514"/>
      <c r="C206" s="515">
        <v>250</v>
      </c>
      <c r="D206" s="164">
        <v>0.11507879249315492</v>
      </c>
      <c r="E206" s="164">
        <v>0.48569315084488524</v>
      </c>
      <c r="F206" s="164">
        <v>1.1304855370425535</v>
      </c>
      <c r="G206" s="164">
        <v>2.8724710416817107E-3</v>
      </c>
      <c r="H206" s="164">
        <v>3.3704978766148981E-2</v>
      </c>
      <c r="I206" s="163">
        <v>255.29190305824625</v>
      </c>
      <c r="J206" s="517">
        <v>1.0383374069543412E-2</v>
      </c>
    </row>
    <row r="207" spans="2:10" x14ac:dyDescent="0.2">
      <c r="B207" s="518" t="s">
        <v>560</v>
      </c>
      <c r="C207" s="519"/>
      <c r="D207" s="520">
        <v>1.4257894351113945E-2</v>
      </c>
      <c r="E207" s="520">
        <v>9.1573746271436121E-2</v>
      </c>
      <c r="F207" s="520">
        <v>0.10291786699823643</v>
      </c>
      <c r="G207" s="520">
        <v>2.1415179062213877E-4</v>
      </c>
      <c r="H207" s="520">
        <v>5.002990586458954E-3</v>
      </c>
      <c r="I207" s="521">
        <v>16.698259800350684</v>
      </c>
      <c r="J207" s="522">
        <v>1.2864667937862184E-3</v>
      </c>
    </row>
    <row r="208" spans="2:10" x14ac:dyDescent="0.2">
      <c r="B208" s="514" t="s">
        <v>156</v>
      </c>
      <c r="C208" s="515">
        <v>25</v>
      </c>
      <c r="D208" s="164">
        <v>1.7595261861936957E-2</v>
      </c>
      <c r="E208" s="164">
        <v>5.8232706815180779E-2</v>
      </c>
      <c r="F208" s="164">
        <v>0.10814547662927491</v>
      </c>
      <c r="G208" s="164">
        <v>1.7502140334973735E-4</v>
      </c>
      <c r="H208" s="164">
        <v>4.7855676716404309E-3</v>
      </c>
      <c r="I208" s="516">
        <v>13.794135857720478</v>
      </c>
      <c r="J208" s="517">
        <v>1.5875926914945791E-3</v>
      </c>
    </row>
    <row r="209" spans="2:10" x14ac:dyDescent="0.2">
      <c r="B209" s="514"/>
      <c r="C209" s="515">
        <v>50</v>
      </c>
      <c r="D209" s="164">
        <v>2.6321181794284464E-2</v>
      </c>
      <c r="E209" s="164">
        <v>0.20347097469626613</v>
      </c>
      <c r="F209" s="164">
        <v>0.17869028142028628</v>
      </c>
      <c r="G209" s="164">
        <v>3.2989903974974726E-4</v>
      </c>
      <c r="H209" s="164">
        <v>6.5051366941734539E-3</v>
      </c>
      <c r="I209" s="516">
        <v>25.519164465886792</v>
      </c>
      <c r="J209" s="517">
        <v>2.3749178457344233E-3</v>
      </c>
    </row>
    <row r="210" spans="2:10" x14ac:dyDescent="0.2">
      <c r="B210" s="514"/>
      <c r="C210" s="515">
        <v>120</v>
      </c>
      <c r="D210" s="164">
        <v>2.4795989351582545E-2</v>
      </c>
      <c r="E210" s="164">
        <v>0.26799892228430833</v>
      </c>
      <c r="F210" s="164">
        <v>0.19697730855135775</v>
      </c>
      <c r="G210" s="164">
        <v>5.0161805048198286E-4</v>
      </c>
      <c r="H210" s="164">
        <v>9.4929204398194467E-3</v>
      </c>
      <c r="I210" s="516">
        <v>42.761824285708492</v>
      </c>
      <c r="J210" s="517">
        <v>2.2373026067907119E-3</v>
      </c>
    </row>
    <row r="211" spans="2:10" x14ac:dyDescent="0.2">
      <c r="B211" s="518" t="s">
        <v>561</v>
      </c>
      <c r="C211" s="519"/>
      <c r="D211" s="520">
        <v>2.5253259240187068E-2</v>
      </c>
      <c r="E211" s="520">
        <v>0.21456151274930918</v>
      </c>
      <c r="F211" s="520">
        <v>0.17988592938597303</v>
      </c>
      <c r="G211" s="520">
        <v>3.7476285394725449E-4</v>
      </c>
      <c r="H211" s="520">
        <v>7.3503612653092517E-3</v>
      </c>
      <c r="I211" s="521">
        <v>30.277625071900431</v>
      </c>
      <c r="J211" s="522">
        <v>2.278561084357123E-3</v>
      </c>
    </row>
    <row r="212" spans="2:10" x14ac:dyDescent="0.2">
      <c r="B212" s="514" t="s">
        <v>562</v>
      </c>
      <c r="C212" s="515">
        <v>50</v>
      </c>
      <c r="D212" s="164">
        <v>3.1686729320902038E-2</v>
      </c>
      <c r="E212" s="164">
        <v>0.12415649141984721</v>
      </c>
      <c r="F212" s="164">
        <v>0.11391101204615374</v>
      </c>
      <c r="G212" s="164">
        <v>1.8237658225600303E-4</v>
      </c>
      <c r="H212" s="164">
        <v>7.7332945024294998E-3</v>
      </c>
      <c r="I212" s="516">
        <v>14.107638335146254</v>
      </c>
      <c r="J212" s="517">
        <v>2.859041711682218E-3</v>
      </c>
    </row>
    <row r="213" spans="2:10" x14ac:dyDescent="0.2">
      <c r="B213" s="514"/>
      <c r="C213" s="515">
        <v>120</v>
      </c>
      <c r="D213" s="164">
        <v>6.6810945616466819E-2</v>
      </c>
      <c r="E213" s="164">
        <v>0.40716027870235388</v>
      </c>
      <c r="F213" s="164">
        <v>0.46512587494341184</v>
      </c>
      <c r="G213" s="164">
        <v>7.4801409076618501E-4</v>
      </c>
      <c r="H213" s="164">
        <v>3.3436052410909654E-2</v>
      </c>
      <c r="I213" s="516">
        <v>63.766539608541265</v>
      </c>
      <c r="J213" s="517">
        <v>6.0282423386313309E-3</v>
      </c>
    </row>
    <row r="214" spans="2:10" x14ac:dyDescent="0.2">
      <c r="B214" s="514"/>
      <c r="C214" s="515">
        <v>175</v>
      </c>
      <c r="D214" s="164">
        <v>6.3727944892937344E-2</v>
      </c>
      <c r="E214" s="164">
        <v>0.46772363475832579</v>
      </c>
      <c r="F214" s="164">
        <v>0.5082381392058456</v>
      </c>
      <c r="G214" s="164">
        <v>9.6510985484090739E-4</v>
      </c>
      <c r="H214" s="164">
        <v>2.5689891641723181E-2</v>
      </c>
      <c r="I214" s="516">
        <v>85.774463641367234</v>
      </c>
      <c r="J214" s="517">
        <v>5.7500701951510892E-3</v>
      </c>
    </row>
    <row r="215" spans="2:10" x14ac:dyDescent="0.2">
      <c r="B215" s="514"/>
      <c r="C215" s="515">
        <v>250</v>
      </c>
      <c r="D215" s="164">
        <v>7.3317227800863818E-2</v>
      </c>
      <c r="E215" s="164">
        <v>0.28577755803879584</v>
      </c>
      <c r="F215" s="164">
        <v>0.70128520547433792</v>
      </c>
      <c r="G215" s="164">
        <v>1.5175080560610381E-3</v>
      </c>
      <c r="H215" s="164">
        <v>2.2951770127712275E-2</v>
      </c>
      <c r="I215" s="163">
        <v>134.86905344195424</v>
      </c>
      <c r="J215" s="517">
        <v>6.6152963669474625E-3</v>
      </c>
    </row>
    <row r="216" spans="2:10" x14ac:dyDescent="0.2">
      <c r="B216" s="514"/>
      <c r="C216" s="515">
        <v>500</v>
      </c>
      <c r="D216" s="164">
        <v>0.11204672014921428</v>
      </c>
      <c r="E216" s="164">
        <v>0.50474121687670337</v>
      </c>
      <c r="F216" s="164">
        <v>1.0315901331841799</v>
      </c>
      <c r="G216" s="164">
        <v>2.1712267517667635E-3</v>
      </c>
      <c r="H216" s="164">
        <v>3.4986345691803769E-2</v>
      </c>
      <c r="I216" s="163">
        <v>221.2077430440259</v>
      </c>
      <c r="J216" s="517">
        <v>1.0109797260773348E-2</v>
      </c>
    </row>
    <row r="217" spans="2:10" x14ac:dyDescent="0.2">
      <c r="B217" s="514"/>
      <c r="C217" s="515">
        <v>750</v>
      </c>
      <c r="D217" s="164">
        <v>0.17819056797711991</v>
      </c>
      <c r="E217" s="164">
        <v>0.79113656436250834</v>
      </c>
      <c r="F217" s="164">
        <v>1.6684623103431413</v>
      </c>
      <c r="G217" s="164">
        <v>3.4894711570610834E-3</v>
      </c>
      <c r="H217" s="164">
        <v>5.5805756915491805E-2</v>
      </c>
      <c r="I217" s="163">
        <v>347.04793354093943</v>
      </c>
      <c r="J217" s="517">
        <v>1.6077853294342935E-2</v>
      </c>
    </row>
    <row r="218" spans="2:10" x14ac:dyDescent="0.2">
      <c r="B218" s="518" t="s">
        <v>563</v>
      </c>
      <c r="C218" s="519"/>
      <c r="D218" s="520">
        <v>9.2305740606401565E-2</v>
      </c>
      <c r="E218" s="520">
        <v>0.41869748827076148</v>
      </c>
      <c r="F218" s="520">
        <v>0.80425636944337298</v>
      </c>
      <c r="G218" s="520">
        <v>1.6672544512348476E-3</v>
      </c>
      <c r="H218" s="520">
        <v>2.9112000952475559E-2</v>
      </c>
      <c r="I218" s="523">
        <v>165.96660744491231</v>
      </c>
      <c r="J218" s="522">
        <v>8.3285997037644867E-3</v>
      </c>
    </row>
    <row r="219" spans="2:10" x14ac:dyDescent="0.2">
      <c r="B219" s="514" t="s">
        <v>564</v>
      </c>
      <c r="C219" s="515">
        <v>15</v>
      </c>
      <c r="D219" s="164">
        <v>1.2380689651113124E-2</v>
      </c>
      <c r="E219" s="164">
        <v>7.28938063693019E-2</v>
      </c>
      <c r="F219" s="164">
        <v>8.7026361008681663E-2</v>
      </c>
      <c r="G219" s="164">
        <v>1.8576891856710573E-4</v>
      </c>
      <c r="H219" s="164">
        <v>3.4005900270398558E-3</v>
      </c>
      <c r="I219" s="516">
        <v>11.938197216116436</v>
      </c>
      <c r="J219" s="517">
        <v>1.1170897611779236E-3</v>
      </c>
    </row>
    <row r="220" spans="2:10" x14ac:dyDescent="0.2">
      <c r="B220" s="514"/>
      <c r="C220" s="515">
        <v>25</v>
      </c>
      <c r="D220" s="164">
        <v>2.3660469782792036E-2</v>
      </c>
      <c r="E220" s="164">
        <v>8.0756372389199374E-2</v>
      </c>
      <c r="F220" s="164">
        <v>0.14951526664502141</v>
      </c>
      <c r="G220" s="164">
        <v>2.4884868720451847E-4</v>
      </c>
      <c r="H220" s="164">
        <v>5.5813495494443687E-3</v>
      </c>
      <c r="I220" s="516">
        <v>19.612756058476716</v>
      </c>
      <c r="J220" s="517">
        <v>2.1348465161621093E-3</v>
      </c>
    </row>
    <row r="221" spans="2:10" x14ac:dyDescent="0.2">
      <c r="B221" s="514"/>
      <c r="C221" s="515">
        <v>50</v>
      </c>
      <c r="D221" s="164">
        <v>5.221051039309841E-2</v>
      </c>
      <c r="E221" s="164">
        <v>0.29737989242943785</v>
      </c>
      <c r="F221" s="164">
        <v>0.25389534077113646</v>
      </c>
      <c r="G221" s="164">
        <v>4.0787518046133227E-4</v>
      </c>
      <c r="H221" s="164">
        <v>1.3693768267929653E-2</v>
      </c>
      <c r="I221" s="516">
        <v>31.550955560846511</v>
      </c>
      <c r="J221" s="517">
        <v>4.7108714499356844E-3</v>
      </c>
    </row>
    <row r="222" spans="2:10" x14ac:dyDescent="0.2">
      <c r="B222" s="514"/>
      <c r="C222" s="515">
        <v>120</v>
      </c>
      <c r="D222" s="164">
        <v>6.4671046373677321E-2</v>
      </c>
      <c r="E222" s="164">
        <v>0.49828076993283715</v>
      </c>
      <c r="F222" s="164">
        <v>0.44419940827312021</v>
      </c>
      <c r="G222" s="164">
        <v>8.8025889143317259E-4</v>
      </c>
      <c r="H222" s="164">
        <v>2.9062558165371281E-2</v>
      </c>
      <c r="I222" s="516">
        <v>75.040110741903291</v>
      </c>
      <c r="J222" s="517">
        <v>5.8351652717944765E-3</v>
      </c>
    </row>
    <row r="223" spans="2:10" x14ac:dyDescent="0.2">
      <c r="B223" s="514"/>
      <c r="C223" s="515">
        <v>175</v>
      </c>
      <c r="D223" s="164">
        <v>9.6564590964180866E-2</v>
      </c>
      <c r="E223" s="164">
        <v>0.80300513926733341</v>
      </c>
      <c r="F223" s="164">
        <v>0.62796214478809254</v>
      </c>
      <c r="G223" s="164">
        <v>1.5639297742603496E-3</v>
      </c>
      <c r="H223" s="164">
        <v>3.3735519395113781E-2</v>
      </c>
      <c r="I223" s="163">
        <v>138.99476410630282</v>
      </c>
      <c r="J223" s="517">
        <v>8.7128691421072008E-3</v>
      </c>
    </row>
    <row r="224" spans="2:10" x14ac:dyDescent="0.2">
      <c r="B224" s="514"/>
      <c r="C224" s="515">
        <v>250</v>
      </c>
      <c r="D224" s="164">
        <v>8.9385977946973741E-2</v>
      </c>
      <c r="E224" s="164">
        <v>0.32184092772339778</v>
      </c>
      <c r="F224" s="164">
        <v>0.60733762992661977</v>
      </c>
      <c r="G224" s="164">
        <v>1.8229856851611065E-3</v>
      </c>
      <c r="H224" s="164">
        <v>2.0355763757404294E-2</v>
      </c>
      <c r="I224" s="163">
        <v>162.01844877798266</v>
      </c>
      <c r="J224" s="517">
        <v>8.0651539463362943E-3</v>
      </c>
    </row>
    <row r="225" spans="2:10" x14ac:dyDescent="0.2">
      <c r="B225" s="518" t="s">
        <v>565</v>
      </c>
      <c r="C225" s="519"/>
      <c r="D225" s="520">
        <v>6.8092872769292656E-2</v>
      </c>
      <c r="E225" s="520">
        <v>0.49456294995065703</v>
      </c>
      <c r="F225" s="520">
        <v>0.43076297094544269</v>
      </c>
      <c r="G225" s="520">
        <v>9.1561458500879263E-4</v>
      </c>
      <c r="H225" s="520">
        <v>2.5106011748764694E-2</v>
      </c>
      <c r="I225" s="521">
        <v>78.543287696309079</v>
      </c>
      <c r="J225" s="522">
        <v>6.14391137894779E-3</v>
      </c>
    </row>
    <row r="226" spans="2:10" x14ac:dyDescent="0.2">
      <c r="B226" s="514" t="s">
        <v>566</v>
      </c>
      <c r="C226" s="515">
        <v>25</v>
      </c>
      <c r="D226" s="164">
        <v>1.9148507989106278E-2</v>
      </c>
      <c r="E226" s="164">
        <v>6.5317640085683679E-2</v>
      </c>
      <c r="F226" s="164">
        <v>0.12108748965318404</v>
      </c>
      <c r="G226" s="164">
        <v>2.01274623600236E-4</v>
      </c>
      <c r="H226" s="164">
        <v>4.6450973108841482E-3</v>
      </c>
      <c r="I226" s="516">
        <v>15.863254012511431</v>
      </c>
      <c r="J226" s="517">
        <v>1.7277386300211289E-3</v>
      </c>
    </row>
    <row r="227" spans="2:10" x14ac:dyDescent="0.2">
      <c r="B227" s="514"/>
      <c r="C227" s="515">
        <v>50</v>
      </c>
      <c r="D227" s="164">
        <v>4.9708958442229743E-2</v>
      </c>
      <c r="E227" s="164">
        <v>0.28385725323478012</v>
      </c>
      <c r="F227" s="164">
        <v>0.23424520321229747</v>
      </c>
      <c r="G227" s="164">
        <v>3.9231222659641928E-4</v>
      </c>
      <c r="H227" s="164">
        <v>1.2081447756118377E-2</v>
      </c>
      <c r="I227" s="516">
        <v>30.347099992291209</v>
      </c>
      <c r="J227" s="517">
        <v>4.4851598848389702E-3</v>
      </c>
    </row>
    <row r="228" spans="2:10" x14ac:dyDescent="0.2">
      <c r="B228" s="514"/>
      <c r="C228" s="515">
        <v>120</v>
      </c>
      <c r="D228" s="164">
        <v>4.3487266017131751E-2</v>
      </c>
      <c r="E228" s="164">
        <v>0.34262245427428423</v>
      </c>
      <c r="F228" s="164">
        <v>0.29365982682029917</v>
      </c>
      <c r="G228" s="164">
        <v>6.0679616977587266E-4</v>
      </c>
      <c r="H228" s="164">
        <v>1.8357483465989411E-2</v>
      </c>
      <c r="I228" s="516">
        <v>51.728021484885616</v>
      </c>
      <c r="J228" s="517">
        <v>3.9237860911746384E-3</v>
      </c>
    </row>
    <row r="229" spans="2:10" x14ac:dyDescent="0.2">
      <c r="B229" s="514"/>
      <c r="C229" s="515">
        <v>175</v>
      </c>
      <c r="D229" s="164">
        <v>6.688646174401594E-2</v>
      </c>
      <c r="E229" s="164">
        <v>0.58446607194905364</v>
      </c>
      <c r="F229" s="164">
        <v>0.42636425543221862</v>
      </c>
      <c r="G229" s="164">
        <v>1.1407768671185469E-3</v>
      </c>
      <c r="H229" s="164">
        <v>2.1835529856116882E-2</v>
      </c>
      <c r="I229" s="163">
        <v>101.38692052859355</v>
      </c>
      <c r="J229" s="517">
        <v>6.0350561752934729E-3</v>
      </c>
    </row>
    <row r="230" spans="2:10" x14ac:dyDescent="0.2">
      <c r="B230" s="514"/>
      <c r="C230" s="515">
        <v>250</v>
      </c>
      <c r="D230" s="164">
        <v>9.1369905301390247E-2</v>
      </c>
      <c r="E230" s="164">
        <v>0.3482818403367578</v>
      </c>
      <c r="F230" s="164">
        <v>0.59638745564372986</v>
      </c>
      <c r="G230" s="164">
        <v>1.9323360671699792E-3</v>
      </c>
      <c r="H230" s="164">
        <v>2.0043660553481443E-2</v>
      </c>
      <c r="I230" s="163">
        <v>171.73702317934348</v>
      </c>
      <c r="J230" s="517">
        <v>8.2441604194351155E-3</v>
      </c>
    </row>
    <row r="231" spans="2:10" x14ac:dyDescent="0.2">
      <c r="B231" s="514"/>
      <c r="C231" s="515">
        <v>500</v>
      </c>
      <c r="D231" s="164">
        <v>0.17883853682192408</v>
      </c>
      <c r="E231" s="164">
        <v>0.67710743431805276</v>
      </c>
      <c r="F231" s="164">
        <v>1.0735505165389065</v>
      </c>
      <c r="G231" s="164">
        <v>3.8801927028726513E-3</v>
      </c>
      <c r="H231" s="164">
        <v>3.8512911117156989E-2</v>
      </c>
      <c r="I231" s="163">
        <v>344.85341441266957</v>
      </c>
      <c r="J231" s="517">
        <v>1.6136313249109139E-2</v>
      </c>
    </row>
    <row r="232" spans="2:10" x14ac:dyDescent="0.2">
      <c r="B232" s="514"/>
      <c r="C232" s="515">
        <v>750</v>
      </c>
      <c r="D232" s="164">
        <v>0.26911780063170421</v>
      </c>
      <c r="E232" s="164">
        <v>1.0153974978794538</v>
      </c>
      <c r="F232" s="164">
        <v>1.6525172082436441</v>
      </c>
      <c r="G232" s="164">
        <v>5.820289741400286E-3</v>
      </c>
      <c r="H232" s="164">
        <v>5.8525888393465286E-2</v>
      </c>
      <c r="I232" s="163">
        <v>517.28018233607872</v>
      </c>
      <c r="J232" s="517">
        <v>2.4282070230631149E-2</v>
      </c>
    </row>
    <row r="233" spans="2:10" x14ac:dyDescent="0.2">
      <c r="B233" s="518" t="s">
        <v>567</v>
      </c>
      <c r="C233" s="519"/>
      <c r="D233" s="520">
        <v>5.1274315671509765E-2</v>
      </c>
      <c r="E233" s="520">
        <v>0.36466325022010032</v>
      </c>
      <c r="F233" s="520">
        <v>0.33307708046476631</v>
      </c>
      <c r="G233" s="520">
        <v>7.7503294945246081E-4</v>
      </c>
      <c r="H233" s="520">
        <v>1.8900956082902293E-2</v>
      </c>
      <c r="I233" s="521">
        <v>66.797212031041553</v>
      </c>
      <c r="J233" s="522">
        <v>4.6263990016499395E-3</v>
      </c>
    </row>
    <row r="234" spans="2:10" x14ac:dyDescent="0.2">
      <c r="B234" s="514" t="s">
        <v>568</v>
      </c>
      <c r="C234" s="515">
        <v>15</v>
      </c>
      <c r="D234" s="164">
        <v>9.8532202566642395E-3</v>
      </c>
      <c r="E234" s="164">
        <v>5.168415638141273E-2</v>
      </c>
      <c r="F234" s="164">
        <v>6.1704623760393131E-2</v>
      </c>
      <c r="G234" s="164">
        <v>1.317163959720239E-4</v>
      </c>
      <c r="H234" s="164">
        <v>2.4111326194183077E-3</v>
      </c>
      <c r="I234" s="516">
        <v>8.4645825658815053</v>
      </c>
      <c r="J234" s="517">
        <v>8.8904031724495775E-4</v>
      </c>
    </row>
    <row r="235" spans="2:10" x14ac:dyDescent="0.2">
      <c r="B235" s="514"/>
      <c r="C235" s="515">
        <v>25</v>
      </c>
      <c r="D235" s="164">
        <v>3.9711474391619331E-2</v>
      </c>
      <c r="E235" s="164">
        <v>0.13554059446213471</v>
      </c>
      <c r="F235" s="164">
        <v>0.25094473986525634</v>
      </c>
      <c r="G235" s="164">
        <v>4.1766482143748183E-4</v>
      </c>
      <c r="H235" s="164">
        <v>9.3685414702726795E-3</v>
      </c>
      <c r="I235" s="516">
        <v>32.917825569444339</v>
      </c>
      <c r="J235" s="517">
        <v>3.5831025175504247E-3</v>
      </c>
    </row>
    <row r="236" spans="2:10" x14ac:dyDescent="0.2">
      <c r="B236" s="514"/>
      <c r="C236" s="515">
        <v>50</v>
      </c>
      <c r="D236" s="164">
        <v>0.11416510378798883</v>
      </c>
      <c r="E236" s="164">
        <v>0.36467255159573664</v>
      </c>
      <c r="F236" s="164">
        <v>0.29651452236308395</v>
      </c>
      <c r="G236" s="164">
        <v>4.2554534081263386E-4</v>
      </c>
      <c r="H236" s="164">
        <v>2.5473459605239408E-2</v>
      </c>
      <c r="I236" s="516">
        <v>32.917839064440678</v>
      </c>
      <c r="J236" s="517">
        <v>1.0300931926800877E-2</v>
      </c>
    </row>
    <row r="237" spans="2:10" x14ac:dyDescent="0.2">
      <c r="B237" s="514"/>
      <c r="C237" s="515">
        <v>120</v>
      </c>
      <c r="D237" s="164">
        <v>9.5878503170890778E-2</v>
      </c>
      <c r="E237" s="164">
        <v>0.44980872031530028</v>
      </c>
      <c r="F237" s="164">
        <v>0.58987981060928463</v>
      </c>
      <c r="G237" s="164">
        <v>7.6125332572901411E-4</v>
      </c>
      <c r="H237" s="164">
        <v>4.7725696225099694E-2</v>
      </c>
      <c r="I237" s="516">
        <v>64.895144962484054</v>
      </c>
      <c r="J237" s="517">
        <v>8.6509632526702279E-3</v>
      </c>
    </row>
    <row r="238" spans="2:10" x14ac:dyDescent="0.2">
      <c r="B238" s="514"/>
      <c r="C238" s="515">
        <v>175</v>
      </c>
      <c r="D238" s="164">
        <v>0.15053187719794997</v>
      </c>
      <c r="E238" s="164">
        <v>0.84360270756072442</v>
      </c>
      <c r="F238" s="164">
        <v>1.1020662373426455</v>
      </c>
      <c r="G238" s="164">
        <v>1.6190988618926213E-3</v>
      </c>
      <c r="H238" s="164">
        <v>6.072435718924795E-2</v>
      </c>
      <c r="I238" s="163">
        <v>143.8979038444989</v>
      </c>
      <c r="J238" s="517">
        <v>1.358225068691382E-2</v>
      </c>
    </row>
    <row r="239" spans="2:10" x14ac:dyDescent="0.2">
      <c r="B239" s="514"/>
      <c r="C239" s="515">
        <v>250</v>
      </c>
      <c r="D239" s="164">
        <v>0.17826304815500793</v>
      </c>
      <c r="E239" s="164">
        <v>0.58234886137096054</v>
      </c>
      <c r="F239" s="164">
        <v>1.5446044104877772</v>
      </c>
      <c r="G239" s="164">
        <v>2.5080162199692907E-3</v>
      </c>
      <c r="H239" s="164">
        <v>5.8214366744849304E-2</v>
      </c>
      <c r="I239" s="163">
        <v>222.90077201319204</v>
      </c>
      <c r="J239" s="517">
        <v>1.6084390830994628E-2</v>
      </c>
    </row>
    <row r="240" spans="2:10" x14ac:dyDescent="0.2">
      <c r="B240" s="514"/>
      <c r="C240" s="515">
        <v>500</v>
      </c>
      <c r="D240" s="164">
        <v>0.23124733689180421</v>
      </c>
      <c r="E240" s="164">
        <v>0.95635689198651508</v>
      </c>
      <c r="F240" s="164">
        <v>1.9434260971036865</v>
      </c>
      <c r="G240" s="164">
        <v>3.0555961854468131E-3</v>
      </c>
      <c r="H240" s="164">
        <v>7.4043045911849015E-2</v>
      </c>
      <c r="I240" s="163">
        <v>311.30862827793965</v>
      </c>
      <c r="J240" s="517">
        <v>2.0865071353070433E-2</v>
      </c>
    </row>
    <row r="241" spans="2:10" x14ac:dyDescent="0.2">
      <c r="B241" s="514"/>
      <c r="C241" s="515">
        <v>750</v>
      </c>
      <c r="D241" s="164">
        <v>0.43819007751973937</v>
      </c>
      <c r="E241" s="164">
        <v>1.7993594735703033</v>
      </c>
      <c r="F241" s="164">
        <v>3.7533469173893286</v>
      </c>
      <c r="G241" s="164">
        <v>5.9008937747056988E-3</v>
      </c>
      <c r="H241" s="164">
        <v>0.14126515340969853</v>
      </c>
      <c r="I241" s="163">
        <v>586.87807369674067</v>
      </c>
      <c r="J241" s="517">
        <v>3.953720851956153E-2</v>
      </c>
    </row>
    <row r="242" spans="2:10" x14ac:dyDescent="0.2">
      <c r="B242" s="518" t="s">
        <v>569</v>
      </c>
      <c r="C242" s="519"/>
      <c r="D242" s="520">
        <v>0.10607844205528816</v>
      </c>
      <c r="E242" s="520">
        <v>0.4367646088111119</v>
      </c>
      <c r="F242" s="520">
        <v>0.51165805235658468</v>
      </c>
      <c r="G242" s="520">
        <v>6.9603874251719081E-4</v>
      </c>
      <c r="H242" s="520">
        <v>3.9289654719234637E-2</v>
      </c>
      <c r="I242" s="521">
        <v>58.713669052906539</v>
      </c>
      <c r="J242" s="522">
        <v>9.5712866722401178E-3</v>
      </c>
    </row>
    <row r="243" spans="2:10" x14ac:dyDescent="0.2">
      <c r="B243" s="514" t="s">
        <v>570</v>
      </c>
      <c r="C243" s="515">
        <v>15</v>
      </c>
      <c r="D243" s="164">
        <v>8.4151655086114815E-3</v>
      </c>
      <c r="E243" s="164">
        <v>3.9152862786046003E-2</v>
      </c>
      <c r="F243" s="164">
        <v>5.2227443212238683E-2</v>
      </c>
      <c r="G243" s="164">
        <v>9.6592045633247831E-5</v>
      </c>
      <c r="H243" s="164">
        <v>2.8297320527562839E-3</v>
      </c>
      <c r="I243" s="516">
        <v>6.2073613612935432</v>
      </c>
      <c r="J243" s="517">
        <v>7.5928701049033374E-4</v>
      </c>
    </row>
    <row r="244" spans="2:10" x14ac:dyDescent="0.2">
      <c r="B244" s="514"/>
      <c r="C244" s="515">
        <v>25</v>
      </c>
      <c r="D244" s="164">
        <v>1.6136229713705635E-2</v>
      </c>
      <c r="E244" s="164">
        <v>5.0425933869439783E-2</v>
      </c>
      <c r="F244" s="164">
        <v>9.2741132603926968E-2</v>
      </c>
      <c r="G244" s="164">
        <v>1.4319936425242488E-4</v>
      </c>
      <c r="H244" s="164">
        <v>4.652083515859484E-3</v>
      </c>
      <c r="I244" s="516">
        <v>11.286110968303079</v>
      </c>
      <c r="J244" s="517">
        <v>1.4559458265447653E-3</v>
      </c>
    </row>
    <row r="245" spans="2:10" x14ac:dyDescent="0.2">
      <c r="B245" s="514"/>
      <c r="C245" s="515">
        <v>50</v>
      </c>
      <c r="D245" s="164">
        <v>5.6269263812251238E-2</v>
      </c>
      <c r="E245" s="164">
        <v>0.2338501617804854</v>
      </c>
      <c r="F245" s="164">
        <v>0.21084728307315348</v>
      </c>
      <c r="G245" s="164">
        <v>3.3557288714988639E-4</v>
      </c>
      <c r="H245" s="164">
        <v>1.4390325125865078E-2</v>
      </c>
      <c r="I245" s="516">
        <v>25.958056379066473</v>
      </c>
      <c r="J245" s="517">
        <v>5.077084604787451E-3</v>
      </c>
    </row>
    <row r="246" spans="2:10" x14ac:dyDescent="0.2">
      <c r="B246" s="514"/>
      <c r="C246" s="515">
        <v>120</v>
      </c>
      <c r="D246" s="164">
        <v>3.9774623895801206E-2</v>
      </c>
      <c r="E246" s="164">
        <v>0.25395938784381283</v>
      </c>
      <c r="F246" s="164">
        <v>0.27868214323802287</v>
      </c>
      <c r="G246" s="164">
        <v>4.6337157589568365E-4</v>
      </c>
      <c r="H246" s="164">
        <v>2.0457998458491323E-2</v>
      </c>
      <c r="I246" s="516">
        <v>39.501389399403038</v>
      </c>
      <c r="J246" s="517">
        <v>3.5887995124065297E-3</v>
      </c>
    </row>
    <row r="247" spans="2:10" x14ac:dyDescent="0.2">
      <c r="B247" s="514"/>
      <c r="C247" s="515">
        <v>175</v>
      </c>
      <c r="D247" s="164">
        <v>7.028239691463678E-2</v>
      </c>
      <c r="E247" s="164">
        <v>0.54000416387558969</v>
      </c>
      <c r="F247" s="164">
        <v>0.55355060495264807</v>
      </c>
      <c r="G247" s="164">
        <v>1.1047968365984584E-3</v>
      </c>
      <c r="H247" s="164">
        <v>2.8306851001082774E-2</v>
      </c>
      <c r="I247" s="516">
        <v>98.189162483895075</v>
      </c>
      <c r="J247" s="517">
        <v>6.3414688011908266E-3</v>
      </c>
    </row>
    <row r="248" spans="2:10" x14ac:dyDescent="0.2">
      <c r="B248" s="514"/>
      <c r="C248" s="515">
        <v>250</v>
      </c>
      <c r="D248" s="164">
        <v>6.1749053631977607E-2</v>
      </c>
      <c r="E248" s="164">
        <v>0.23484353325735752</v>
      </c>
      <c r="F248" s="164">
        <v>0.58276334705117439</v>
      </c>
      <c r="G248" s="164">
        <v>1.3397245535793601E-3</v>
      </c>
      <c r="H248" s="164">
        <v>1.7862420379826008E-2</v>
      </c>
      <c r="I248" s="163">
        <v>119.06846083470349</v>
      </c>
      <c r="J248" s="517">
        <v>5.5715191154859832E-3</v>
      </c>
    </row>
    <row r="249" spans="2:10" x14ac:dyDescent="0.2">
      <c r="B249" s="514"/>
      <c r="C249" s="515">
        <v>500</v>
      </c>
      <c r="D249" s="164">
        <v>8.2464088003552205E-2</v>
      </c>
      <c r="E249" s="164">
        <v>0.31956188562479099</v>
      </c>
      <c r="F249" s="164">
        <v>0.72435493135620921</v>
      </c>
      <c r="G249" s="164">
        <v>1.6450362000413833E-3</v>
      </c>
      <c r="H249" s="164">
        <v>2.3878650123959066E-2</v>
      </c>
      <c r="I249" s="163">
        <v>167.5987464877706</v>
      </c>
      <c r="J249" s="517">
        <v>7.4406021628054143E-3</v>
      </c>
    </row>
    <row r="250" spans="2:10" ht="10.8" thickBot="1" x14ac:dyDescent="0.25">
      <c r="B250" s="525" t="s">
        <v>571</v>
      </c>
      <c r="C250" s="526"/>
      <c r="D250" s="527">
        <v>3.8751131734957478E-2</v>
      </c>
      <c r="E250" s="527">
        <v>0.18763632796759486</v>
      </c>
      <c r="F250" s="527">
        <v>0.19408953271992593</v>
      </c>
      <c r="G250" s="527">
        <v>3.1746437088372737E-4</v>
      </c>
      <c r="H250" s="527">
        <v>1.3323531126370365E-2</v>
      </c>
      <c r="I250" s="528">
        <v>25.602675423237411</v>
      </c>
      <c r="J250" s="529">
        <v>3.4964517979628063E-3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workbookViewId="0">
      <selection activeCell="I19" sqref="I19:J1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2019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1.0072180379546844E-2</v>
      </c>
      <c r="E9" s="164">
        <v>5.2832684761317056E-2</v>
      </c>
      <c r="F9" s="164">
        <v>6.3075811746745064E-2</v>
      </c>
      <c r="G9" s="164">
        <v>1.346434105596241E-4</v>
      </c>
      <c r="H9" s="164">
        <v>2.4610545982010562E-3</v>
      </c>
      <c r="I9" s="516">
        <v>8.6526833775503871</v>
      </c>
      <c r="J9" s="517">
        <v>9.0879669921127527E-4</v>
      </c>
    </row>
    <row r="10" spans="1:10" x14ac:dyDescent="0.2">
      <c r="B10" s="514"/>
      <c r="C10" s="515">
        <v>25</v>
      </c>
      <c r="D10" s="164">
        <v>1.4009517830467052E-2</v>
      </c>
      <c r="E10" s="164">
        <v>4.6327172658043272E-2</v>
      </c>
      <c r="F10" s="164">
        <v>8.5917612553147615E-2</v>
      </c>
      <c r="G10" s="164">
        <v>1.3906248428893254E-4</v>
      </c>
      <c r="H10" s="164">
        <v>3.6925376670379991E-3</v>
      </c>
      <c r="I10" s="516">
        <v>10.960068419880862</v>
      </c>
      <c r="J10" s="517">
        <v>1.2640560474283474E-3</v>
      </c>
    </row>
    <row r="11" spans="1:10" x14ac:dyDescent="0.2">
      <c r="B11" s="514"/>
      <c r="C11" s="515">
        <v>50</v>
      </c>
      <c r="D11" s="164">
        <v>2.9328472994759915E-2</v>
      </c>
      <c r="E11" s="164">
        <v>0.14664649580054664</v>
      </c>
      <c r="F11" s="164">
        <v>0.14713401200287321</v>
      </c>
      <c r="G11" s="164">
        <v>2.5354407348988998E-4</v>
      </c>
      <c r="H11" s="164">
        <v>8.1197916563871229E-3</v>
      </c>
      <c r="I11" s="516">
        <v>19.612761762661162</v>
      </c>
      <c r="J11" s="517">
        <v>2.6462615882825976E-3</v>
      </c>
    </row>
    <row r="12" spans="1:10" x14ac:dyDescent="0.2">
      <c r="B12" s="514"/>
      <c r="C12" s="515">
        <v>120</v>
      </c>
      <c r="D12" s="164">
        <v>2.8826343829381072E-2</v>
      </c>
      <c r="E12" s="164">
        <v>0.23036816090657469</v>
      </c>
      <c r="F12" s="164">
        <v>0.23543591103819916</v>
      </c>
      <c r="G12" s="164">
        <v>4.4660186125796705E-4</v>
      </c>
      <c r="H12" s="164">
        <v>1.4626689028822314E-2</v>
      </c>
      <c r="I12" s="516">
        <v>38.07181772268865</v>
      </c>
      <c r="J12" s="517">
        <v>2.6009543106440729E-3</v>
      </c>
    </row>
    <row r="13" spans="1:10" x14ac:dyDescent="0.2">
      <c r="B13" s="514"/>
      <c r="C13" s="515">
        <v>500</v>
      </c>
      <c r="D13" s="164">
        <v>7.9400583039389558E-2</v>
      </c>
      <c r="E13" s="164">
        <v>0.38429742860855359</v>
      </c>
      <c r="F13" s="164">
        <v>0.7878412992064403</v>
      </c>
      <c r="G13" s="164">
        <v>2.0892508491897346E-3</v>
      </c>
      <c r="H13" s="164">
        <v>2.4270630746305873E-2</v>
      </c>
      <c r="I13" s="163">
        <v>212.85604148541441</v>
      </c>
      <c r="J13" s="517">
        <v>7.1641881520830052E-3</v>
      </c>
    </row>
    <row r="14" spans="1:10" x14ac:dyDescent="0.2">
      <c r="B14" s="514"/>
      <c r="C14" s="515">
        <v>750</v>
      </c>
      <c r="D14" s="164">
        <v>0.14549459801388648</v>
      </c>
      <c r="E14" s="164">
        <v>0.69465144906265919</v>
      </c>
      <c r="F14" s="164">
        <v>1.4582104170876307</v>
      </c>
      <c r="G14" s="164">
        <v>3.8686167464982261E-3</v>
      </c>
      <c r="H14" s="164">
        <v>4.4380790888956384E-2</v>
      </c>
      <c r="I14" s="163">
        <v>384.75606964593203</v>
      </c>
      <c r="J14" s="517">
        <v>1.3127742136292793E-2</v>
      </c>
    </row>
    <row r="15" spans="1:10" x14ac:dyDescent="0.2">
      <c r="B15" s="518" t="s">
        <v>505</v>
      </c>
      <c r="C15" s="519"/>
      <c r="D15" s="520">
        <v>2.8758803559926088E-2</v>
      </c>
      <c r="E15" s="520">
        <v>0.17150393155966356</v>
      </c>
      <c r="F15" s="520">
        <v>0.2002162216502861</v>
      </c>
      <c r="G15" s="520">
        <v>3.9920786714068294E-4</v>
      </c>
      <c r="H15" s="520">
        <v>1.0425106980838681E-2</v>
      </c>
      <c r="I15" s="521">
        <v>34.721700684800162</v>
      </c>
      <c r="J15" s="522">
        <v>2.5948607638206149E-3</v>
      </c>
    </row>
    <row r="16" spans="1:10" x14ac:dyDescent="0.2">
      <c r="B16" s="514" t="s">
        <v>506</v>
      </c>
      <c r="C16" s="515">
        <v>15</v>
      </c>
      <c r="D16" s="164">
        <v>9.5529821992454463E-3</v>
      </c>
      <c r="E16" s="164">
        <v>4.5331263818597894E-2</v>
      </c>
      <c r="F16" s="164">
        <v>5.9275989411670747E-2</v>
      </c>
      <c r="G16" s="164">
        <v>1.1239798261913267E-4</v>
      </c>
      <c r="H16" s="164">
        <v>3.0983393671728645E-3</v>
      </c>
      <c r="I16" s="516">
        <v>7.2231132004186849</v>
      </c>
      <c r="J16" s="517">
        <v>8.6195040000962937E-4</v>
      </c>
    </row>
    <row r="17" spans="2:10" x14ac:dyDescent="0.2">
      <c r="B17" s="514"/>
      <c r="C17" s="515">
        <v>25</v>
      </c>
      <c r="D17" s="164">
        <v>2.0124365974778059E-2</v>
      </c>
      <c r="E17" s="164">
        <v>6.3750940459955635E-2</v>
      </c>
      <c r="F17" s="164">
        <v>0.11704287472275261</v>
      </c>
      <c r="G17" s="164">
        <v>1.8329521057232982E-4</v>
      </c>
      <c r="H17" s="164">
        <v>5.6840830850642711E-3</v>
      </c>
      <c r="I17" s="516">
        <v>14.44622372914524</v>
      </c>
      <c r="J17" s="517">
        <v>1.815789237683479E-3</v>
      </c>
    </row>
    <row r="18" spans="2:10" x14ac:dyDescent="0.2">
      <c r="B18" s="514"/>
      <c r="C18" s="515">
        <v>50</v>
      </c>
      <c r="D18" s="164">
        <v>4.4956307840598952E-2</v>
      </c>
      <c r="E18" s="164">
        <v>0.20783927400239133</v>
      </c>
      <c r="F18" s="164">
        <v>0.17838305725917816</v>
      </c>
      <c r="G18" s="164">
        <v>2.8791177699648187E-4</v>
      </c>
      <c r="H18" s="164">
        <v>1.1402701697855882E-2</v>
      </c>
      <c r="I18" s="516">
        <v>22.271260851643145</v>
      </c>
      <c r="J18" s="517">
        <v>4.0563354650994263E-3</v>
      </c>
    </row>
    <row r="19" spans="2:10" x14ac:dyDescent="0.2">
      <c r="B19" s="514"/>
      <c r="C19" s="515">
        <v>120</v>
      </c>
      <c r="D19" s="164">
        <v>4.4975641716619351E-2</v>
      </c>
      <c r="E19" s="164">
        <v>0.30746804743341249</v>
      </c>
      <c r="F19" s="164">
        <v>0.30814359790868368</v>
      </c>
      <c r="G19" s="164">
        <v>5.5075020829432723E-4</v>
      </c>
      <c r="H19" s="164">
        <v>2.1809667795271867E-2</v>
      </c>
      <c r="I19" s="516">
        <v>46.950228882723515</v>
      </c>
      <c r="J19" s="517">
        <v>4.058080316480763E-3</v>
      </c>
    </row>
    <row r="20" spans="2:10" x14ac:dyDescent="0.2">
      <c r="B20" s="514"/>
      <c r="C20" s="515">
        <v>175</v>
      </c>
      <c r="D20" s="164">
        <v>6.3102790089872962E-2</v>
      </c>
      <c r="E20" s="164">
        <v>0.49911452621549574</v>
      </c>
      <c r="F20" s="164">
        <v>0.45113316855344254</v>
      </c>
      <c r="G20" s="164">
        <v>9.9558686782676891E-4</v>
      </c>
      <c r="H20" s="164">
        <v>2.3685769856012926E-2</v>
      </c>
      <c r="I20" s="516">
        <v>88.483120728084046</v>
      </c>
      <c r="J20" s="517">
        <v>5.6936635968378342E-3</v>
      </c>
    </row>
    <row r="21" spans="2:10" x14ac:dyDescent="0.2">
      <c r="B21" s="514"/>
      <c r="C21" s="515">
        <v>250</v>
      </c>
      <c r="D21" s="164">
        <v>7.0680427376690932E-2</v>
      </c>
      <c r="E21" s="164">
        <v>0.26194717069147833</v>
      </c>
      <c r="F21" s="164">
        <v>0.57607235942314339</v>
      </c>
      <c r="G21" s="164">
        <v>1.4764484713502822E-3</v>
      </c>
      <c r="H21" s="164">
        <v>1.8317267490052313E-2</v>
      </c>
      <c r="I21" s="163">
        <v>131.2198606411589</v>
      </c>
      <c r="J21" s="517">
        <v>6.3773811396323366E-3</v>
      </c>
    </row>
    <row r="22" spans="2:10" x14ac:dyDescent="0.2">
      <c r="B22" s="514"/>
      <c r="C22" s="515">
        <v>500</v>
      </c>
      <c r="D22" s="164">
        <v>0.1203144752891811</v>
      </c>
      <c r="E22" s="164">
        <v>0.44395372879015327</v>
      </c>
      <c r="F22" s="164">
        <v>0.90343910855888421</v>
      </c>
      <c r="G22" s="164">
        <v>2.2746188977586712E-3</v>
      </c>
      <c r="H22" s="164">
        <v>3.0998886023735756E-2</v>
      </c>
      <c r="I22" s="163">
        <v>231.74156545051858</v>
      </c>
      <c r="J22" s="517">
        <v>1.0855780561249941E-2</v>
      </c>
    </row>
    <row r="23" spans="2:10" x14ac:dyDescent="0.2">
      <c r="B23" s="514"/>
      <c r="C23" s="515">
        <v>750</v>
      </c>
      <c r="D23" s="164">
        <v>0.18668281421827287</v>
      </c>
      <c r="E23" s="164">
        <v>0.68611003412354066</v>
      </c>
      <c r="F23" s="164">
        <v>1.4307458509352617</v>
      </c>
      <c r="G23" s="164">
        <v>3.6010585310599984E-3</v>
      </c>
      <c r="H23" s="164">
        <v>4.8499767910314712E-2</v>
      </c>
      <c r="I23" s="163">
        <v>358.14588477500621</v>
      </c>
      <c r="J23" s="517">
        <v>1.6844087734262693E-2</v>
      </c>
    </row>
    <row r="24" spans="2:10" x14ac:dyDescent="0.2">
      <c r="B24" s="514"/>
      <c r="C24" s="515">
        <v>1000</v>
      </c>
      <c r="D24" s="164">
        <v>0.2796399432197722</v>
      </c>
      <c r="E24" s="164">
        <v>1.0166870557138434</v>
      </c>
      <c r="F24" s="164">
        <v>3.5066606081198626</v>
      </c>
      <c r="G24" s="164">
        <v>4.8901782484944544E-3</v>
      </c>
      <c r="H24" s="164">
        <v>8.8360553176960718E-2</v>
      </c>
      <c r="I24" s="163">
        <v>486.35616775270643</v>
      </c>
      <c r="J24" s="517">
        <v>2.5231466237451618E-2</v>
      </c>
    </row>
    <row r="25" spans="2:10" x14ac:dyDescent="0.2">
      <c r="B25" s="518" t="s">
        <v>507</v>
      </c>
      <c r="C25" s="519"/>
      <c r="D25" s="520">
        <v>5.2619207503666429E-2</v>
      </c>
      <c r="E25" s="520">
        <v>0.30998857056488444</v>
      </c>
      <c r="F25" s="520">
        <v>0.35772390997269404</v>
      </c>
      <c r="G25" s="520">
        <v>7.1132449085815365E-4</v>
      </c>
      <c r="H25" s="520">
        <v>2.1277092194299487E-2</v>
      </c>
      <c r="I25" s="521">
        <v>63.607315404354189</v>
      </c>
      <c r="J25" s="522">
        <v>4.7477467532857816E-3</v>
      </c>
    </row>
    <row r="26" spans="2:10" x14ac:dyDescent="0.2">
      <c r="B26" s="514" t="s">
        <v>508</v>
      </c>
      <c r="C26" s="515">
        <v>15</v>
      </c>
      <c r="D26" s="164">
        <v>1.2042827400048226E-2</v>
      </c>
      <c r="E26" s="164">
        <v>6.3169537750493276E-2</v>
      </c>
      <c r="F26" s="164">
        <v>7.5416781136243838E-2</v>
      </c>
      <c r="G26" s="164">
        <v>1.6098673415161028E-4</v>
      </c>
      <c r="H26" s="164">
        <v>2.9469409824393806E-3</v>
      </c>
      <c r="I26" s="516">
        <v>10.345604555549604</v>
      </c>
      <c r="J26" s="517">
        <v>1.0866051083752851E-3</v>
      </c>
    </row>
    <row r="27" spans="2:10" x14ac:dyDescent="0.2">
      <c r="B27" s="514"/>
      <c r="C27" s="515">
        <v>25</v>
      </c>
      <c r="D27" s="164">
        <v>1.928842787849715E-2</v>
      </c>
      <c r="E27" s="164">
        <v>6.5834003720879997E-2</v>
      </c>
      <c r="F27" s="164">
        <v>0.12188744693595562</v>
      </c>
      <c r="G27" s="164">
        <v>2.028657516871489E-4</v>
      </c>
      <c r="H27" s="164">
        <v>4.5482737437428184E-3</v>
      </c>
      <c r="I27" s="516">
        <v>15.988657060996905</v>
      </c>
      <c r="J27" s="517">
        <v>1.7403640508093703E-3</v>
      </c>
    </row>
    <row r="28" spans="2:10" x14ac:dyDescent="0.2">
      <c r="B28" s="514"/>
      <c r="C28" s="515">
        <v>50</v>
      </c>
      <c r="D28" s="164">
        <v>1.9947850039328932E-2</v>
      </c>
      <c r="E28" s="164">
        <v>0.22071891698260163</v>
      </c>
      <c r="F28" s="164">
        <v>0.1817747725698389</v>
      </c>
      <c r="G28" s="164">
        <v>4.0122844099931823E-4</v>
      </c>
      <c r="H28" s="164">
        <v>2.6096438058060257E-3</v>
      </c>
      <c r="I28" s="516">
        <v>31.036805606067269</v>
      </c>
      <c r="J28" s="517">
        <v>1.7998624744839265E-3</v>
      </c>
    </row>
    <row r="29" spans="2:10" x14ac:dyDescent="0.2">
      <c r="B29" s="514"/>
      <c r="C29" s="515">
        <v>120</v>
      </c>
      <c r="D29" s="164">
        <v>2.9295071904132726E-2</v>
      </c>
      <c r="E29" s="164">
        <v>0.46634195015325958</v>
      </c>
      <c r="F29" s="164">
        <v>0.25006645228145524</v>
      </c>
      <c r="G29" s="164">
        <v>9.046777577488526E-4</v>
      </c>
      <c r="H29" s="164">
        <v>5.3882020731461852E-3</v>
      </c>
      <c r="I29" s="516">
        <v>77.121752202638532</v>
      </c>
      <c r="J29" s="517">
        <v>2.6432463875258158E-3</v>
      </c>
    </row>
    <row r="30" spans="2:10" x14ac:dyDescent="0.2">
      <c r="B30" s="514"/>
      <c r="C30" s="515">
        <v>175</v>
      </c>
      <c r="D30" s="164">
        <v>4.3564162284869951E-2</v>
      </c>
      <c r="E30" s="164">
        <v>0.75420168719870728</v>
      </c>
      <c r="F30" s="164">
        <v>0.23361388027173854</v>
      </c>
      <c r="G30" s="164">
        <v>1.587351410550642E-3</v>
      </c>
      <c r="H30" s="164">
        <v>6.8156277885375463E-3</v>
      </c>
      <c r="I30" s="163">
        <v>141.07639330064924</v>
      </c>
      <c r="J30" s="517">
        <v>3.9307254447601683E-3</v>
      </c>
    </row>
    <row r="31" spans="2:10" x14ac:dyDescent="0.2">
      <c r="B31" s="514"/>
      <c r="C31" s="515">
        <v>250</v>
      </c>
      <c r="D31" s="164">
        <v>5.0218497578228743E-2</v>
      </c>
      <c r="E31" s="164">
        <v>0.34260432932023543</v>
      </c>
      <c r="F31" s="164">
        <v>0.20000707024730857</v>
      </c>
      <c r="G31" s="164">
        <v>2.1164689410001899E-3</v>
      </c>
      <c r="H31" s="164">
        <v>5.3508065944595966E-3</v>
      </c>
      <c r="I31" s="163">
        <v>188.10186423466041</v>
      </c>
      <c r="J31" s="517">
        <v>4.5311351114966552E-3</v>
      </c>
    </row>
    <row r="32" spans="2:10" x14ac:dyDescent="0.2">
      <c r="B32" s="514"/>
      <c r="C32" s="515">
        <v>500</v>
      </c>
      <c r="D32" s="164">
        <v>8.2919955041265286E-2</v>
      </c>
      <c r="E32" s="164">
        <v>0.55118430682220809</v>
      </c>
      <c r="F32" s="164">
        <v>0.32368268787783255</v>
      </c>
      <c r="G32" s="164">
        <v>3.05559501272047E-3</v>
      </c>
      <c r="H32" s="164">
        <v>8.7966143329328821E-3</v>
      </c>
      <c r="I32" s="163">
        <v>311.30857037145518</v>
      </c>
      <c r="J32" s="517">
        <v>7.4817341491167453E-3</v>
      </c>
    </row>
    <row r="33" spans="2:10" x14ac:dyDescent="0.2">
      <c r="B33" s="514"/>
      <c r="C33" s="515">
        <v>750</v>
      </c>
      <c r="D33" s="164">
        <v>0.16403224423835402</v>
      </c>
      <c r="E33" s="164">
        <v>1.0891028141013319</v>
      </c>
      <c r="F33" s="164">
        <v>0.64315216987029589</v>
      </c>
      <c r="G33" s="164">
        <v>6.1845917328314879E-3</v>
      </c>
      <c r="H33" s="164">
        <v>1.7418208824693485E-2</v>
      </c>
      <c r="I33" s="163">
        <v>615.09312688193836</v>
      </c>
      <c r="J33" s="517">
        <v>1.4800360617468589E-2</v>
      </c>
    </row>
    <row r="34" spans="2:10" x14ac:dyDescent="0.2">
      <c r="B34" s="514"/>
      <c r="C34" s="515">
        <v>1000</v>
      </c>
      <c r="D34" s="164">
        <v>0.25968536135983117</v>
      </c>
      <c r="E34" s="164">
        <v>1.6436457910856541</v>
      </c>
      <c r="F34" s="164">
        <v>4.0728459633625302</v>
      </c>
      <c r="G34" s="164">
        <v>9.3336254955921454E-3</v>
      </c>
      <c r="H34" s="164">
        <v>6.1476052238944978E-2</v>
      </c>
      <c r="I34" s="163">
        <v>928.28271385919959</v>
      </c>
      <c r="J34" s="517">
        <v>2.3430993043384703E-2</v>
      </c>
    </row>
    <row r="35" spans="2:10" x14ac:dyDescent="0.2">
      <c r="B35" s="518" t="s">
        <v>509</v>
      </c>
      <c r="C35" s="519"/>
      <c r="D35" s="520">
        <v>5.0632636125809941E-2</v>
      </c>
      <c r="E35" s="520">
        <v>0.50093596134158325</v>
      </c>
      <c r="F35" s="520">
        <v>0.37596315751468173</v>
      </c>
      <c r="G35" s="520">
        <v>1.7459177580525674E-3</v>
      </c>
      <c r="H35" s="520">
        <v>7.7932588976088492E-3</v>
      </c>
      <c r="I35" s="523">
        <v>164.8705027635819</v>
      </c>
      <c r="J35" s="522">
        <v>4.5685010880096655E-3</v>
      </c>
    </row>
    <row r="36" spans="2:10" x14ac:dyDescent="0.2">
      <c r="B36" s="514" t="s">
        <v>510</v>
      </c>
      <c r="C36" s="515">
        <v>15</v>
      </c>
      <c r="D36" s="164">
        <v>7.3570727292406653E-3</v>
      </c>
      <c r="E36" s="164">
        <v>3.8590824916892495E-2</v>
      </c>
      <c r="F36" s="164">
        <v>4.6072788368506541E-2</v>
      </c>
      <c r="G36" s="164">
        <v>9.8348231796745807E-5</v>
      </c>
      <c r="H36" s="164">
        <v>1.8052285112309576E-3</v>
      </c>
      <c r="I36" s="516">
        <v>6.320221722111051</v>
      </c>
      <c r="J36" s="517">
        <v>6.6381671076519942E-4</v>
      </c>
    </row>
    <row r="37" spans="2:10" x14ac:dyDescent="0.2">
      <c r="B37" s="514"/>
      <c r="C37" s="515">
        <v>25</v>
      </c>
      <c r="D37" s="164">
        <v>2.2724106866412238E-2</v>
      </c>
      <c r="E37" s="164">
        <v>7.4696719747545659E-2</v>
      </c>
      <c r="F37" s="164">
        <v>0.13806586206424148</v>
      </c>
      <c r="G37" s="164">
        <v>2.2275459692330988E-4</v>
      </c>
      <c r="H37" s="164">
        <v>6.0701148451004537E-3</v>
      </c>
      <c r="I37" s="516">
        <v>17.556170210663382</v>
      </c>
      <c r="J37" s="517">
        <v>2.0503599511381213E-3</v>
      </c>
    </row>
    <row r="38" spans="2:10" x14ac:dyDescent="0.2">
      <c r="B38" s="518" t="s">
        <v>511</v>
      </c>
      <c r="C38" s="519"/>
      <c r="D38" s="520">
        <v>8.626163310913133E-3</v>
      </c>
      <c r="E38" s="520">
        <v>4.1572639798242959E-2</v>
      </c>
      <c r="F38" s="520">
        <v>5.3670060709039458E-2</v>
      </c>
      <c r="G38" s="520">
        <v>1.0862236438947056E-4</v>
      </c>
      <c r="H38" s="520">
        <v>2.1574452779735366E-3</v>
      </c>
      <c r="I38" s="521">
        <v>7.2481455020476337</v>
      </c>
      <c r="J38" s="522">
        <v>7.7832475127136689E-4</v>
      </c>
    </row>
    <row r="39" spans="2:10" x14ac:dyDescent="0.2">
      <c r="B39" s="514" t="s">
        <v>512</v>
      </c>
      <c r="C39" s="515">
        <v>25</v>
      </c>
      <c r="D39" s="164">
        <v>1.9878436951145134E-2</v>
      </c>
      <c r="E39" s="164">
        <v>6.784775629466322E-2</v>
      </c>
      <c r="F39" s="164">
        <v>0.12561578462501044</v>
      </c>
      <c r="G39" s="164">
        <v>2.0907113777648555E-4</v>
      </c>
      <c r="H39" s="164">
        <v>4.6928029171814266E-3</v>
      </c>
      <c r="I39" s="516">
        <v>16.477726855086473</v>
      </c>
      <c r="J39" s="517">
        <v>1.793599245064821E-3</v>
      </c>
    </row>
    <row r="40" spans="2:10" x14ac:dyDescent="0.2">
      <c r="B40" s="514"/>
      <c r="C40" s="515">
        <v>50</v>
      </c>
      <c r="D40" s="164">
        <v>4.7806628476373687E-2</v>
      </c>
      <c r="E40" s="164">
        <v>0.24692928560741192</v>
      </c>
      <c r="F40" s="164">
        <v>0.23060901943887091</v>
      </c>
      <c r="G40" s="164">
        <v>3.9052906814380427E-4</v>
      </c>
      <c r="H40" s="164">
        <v>1.2907965636263797E-2</v>
      </c>
      <c r="I40" s="516">
        <v>30.209160743170109</v>
      </c>
      <c r="J40" s="517">
        <v>4.3135150784763031E-3</v>
      </c>
    </row>
    <row r="41" spans="2:10" x14ac:dyDescent="0.2">
      <c r="B41" s="514"/>
      <c r="C41" s="515">
        <v>120</v>
      </c>
      <c r="D41" s="164">
        <v>5.788476499218987E-2</v>
      </c>
      <c r="E41" s="164">
        <v>0.46330471430567344</v>
      </c>
      <c r="F41" s="164">
        <v>0.44903550513051782</v>
      </c>
      <c r="G41" s="164">
        <v>8.6981496082941278E-4</v>
      </c>
      <c r="H41" s="164">
        <v>2.8796859936875436E-2</v>
      </c>
      <c r="I41" s="516">
        <v>74.149756971132675</v>
      </c>
      <c r="J41" s="517">
        <v>5.2228499935204785E-3</v>
      </c>
    </row>
    <row r="42" spans="2:10" x14ac:dyDescent="0.2">
      <c r="B42" s="514"/>
      <c r="C42" s="515">
        <v>175</v>
      </c>
      <c r="D42" s="164">
        <v>9.3085075559026675E-2</v>
      </c>
      <c r="E42" s="164">
        <v>0.86614956431728518</v>
      </c>
      <c r="F42" s="164">
        <v>0.73819532386625375</v>
      </c>
      <c r="G42" s="164">
        <v>1.8025261533311182E-3</v>
      </c>
      <c r="H42" s="164">
        <v>3.6329680773023502E-2</v>
      </c>
      <c r="I42" s="163">
        <v>160.20008543797772</v>
      </c>
      <c r="J42" s="517">
        <v>8.3989176349889456E-3</v>
      </c>
    </row>
    <row r="43" spans="2:10" x14ac:dyDescent="0.2">
      <c r="B43" s="518" t="s">
        <v>513</v>
      </c>
      <c r="C43" s="519"/>
      <c r="D43" s="520">
        <v>5.3598979298150343E-2</v>
      </c>
      <c r="E43" s="520">
        <v>0.38119480583393833</v>
      </c>
      <c r="F43" s="520">
        <v>0.3668761616795187</v>
      </c>
      <c r="G43" s="520">
        <v>6.9733488187680235E-4</v>
      </c>
      <c r="H43" s="520">
        <v>2.2532758668982442E-2</v>
      </c>
      <c r="I43" s="521">
        <v>58.463648059146621</v>
      </c>
      <c r="J43" s="522">
        <v>4.8361501150468505E-3</v>
      </c>
    </row>
    <row r="44" spans="2:10" x14ac:dyDescent="0.2">
      <c r="B44" s="514" t="s">
        <v>514</v>
      </c>
      <c r="C44" s="515">
        <v>50</v>
      </c>
      <c r="D44" s="164">
        <v>5.8702948805749187E-2</v>
      </c>
      <c r="E44" s="164">
        <v>0.24723621626090878</v>
      </c>
      <c r="F44" s="164">
        <v>0.19553204552203368</v>
      </c>
      <c r="G44" s="164">
        <v>2.997460507192465E-4</v>
      </c>
      <c r="H44" s="164">
        <v>1.3574310334597783E-2</v>
      </c>
      <c r="I44" s="516">
        <v>23.186689888315826</v>
      </c>
      <c r="J44" s="517">
        <v>5.296670902039796E-3</v>
      </c>
    </row>
    <row r="45" spans="2:10" x14ac:dyDescent="0.2">
      <c r="B45" s="514"/>
      <c r="C45" s="515">
        <v>120</v>
      </c>
      <c r="D45" s="164">
        <v>5.8935117227036926E-2</v>
      </c>
      <c r="E45" s="164">
        <v>0.34652589552708729</v>
      </c>
      <c r="F45" s="164">
        <v>0.35786316988922057</v>
      </c>
      <c r="G45" s="164">
        <v>5.8826119369513683E-4</v>
      </c>
      <c r="H45" s="164">
        <v>2.7248001588616479E-2</v>
      </c>
      <c r="I45" s="516">
        <v>50.147949925498153</v>
      </c>
      <c r="J45" s="517">
        <v>5.3176226032023424E-3</v>
      </c>
    </row>
    <row r="46" spans="2:10" x14ac:dyDescent="0.2">
      <c r="B46" s="514"/>
      <c r="C46" s="515">
        <v>175</v>
      </c>
      <c r="D46" s="164">
        <v>6.9893004662138492E-2</v>
      </c>
      <c r="E46" s="164">
        <v>0.47597096920239662</v>
      </c>
      <c r="F46" s="164">
        <v>0.45356808188587733</v>
      </c>
      <c r="G46" s="164">
        <v>9.0401433244936564E-4</v>
      </c>
      <c r="H46" s="164">
        <v>2.5229123781782638E-2</v>
      </c>
      <c r="I46" s="516">
        <v>80.344575543618603</v>
      </c>
      <c r="J46" s="517">
        <v>6.3063341644391561E-3</v>
      </c>
    </row>
    <row r="47" spans="2:10" x14ac:dyDescent="0.2">
      <c r="B47" s="514"/>
      <c r="C47" s="515">
        <v>250</v>
      </c>
      <c r="D47" s="164">
        <v>7.4455400987081033E-2</v>
      </c>
      <c r="E47" s="164">
        <v>0.24776382809190678</v>
      </c>
      <c r="F47" s="164">
        <v>0.5539497094830208</v>
      </c>
      <c r="G47" s="164">
        <v>1.2619798084754076E-3</v>
      </c>
      <c r="H47" s="164">
        <v>1.9034685515889285E-2</v>
      </c>
      <c r="I47" s="163">
        <v>112.15887636674314</v>
      </c>
      <c r="J47" s="517">
        <v>6.7179915573516409E-3</v>
      </c>
    </row>
    <row r="48" spans="2:10" x14ac:dyDescent="0.2">
      <c r="B48" s="514"/>
      <c r="C48" s="515">
        <v>500</v>
      </c>
      <c r="D48" s="164">
        <v>0.11431066383588231</v>
      </c>
      <c r="E48" s="164">
        <v>0.39514675611788858</v>
      </c>
      <c r="F48" s="164">
        <v>0.7860819003758085</v>
      </c>
      <c r="G48" s="164">
        <v>1.7677526386481268E-3</v>
      </c>
      <c r="H48" s="164">
        <v>2.8584012771701733E-2</v>
      </c>
      <c r="I48" s="163">
        <v>180.10124840521706</v>
      </c>
      <c r="J48" s="517">
        <v>1.031406718152144E-2</v>
      </c>
    </row>
    <row r="49" spans="2:10" x14ac:dyDescent="0.2">
      <c r="B49" s="514"/>
      <c r="C49" s="515">
        <v>750</v>
      </c>
      <c r="D49" s="164">
        <v>0.19337228315789581</v>
      </c>
      <c r="E49" s="164">
        <v>0.66441386920749512</v>
      </c>
      <c r="F49" s="164">
        <v>1.367802318361413</v>
      </c>
      <c r="G49" s="164">
        <v>3.0470302299168829E-3</v>
      </c>
      <c r="H49" s="164">
        <v>4.8967365466919266E-2</v>
      </c>
      <c r="I49" s="163">
        <v>303.04466967760169</v>
      </c>
      <c r="J49" s="517">
        <v>1.7447671178016336E-2</v>
      </c>
    </row>
    <row r="50" spans="2:10" x14ac:dyDescent="0.2">
      <c r="B50" s="514"/>
      <c r="C50" s="515">
        <v>9999</v>
      </c>
      <c r="D50" s="164">
        <v>0.70485316267934273</v>
      </c>
      <c r="E50" s="164">
        <v>2.2802344558128267</v>
      </c>
      <c r="F50" s="164">
        <v>7.4207312815528708</v>
      </c>
      <c r="G50" s="164">
        <v>9.7591713073579851E-3</v>
      </c>
      <c r="H50" s="164">
        <v>0.19632734340277036</v>
      </c>
      <c r="I50" s="163">
        <v>970.60569379417655</v>
      </c>
      <c r="J50" s="517">
        <v>6.3597779965322121E-2</v>
      </c>
    </row>
    <row r="51" spans="2:10" x14ac:dyDescent="0.2">
      <c r="B51" s="518" t="s">
        <v>515</v>
      </c>
      <c r="C51" s="519"/>
      <c r="D51" s="520">
        <v>9.5369350197735195E-2</v>
      </c>
      <c r="E51" s="520">
        <v>0.3981588779975726</v>
      </c>
      <c r="F51" s="520">
        <v>0.72358817312304913</v>
      </c>
      <c r="G51" s="520">
        <v>1.3768155849604611E-3</v>
      </c>
      <c r="H51" s="520">
        <v>2.8611816208420803E-2</v>
      </c>
      <c r="I51" s="523">
        <v>128.62876691419294</v>
      </c>
      <c r="J51" s="522">
        <v>8.605024085718338E-3</v>
      </c>
    </row>
    <row r="52" spans="2:10" x14ac:dyDescent="0.2">
      <c r="B52" s="514" t="s">
        <v>516</v>
      </c>
      <c r="C52" s="515">
        <v>50</v>
      </c>
      <c r="D52" s="164">
        <v>7.5393033065090972E-2</v>
      </c>
      <c r="E52" s="164">
        <v>0.28253971843876857</v>
      </c>
      <c r="F52" s="164">
        <v>0.21718034368064029</v>
      </c>
      <c r="G52" s="164">
        <v>3.216313869557229E-4</v>
      </c>
      <c r="H52" s="164">
        <v>1.650700133881617E-2</v>
      </c>
      <c r="I52" s="516">
        <v>24.879610171496502</v>
      </c>
      <c r="J52" s="517">
        <v>6.8025919423424204E-3</v>
      </c>
    </row>
    <row r="53" spans="2:10" x14ac:dyDescent="0.2">
      <c r="B53" s="514"/>
      <c r="C53" s="515">
        <v>120</v>
      </c>
      <c r="D53" s="164">
        <v>8.8655005891346159E-2</v>
      </c>
      <c r="E53" s="164">
        <v>0.46521372830738855</v>
      </c>
      <c r="F53" s="164">
        <v>0.5230446211267411</v>
      </c>
      <c r="G53" s="164">
        <v>7.7199185787482606E-4</v>
      </c>
      <c r="H53" s="164">
        <v>4.0816070696499639E-2</v>
      </c>
      <c r="I53" s="516">
        <v>65.810573656837434</v>
      </c>
      <c r="J53" s="517">
        <v>7.9992006765536947E-3</v>
      </c>
    </row>
    <row r="54" spans="2:10" x14ac:dyDescent="0.2">
      <c r="B54" s="514"/>
      <c r="C54" s="515">
        <v>175</v>
      </c>
      <c r="D54" s="164">
        <v>0.11944758116445821</v>
      </c>
      <c r="E54" s="164">
        <v>0.73132646289876346</v>
      </c>
      <c r="F54" s="164">
        <v>0.78197460736664925</v>
      </c>
      <c r="G54" s="164">
        <v>1.3635698827053845E-3</v>
      </c>
      <c r="H54" s="164">
        <v>4.3710079191127349E-2</v>
      </c>
      <c r="I54" s="163">
        <v>121.18773480259273</v>
      </c>
      <c r="J54" s="517">
        <v>1.0777560603901724E-2</v>
      </c>
    </row>
    <row r="55" spans="2:10" x14ac:dyDescent="0.2">
      <c r="B55" s="514"/>
      <c r="C55" s="515">
        <v>250</v>
      </c>
      <c r="D55" s="164">
        <v>0.12580567020638611</v>
      </c>
      <c r="E55" s="164">
        <v>0.40654279555787748</v>
      </c>
      <c r="F55" s="164">
        <v>0.95243341539894621</v>
      </c>
      <c r="G55" s="164">
        <v>1.8692649785029185E-3</v>
      </c>
      <c r="H55" s="164">
        <v>3.4877688075681992E-2</v>
      </c>
      <c r="I55" s="163">
        <v>166.13162283716682</v>
      </c>
      <c r="J55" s="517">
        <v>1.1351245769819062E-2</v>
      </c>
    </row>
    <row r="56" spans="2:10" x14ac:dyDescent="0.2">
      <c r="B56" s="514"/>
      <c r="C56" s="515">
        <v>500</v>
      </c>
      <c r="D56" s="164">
        <v>0.18559266393203866</v>
      </c>
      <c r="E56" s="164">
        <v>0.69140829724107689</v>
      </c>
      <c r="F56" s="164">
        <v>1.3352730733760458</v>
      </c>
      <c r="G56" s="164">
        <v>2.5444223030375093E-3</v>
      </c>
      <c r="H56" s="164">
        <v>5.0211053151340147E-2</v>
      </c>
      <c r="I56" s="163">
        <v>259.22951153487753</v>
      </c>
      <c r="J56" s="517">
        <v>1.6745729778581447E-2</v>
      </c>
    </row>
    <row r="57" spans="2:10" x14ac:dyDescent="0.2">
      <c r="B57" s="514"/>
      <c r="C57" s="515">
        <v>750</v>
      </c>
      <c r="D57" s="164">
        <v>0.33429208086165646</v>
      </c>
      <c r="E57" s="164">
        <v>1.2377513882111155</v>
      </c>
      <c r="F57" s="164">
        <v>2.4592817778174183</v>
      </c>
      <c r="G57" s="164">
        <v>4.6722992568360945E-3</v>
      </c>
      <c r="H57" s="164">
        <v>9.1282930629359271E-2</v>
      </c>
      <c r="I57" s="163">
        <v>464.68691245218122</v>
      </c>
      <c r="J57" s="517">
        <v>3.0162634702049274E-2</v>
      </c>
    </row>
    <row r="58" spans="2:10" x14ac:dyDescent="0.2">
      <c r="B58" s="514"/>
      <c r="C58" s="515">
        <v>1000</v>
      </c>
      <c r="D58" s="164">
        <v>0.51011090461014352</v>
      </c>
      <c r="E58" s="164">
        <v>1.9264432441022836</v>
      </c>
      <c r="F58" s="164">
        <v>5.4668895519183636</v>
      </c>
      <c r="G58" s="164">
        <v>6.6170742826617722E-3</v>
      </c>
      <c r="H58" s="164">
        <v>0.15403577218522699</v>
      </c>
      <c r="I58" s="163">
        <v>658.10582557033683</v>
      </c>
      <c r="J58" s="517">
        <v>4.6026501437194868E-2</v>
      </c>
    </row>
    <row r="59" spans="2:10" x14ac:dyDescent="0.2">
      <c r="B59" s="518" t="s">
        <v>517</v>
      </c>
      <c r="C59" s="519"/>
      <c r="D59" s="520">
        <v>0.11149295993835996</v>
      </c>
      <c r="E59" s="520">
        <v>0.53191065037537688</v>
      </c>
      <c r="F59" s="520">
        <v>0.73455657181775535</v>
      </c>
      <c r="G59" s="520">
        <v>1.258152251482294E-3</v>
      </c>
      <c r="H59" s="520">
        <v>4.1589558070258194E-2</v>
      </c>
      <c r="I59" s="523">
        <v>114.01792604572798</v>
      </c>
      <c r="J59" s="522">
        <v>1.0059831772841116E-2</v>
      </c>
    </row>
    <row r="60" spans="2:10" x14ac:dyDescent="0.2">
      <c r="B60" s="514" t="s">
        <v>518</v>
      </c>
      <c r="C60" s="515">
        <v>50</v>
      </c>
      <c r="D60" s="164">
        <v>8.2463807550456056E-2</v>
      </c>
      <c r="E60" s="164">
        <v>0.41176994498774938</v>
      </c>
      <c r="F60" s="164">
        <v>0.34816124928363373</v>
      </c>
      <c r="G60" s="164">
        <v>5.6901493676477638E-4</v>
      </c>
      <c r="H60" s="164">
        <v>2.0863027936915947E-2</v>
      </c>
      <c r="I60" s="516">
        <v>44.015842006580442</v>
      </c>
      <c r="J60" s="517">
        <v>7.4405767769605826E-3</v>
      </c>
    </row>
    <row r="61" spans="2:10" x14ac:dyDescent="0.2">
      <c r="B61" s="514"/>
      <c r="C61" s="515">
        <v>120</v>
      </c>
      <c r="D61" s="164">
        <v>7.5960067324570127E-2</v>
      </c>
      <c r="E61" s="164">
        <v>0.5470804512659091</v>
      </c>
      <c r="F61" s="164">
        <v>0.51848628047988188</v>
      </c>
      <c r="G61" s="164">
        <v>9.7528667119803597E-4</v>
      </c>
      <c r="H61" s="164">
        <v>3.5317954485166281E-2</v>
      </c>
      <c r="I61" s="516">
        <v>83.141028835362306</v>
      </c>
      <c r="J61" s="517">
        <v>6.8537558173780112E-3</v>
      </c>
    </row>
    <row r="62" spans="2:10" x14ac:dyDescent="0.2">
      <c r="B62" s="514"/>
      <c r="C62" s="515">
        <v>175</v>
      </c>
      <c r="D62" s="164">
        <v>0.11609065346683274</v>
      </c>
      <c r="E62" s="164">
        <v>0.95178899382196802</v>
      </c>
      <c r="F62" s="164">
        <v>0.79479663273417467</v>
      </c>
      <c r="G62" s="164">
        <v>1.8819643133105302E-3</v>
      </c>
      <c r="H62" s="164">
        <v>4.1677761354155865E-2</v>
      </c>
      <c r="I62" s="163">
        <v>167.2602368757606</v>
      </c>
      <c r="J62" s="517">
        <v>1.0474673015934684E-2</v>
      </c>
    </row>
    <row r="63" spans="2:10" x14ac:dyDescent="0.2">
      <c r="B63" s="514"/>
      <c r="C63" s="515">
        <v>250</v>
      </c>
      <c r="D63" s="164">
        <v>0.13120286252780666</v>
      </c>
      <c r="E63" s="164">
        <v>0.48825878337002127</v>
      </c>
      <c r="F63" s="164">
        <v>0.98995180055362464</v>
      </c>
      <c r="G63" s="164">
        <v>2.7514098755462429E-3</v>
      </c>
      <c r="H63" s="164">
        <v>3.1877182835739128E-2</v>
      </c>
      <c r="I63" s="163">
        <v>244.53239769195045</v>
      </c>
      <c r="J63" s="517">
        <v>1.1838226240862944E-2</v>
      </c>
    </row>
    <row r="64" spans="2:10" x14ac:dyDescent="0.2">
      <c r="B64" s="514"/>
      <c r="C64" s="515">
        <v>500</v>
      </c>
      <c r="D64" s="164">
        <v>0.19431617451201152</v>
      </c>
      <c r="E64" s="164">
        <v>0.7147589769137529</v>
      </c>
      <c r="F64" s="164">
        <v>1.3454183419839267</v>
      </c>
      <c r="G64" s="164">
        <v>3.6674533349503736E-3</v>
      </c>
      <c r="H64" s="164">
        <v>4.6836856243588416E-2</v>
      </c>
      <c r="I64" s="163">
        <v>373.64549496228813</v>
      </c>
      <c r="J64" s="517">
        <v>1.7532835379385842E-2</v>
      </c>
    </row>
    <row r="65" spans="2:10" x14ac:dyDescent="0.2">
      <c r="B65" s="514"/>
      <c r="C65" s="515">
        <v>750</v>
      </c>
      <c r="D65" s="164">
        <v>0.30492899842522991</v>
      </c>
      <c r="E65" s="164">
        <v>1.1247766937491821</v>
      </c>
      <c r="F65" s="164">
        <v>2.1609862301721026</v>
      </c>
      <c r="G65" s="164">
        <v>5.9205645841723326E-3</v>
      </c>
      <c r="H65" s="164">
        <v>7.3726216018895938E-2</v>
      </c>
      <c r="I65" s="163">
        <v>588.83420317351909</v>
      </c>
      <c r="J65" s="517">
        <v>2.7513250236974741E-2</v>
      </c>
    </row>
    <row r="66" spans="2:10" x14ac:dyDescent="0.2">
      <c r="B66" s="514"/>
      <c r="C66" s="515">
        <v>9999</v>
      </c>
      <c r="D66" s="164">
        <v>0.79432801593920643</v>
      </c>
      <c r="E66" s="164">
        <v>2.7000567712175791</v>
      </c>
      <c r="F66" s="164">
        <v>9.0361303064378067</v>
      </c>
      <c r="G66" s="164">
        <v>1.3149161227168457E-2</v>
      </c>
      <c r="H66" s="164">
        <v>0.22539073139080892</v>
      </c>
      <c r="I66" s="524">
        <v>1307.7593621534043</v>
      </c>
      <c r="J66" s="517">
        <v>7.1670944203595821E-2</v>
      </c>
    </row>
    <row r="67" spans="2:10" x14ac:dyDescent="0.2">
      <c r="B67" s="518" t="s">
        <v>519</v>
      </c>
      <c r="C67" s="519"/>
      <c r="D67" s="520">
        <v>0.10110807104926042</v>
      </c>
      <c r="E67" s="520">
        <v>0.62801011034933119</v>
      </c>
      <c r="F67" s="520">
        <v>0.66187840342095428</v>
      </c>
      <c r="G67" s="520">
        <v>1.4564462617341371E-3</v>
      </c>
      <c r="H67" s="520">
        <v>3.5643663934707144E-2</v>
      </c>
      <c r="I67" s="523">
        <v>132.30851389988277</v>
      </c>
      <c r="J67" s="522">
        <v>9.1228191996935697E-3</v>
      </c>
    </row>
    <row r="68" spans="2:10" x14ac:dyDescent="0.2">
      <c r="B68" s="514" t="s">
        <v>520</v>
      </c>
      <c r="C68" s="515">
        <v>25</v>
      </c>
      <c r="D68" s="164">
        <v>9.2073463042795581E-3</v>
      </c>
      <c r="E68" s="164">
        <v>3.1393804212071413E-2</v>
      </c>
      <c r="F68" s="164">
        <v>5.825284716166515E-2</v>
      </c>
      <c r="G68" s="164">
        <v>9.6739156418974232E-5</v>
      </c>
      <c r="H68" s="164">
        <v>2.2421516535025762E-3</v>
      </c>
      <c r="I68" s="516">
        <v>7.6243987136948173</v>
      </c>
      <c r="J68" s="517">
        <v>8.3076403502065457E-4</v>
      </c>
    </row>
    <row r="69" spans="2:10" x14ac:dyDescent="0.2">
      <c r="B69" s="518" t="s">
        <v>521</v>
      </c>
      <c r="C69" s="519"/>
      <c r="D69" s="520">
        <v>9.2073463042795581E-3</v>
      </c>
      <c r="E69" s="520">
        <v>3.1393804212071413E-2</v>
      </c>
      <c r="F69" s="520">
        <v>5.825284716166515E-2</v>
      </c>
      <c r="G69" s="520">
        <v>9.6739156418974232E-5</v>
      </c>
      <c r="H69" s="520">
        <v>2.2421516535025762E-3</v>
      </c>
      <c r="I69" s="521">
        <v>7.6243987136948173</v>
      </c>
      <c r="J69" s="522">
        <v>8.3076403502065457E-4</v>
      </c>
    </row>
    <row r="70" spans="2:10" x14ac:dyDescent="0.2">
      <c r="B70" s="514" t="s">
        <v>522</v>
      </c>
      <c r="C70" s="515">
        <v>25</v>
      </c>
      <c r="D70" s="164">
        <v>1.9833044272198421E-2</v>
      </c>
      <c r="E70" s="164">
        <v>6.7692840413751496E-2</v>
      </c>
      <c r="F70" s="164">
        <v>0.12532896580094169</v>
      </c>
      <c r="G70" s="164">
        <v>2.0859373788844094E-4</v>
      </c>
      <c r="H70" s="164">
        <v>4.682955607346456E-3</v>
      </c>
      <c r="I70" s="516">
        <v>16.440102684604362</v>
      </c>
      <c r="J70" s="517">
        <v>1.7895037974076339E-3</v>
      </c>
    </row>
    <row r="71" spans="2:10" x14ac:dyDescent="0.2">
      <c r="B71" s="514"/>
      <c r="C71" s="515">
        <v>50</v>
      </c>
      <c r="D71" s="164">
        <v>4.2187323824553855E-2</v>
      </c>
      <c r="E71" s="164">
        <v>0.24798392652269055</v>
      </c>
      <c r="F71" s="164">
        <v>0.19284635214987617</v>
      </c>
      <c r="G71" s="164">
        <v>3.2341447574372746E-4</v>
      </c>
      <c r="H71" s="164">
        <v>9.4498361586739955E-3</v>
      </c>
      <c r="I71" s="516">
        <v>25.017555528347401</v>
      </c>
      <c r="J71" s="517">
        <v>3.8064941837257968E-3</v>
      </c>
    </row>
    <row r="72" spans="2:10" x14ac:dyDescent="0.2">
      <c r="B72" s="514"/>
      <c r="C72" s="515">
        <v>120</v>
      </c>
      <c r="D72" s="164">
        <v>6.3329121139746494E-2</v>
      </c>
      <c r="E72" s="164">
        <v>0.49962375343187709</v>
      </c>
      <c r="F72" s="164">
        <v>0.40499125550939002</v>
      </c>
      <c r="G72" s="164">
        <v>8.6363614069944188E-4</v>
      </c>
      <c r="H72" s="164">
        <v>2.441606880231555E-2</v>
      </c>
      <c r="I72" s="516">
        <v>73.623048260889149</v>
      </c>
      <c r="J72" s="517">
        <v>5.714083695563762E-3</v>
      </c>
    </row>
    <row r="73" spans="2:10" x14ac:dyDescent="0.2">
      <c r="B73" s="514"/>
      <c r="C73" s="515">
        <v>175</v>
      </c>
      <c r="D73" s="164">
        <v>7.5901344278272609E-2</v>
      </c>
      <c r="E73" s="164">
        <v>0.6638449775690054</v>
      </c>
      <c r="F73" s="164">
        <v>0.44286907355739719</v>
      </c>
      <c r="G73" s="164">
        <v>1.2626853394897396E-3</v>
      </c>
      <c r="H73" s="164">
        <v>2.266146656007197E-2</v>
      </c>
      <c r="I73" s="163">
        <v>112.22156932328636</v>
      </c>
      <c r="J73" s="517">
        <v>6.8484567916113192E-3</v>
      </c>
    </row>
    <row r="74" spans="2:10" x14ac:dyDescent="0.2">
      <c r="B74" s="514"/>
      <c r="C74" s="515">
        <v>250</v>
      </c>
      <c r="D74" s="164">
        <v>8.7799934346103906E-2</v>
      </c>
      <c r="E74" s="164">
        <v>0.3297769032989924</v>
      </c>
      <c r="F74" s="164">
        <v>0.51865873837722654</v>
      </c>
      <c r="G74" s="164">
        <v>1.7854529526101952E-3</v>
      </c>
      <c r="H74" s="164">
        <v>1.7634047342012512E-2</v>
      </c>
      <c r="I74" s="163">
        <v>158.68272784461794</v>
      </c>
      <c r="J74" s="517">
        <v>7.9220480906044381E-3</v>
      </c>
    </row>
    <row r="75" spans="2:10" x14ac:dyDescent="0.2">
      <c r="B75" s="514"/>
      <c r="C75" s="515">
        <v>500</v>
      </c>
      <c r="D75" s="164">
        <v>0.1265883693091156</v>
      </c>
      <c r="E75" s="164">
        <v>0.46321509421270962</v>
      </c>
      <c r="F75" s="164">
        <v>0.69000454505611353</v>
      </c>
      <c r="G75" s="164">
        <v>2.2941889803797964E-3</v>
      </c>
      <c r="H75" s="164">
        <v>2.4992895938510611E-2</v>
      </c>
      <c r="I75" s="163">
        <v>233.73530479202901</v>
      </c>
      <c r="J75" s="517">
        <v>1.1421864606287866E-2</v>
      </c>
    </row>
    <row r="76" spans="2:10" x14ac:dyDescent="0.2">
      <c r="B76" s="514"/>
      <c r="C76" s="515">
        <v>750</v>
      </c>
      <c r="D76" s="164">
        <v>0.20996678156553589</v>
      </c>
      <c r="E76" s="164">
        <v>0.76743315079034014</v>
      </c>
      <c r="F76" s="164">
        <v>1.1653228076680777</v>
      </c>
      <c r="G76" s="164">
        <v>3.8953485989076135E-3</v>
      </c>
      <c r="H76" s="164">
        <v>4.173966048676335E-2</v>
      </c>
      <c r="I76" s="163">
        <v>387.41466235364777</v>
      </c>
      <c r="J76" s="517">
        <v>1.894496297671984E-2</v>
      </c>
    </row>
    <row r="77" spans="2:10" x14ac:dyDescent="0.2">
      <c r="B77" s="518" t="s">
        <v>523</v>
      </c>
      <c r="C77" s="519"/>
      <c r="D77" s="520">
        <v>7.8655619162409748E-2</v>
      </c>
      <c r="E77" s="520">
        <v>0.51395850576084579</v>
      </c>
      <c r="F77" s="520">
        <v>0.45749547768133403</v>
      </c>
      <c r="G77" s="520">
        <v>1.3153754594854464E-3</v>
      </c>
      <c r="H77" s="520">
        <v>2.1403973970320855E-2</v>
      </c>
      <c r="I77" s="523">
        <v>119.5796683644644</v>
      </c>
      <c r="J77" s="522">
        <v>7.0969701704507553E-3</v>
      </c>
    </row>
    <row r="78" spans="2:10" x14ac:dyDescent="0.2">
      <c r="B78" s="514" t="s">
        <v>524</v>
      </c>
      <c r="C78" s="515">
        <v>50</v>
      </c>
      <c r="D78" s="164">
        <v>2.0689191493168575E-2</v>
      </c>
      <c r="E78" s="164">
        <v>0.14178181375911555</v>
      </c>
      <c r="F78" s="164">
        <v>0.11313207697792753</v>
      </c>
      <c r="G78" s="164">
        <v>1.8967159214986425E-4</v>
      </c>
      <c r="H78" s="164">
        <v>4.7139751242039315E-3</v>
      </c>
      <c r="I78" s="516">
        <v>14.671944718384882</v>
      </c>
      <c r="J78" s="517">
        <v>1.8667530786033277E-3</v>
      </c>
    </row>
    <row r="79" spans="2:10" x14ac:dyDescent="0.2">
      <c r="B79" s="514"/>
      <c r="C79" s="515">
        <v>120</v>
      </c>
      <c r="D79" s="164">
        <v>2.4331358903039921E-2</v>
      </c>
      <c r="E79" s="164">
        <v>0.21094415104992811</v>
      </c>
      <c r="F79" s="164">
        <v>0.15720130419131551</v>
      </c>
      <c r="G79" s="164">
        <v>3.6628422326931534E-4</v>
      </c>
      <c r="H79" s="164">
        <v>8.9310262749789319E-3</v>
      </c>
      <c r="I79" s="516">
        <v>31.22491020971664</v>
      </c>
      <c r="J79" s="517">
        <v>2.1953796204736181E-3</v>
      </c>
    </row>
    <row r="80" spans="2:10" x14ac:dyDescent="0.2">
      <c r="B80" s="514"/>
      <c r="C80" s="515">
        <v>175</v>
      </c>
      <c r="D80" s="164">
        <v>3.644067740686309E-2</v>
      </c>
      <c r="E80" s="164">
        <v>0.33189911720657095</v>
      </c>
      <c r="F80" s="164">
        <v>0.20367131198460484</v>
      </c>
      <c r="G80" s="164">
        <v>6.307077869696832E-4</v>
      </c>
      <c r="H80" s="164">
        <v>1.0546466087367536E-2</v>
      </c>
      <c r="I80" s="516">
        <v>56.05436159568071</v>
      </c>
      <c r="J80" s="517">
        <v>3.287983159727535E-3</v>
      </c>
    </row>
    <row r="81" spans="2:10" x14ac:dyDescent="0.2">
      <c r="B81" s="514"/>
      <c r="C81" s="515">
        <v>250</v>
      </c>
      <c r="D81" s="164">
        <v>4.1241659557858919E-2</v>
      </c>
      <c r="E81" s="164">
        <v>0.15555925972868745</v>
      </c>
      <c r="F81" s="164">
        <v>0.2222348817667382</v>
      </c>
      <c r="G81" s="164">
        <v>8.677520665075015E-4</v>
      </c>
      <c r="H81" s="164">
        <v>7.5406400063164356E-3</v>
      </c>
      <c r="I81" s="516">
        <v>77.121790314185446</v>
      </c>
      <c r="J81" s="517">
        <v>3.721168683523748E-3</v>
      </c>
    </row>
    <row r="82" spans="2:10" x14ac:dyDescent="0.2">
      <c r="B82" s="514"/>
      <c r="C82" s="515">
        <v>500</v>
      </c>
      <c r="D82" s="164">
        <v>5.8593876962789608E-2</v>
      </c>
      <c r="E82" s="164">
        <v>0.21276013127828655</v>
      </c>
      <c r="F82" s="164">
        <v>0.29680661917888879</v>
      </c>
      <c r="G82" s="164">
        <v>1.089306168592784E-3</v>
      </c>
      <c r="H82" s="164">
        <v>1.0615275135697324E-2</v>
      </c>
      <c r="I82" s="163">
        <v>110.98013027945402</v>
      </c>
      <c r="J82" s="517">
        <v>5.2868320212740728E-3</v>
      </c>
    </row>
    <row r="83" spans="2:10" x14ac:dyDescent="0.2">
      <c r="B83" s="518" t="s">
        <v>525</v>
      </c>
      <c r="C83" s="519"/>
      <c r="D83" s="520">
        <v>3.4497253883745214E-2</v>
      </c>
      <c r="E83" s="520">
        <v>0.21660075662407727</v>
      </c>
      <c r="F83" s="520">
        <v>0.19238351078481131</v>
      </c>
      <c r="G83" s="520">
        <v>6.0284190122999299E-4</v>
      </c>
      <c r="H83" s="520">
        <v>8.505038910615853E-3</v>
      </c>
      <c r="I83" s="521">
        <v>54.395759685140661</v>
      </c>
      <c r="J83" s="522">
        <v>3.1126318472153255E-3</v>
      </c>
    </row>
    <row r="84" spans="2:10" x14ac:dyDescent="0.2">
      <c r="B84" s="514" t="s">
        <v>526</v>
      </c>
      <c r="C84" s="515">
        <v>15</v>
      </c>
      <c r="D84" s="164">
        <v>1.1933303778738677E-2</v>
      </c>
      <c r="E84" s="164">
        <v>6.406186326273601E-2</v>
      </c>
      <c r="F84" s="164">
        <v>8.3197735480356388E-2</v>
      </c>
      <c r="G84" s="164">
        <v>1.5884017110244118E-4</v>
      </c>
      <c r="H84" s="164">
        <v>4.0599225709243665E-3</v>
      </c>
      <c r="I84" s="516">
        <v>10.207657829143365</v>
      </c>
      <c r="J84" s="517">
        <v>1.0767229100196616E-3</v>
      </c>
    </row>
    <row r="85" spans="2:10" x14ac:dyDescent="0.2">
      <c r="B85" s="514"/>
      <c r="C85" s="515">
        <v>25</v>
      </c>
      <c r="D85" s="164">
        <v>2.2752638717508097E-2</v>
      </c>
      <c r="E85" s="164">
        <v>7.7807132552281957E-2</v>
      </c>
      <c r="F85" s="164">
        <v>0.1428491703307018</v>
      </c>
      <c r="G85" s="164">
        <v>2.2370925261791597E-4</v>
      </c>
      <c r="H85" s="164">
        <v>6.6941588999424534E-3</v>
      </c>
      <c r="I85" s="516">
        <v>17.631414986763644</v>
      </c>
      <c r="J85" s="517">
        <v>2.0529342509395818E-3</v>
      </c>
    </row>
    <row r="86" spans="2:10" x14ac:dyDescent="0.2">
      <c r="B86" s="514"/>
      <c r="C86" s="515">
        <v>50</v>
      </c>
      <c r="D86" s="164">
        <v>4.2760701426247473E-2</v>
      </c>
      <c r="E86" s="164">
        <v>0.22060267022623462</v>
      </c>
      <c r="F86" s="164">
        <v>0.2274457704395044</v>
      </c>
      <c r="G86" s="164">
        <v>3.9587872342855367E-4</v>
      </c>
      <c r="H86" s="164">
        <v>1.2126348769015921E-2</v>
      </c>
      <c r="I86" s="516">
        <v>30.62297966434328</v>
      </c>
      <c r="J86" s="517">
        <v>3.8582296615338975E-3</v>
      </c>
    </row>
    <row r="87" spans="2:10" x14ac:dyDescent="0.2">
      <c r="B87" s="514"/>
      <c r="C87" s="515">
        <v>120</v>
      </c>
      <c r="D87" s="164">
        <v>5.6445262525279934E-2</v>
      </c>
      <c r="E87" s="164">
        <v>0.46634177315438763</v>
      </c>
      <c r="F87" s="164">
        <v>0.4756662173784395</v>
      </c>
      <c r="G87" s="164">
        <v>9.1438686852285942E-4</v>
      </c>
      <c r="H87" s="164">
        <v>2.8720268454710443E-2</v>
      </c>
      <c r="I87" s="516">
        <v>77.949436887587737</v>
      </c>
      <c r="J87" s="517">
        <v>5.0929652454657273E-3</v>
      </c>
    </row>
    <row r="88" spans="2:10" x14ac:dyDescent="0.2">
      <c r="B88" s="514"/>
      <c r="C88" s="515">
        <v>175</v>
      </c>
      <c r="D88" s="164">
        <v>7.3386073562118029E-2</v>
      </c>
      <c r="E88" s="164">
        <v>0.73227504880875094</v>
      </c>
      <c r="F88" s="164">
        <v>0.67188522597788669</v>
      </c>
      <c r="G88" s="164">
        <v>1.5975108599069355E-3</v>
      </c>
      <c r="H88" s="164">
        <v>2.9879951660136211E-2</v>
      </c>
      <c r="I88" s="163">
        <v>141.9793067355815</v>
      </c>
      <c r="J88" s="517">
        <v>6.6215080496623358E-3</v>
      </c>
    </row>
    <row r="89" spans="2:10" x14ac:dyDescent="0.2">
      <c r="B89" s="514"/>
      <c r="C89" s="515">
        <v>250</v>
      </c>
      <c r="D89" s="164">
        <v>7.9763994392084536E-2</v>
      </c>
      <c r="E89" s="164">
        <v>0.38833460279982196</v>
      </c>
      <c r="F89" s="164">
        <v>0.86331186870179888</v>
      </c>
      <c r="G89" s="164">
        <v>2.3910454609832026E-3</v>
      </c>
      <c r="H89" s="164">
        <v>2.4473693990846358E-2</v>
      </c>
      <c r="I89" s="163">
        <v>212.50493071194501</v>
      </c>
      <c r="J89" s="517">
        <v>7.1969787677333575E-3</v>
      </c>
    </row>
    <row r="90" spans="2:10" x14ac:dyDescent="0.2">
      <c r="B90" s="514"/>
      <c r="C90" s="515">
        <v>500</v>
      </c>
      <c r="D90" s="164">
        <v>0.11921367468381576</v>
      </c>
      <c r="E90" s="164">
        <v>0.60272253901178341</v>
      </c>
      <c r="F90" s="164">
        <v>1.2312161152238428</v>
      </c>
      <c r="G90" s="164">
        <v>3.3063211743389266E-3</v>
      </c>
      <c r="H90" s="164">
        <v>3.7323993797554411E-2</v>
      </c>
      <c r="I90" s="163">
        <v>336.85291809822945</v>
      </c>
      <c r="J90" s="517">
        <v>1.0756458596966162E-2</v>
      </c>
    </row>
    <row r="91" spans="2:10" x14ac:dyDescent="0.2">
      <c r="B91" s="514"/>
      <c r="C91" s="515">
        <v>750</v>
      </c>
      <c r="D91" s="164">
        <v>0.19545520466855404</v>
      </c>
      <c r="E91" s="164">
        <v>0.97298984477609618</v>
      </c>
      <c r="F91" s="164">
        <v>2.0345458005049739</v>
      </c>
      <c r="G91" s="164">
        <v>5.4676580602724791E-3</v>
      </c>
      <c r="H91" s="164">
        <v>6.0935331441227647E-2</v>
      </c>
      <c r="I91" s="163">
        <v>543.78988114628146</v>
      </c>
      <c r="J91" s="517">
        <v>1.7635608122948995E-2</v>
      </c>
    </row>
    <row r="92" spans="2:10" x14ac:dyDescent="0.2">
      <c r="B92" s="514"/>
      <c r="C92" s="515">
        <v>9999</v>
      </c>
      <c r="D92" s="164">
        <v>0.48569912770991613</v>
      </c>
      <c r="E92" s="164">
        <v>2.0463593807013241</v>
      </c>
      <c r="F92" s="164">
        <v>7.1074545049723206</v>
      </c>
      <c r="G92" s="164">
        <v>1.0543437085483498E-2</v>
      </c>
      <c r="H92" s="164">
        <v>0.16243211694556109</v>
      </c>
      <c r="I92" s="524">
        <v>1048.6053363418109</v>
      </c>
      <c r="J92" s="517">
        <v>4.3823854057228571E-2</v>
      </c>
    </row>
    <row r="93" spans="2:10" x14ac:dyDescent="0.2">
      <c r="B93" s="518" t="s">
        <v>527</v>
      </c>
      <c r="C93" s="519"/>
      <c r="D93" s="520">
        <v>4.3098421554310588E-2</v>
      </c>
      <c r="E93" s="520">
        <v>0.27550467516065025</v>
      </c>
      <c r="F93" s="520">
        <v>0.34830378065339967</v>
      </c>
      <c r="G93" s="520">
        <v>6.9799327375011583E-4</v>
      </c>
      <c r="H93" s="520">
        <v>1.6891766102617594E-2</v>
      </c>
      <c r="I93" s="521">
        <v>60.992685097274844</v>
      </c>
      <c r="J93" s="522">
        <v>3.888701440746321E-3</v>
      </c>
    </row>
    <row r="94" spans="2:10" x14ac:dyDescent="0.2">
      <c r="B94" s="514" t="s">
        <v>528</v>
      </c>
      <c r="C94" s="515">
        <v>50</v>
      </c>
      <c r="D94" s="164">
        <v>6.1654018242935711E-2</v>
      </c>
      <c r="E94" s="164">
        <v>0.28116152795776</v>
      </c>
      <c r="F94" s="164">
        <v>0.22275921667761933</v>
      </c>
      <c r="G94" s="164">
        <v>3.5599912362079813E-4</v>
      </c>
      <c r="H94" s="164">
        <v>1.4007188368813907E-2</v>
      </c>
      <c r="I94" s="516">
        <v>27.538111698037291</v>
      </c>
      <c r="J94" s="517">
        <v>5.5629429952348498E-3</v>
      </c>
    </row>
    <row r="95" spans="2:10" x14ac:dyDescent="0.2">
      <c r="B95" s="514"/>
      <c r="C95" s="515">
        <v>120</v>
      </c>
      <c r="D95" s="164">
        <v>7.964052686049973E-2</v>
      </c>
      <c r="E95" s="164">
        <v>0.51124647718826077</v>
      </c>
      <c r="F95" s="164">
        <v>0.49285584286736739</v>
      </c>
      <c r="G95" s="164">
        <v>8.7937632438334079E-4</v>
      </c>
      <c r="H95" s="164">
        <v>3.5304113530143032E-2</v>
      </c>
      <c r="I95" s="516">
        <v>74.964879806763236</v>
      </c>
      <c r="J95" s="517">
        <v>7.1858358074132177E-3</v>
      </c>
    </row>
    <row r="96" spans="2:10" x14ac:dyDescent="0.2">
      <c r="B96" s="514"/>
      <c r="C96" s="515">
        <v>175</v>
      </c>
      <c r="D96" s="164">
        <v>9.8652441970925417E-2</v>
      </c>
      <c r="E96" s="164">
        <v>0.72877309438916216</v>
      </c>
      <c r="F96" s="164">
        <v>0.62830282776058621</v>
      </c>
      <c r="G96" s="164">
        <v>1.3943298576465485E-3</v>
      </c>
      <c r="H96" s="164">
        <v>3.4284324863574855E-2</v>
      </c>
      <c r="I96" s="163">
        <v>123.92152218517148</v>
      </c>
      <c r="J96" s="517">
        <v>8.9012521529707976E-3</v>
      </c>
    </row>
    <row r="97" spans="2:10" x14ac:dyDescent="0.2">
      <c r="B97" s="514"/>
      <c r="C97" s="515">
        <v>250</v>
      </c>
      <c r="D97" s="164">
        <v>0.10548545885930412</v>
      </c>
      <c r="E97" s="164">
        <v>0.37260828511771726</v>
      </c>
      <c r="F97" s="164">
        <v>0.75181163295252551</v>
      </c>
      <c r="G97" s="164">
        <v>1.9365693103500538E-3</v>
      </c>
      <c r="H97" s="164">
        <v>2.5709336019741704E-2</v>
      </c>
      <c r="I97" s="163">
        <v>172.11321597400072</v>
      </c>
      <c r="J97" s="517">
        <v>9.5177836856560998E-3</v>
      </c>
    </row>
    <row r="98" spans="2:10" x14ac:dyDescent="0.2">
      <c r="B98" s="514"/>
      <c r="C98" s="515">
        <v>500</v>
      </c>
      <c r="D98" s="164">
        <v>0.13497662216668563</v>
      </c>
      <c r="E98" s="164">
        <v>0.50723179424901166</v>
      </c>
      <c r="F98" s="164">
        <v>0.89396436967446358</v>
      </c>
      <c r="G98" s="164">
        <v>2.2524636529229324E-3</v>
      </c>
      <c r="H98" s="164">
        <v>3.2203400298214523E-2</v>
      </c>
      <c r="I98" s="163">
        <v>229.48421950990104</v>
      </c>
      <c r="J98" s="517">
        <v>1.2178721396469788E-2</v>
      </c>
    </row>
    <row r="99" spans="2:10" x14ac:dyDescent="0.2">
      <c r="B99" s="514"/>
      <c r="C99" s="515">
        <v>750</v>
      </c>
      <c r="D99" s="164">
        <v>0.28726520823316554</v>
      </c>
      <c r="E99" s="164">
        <v>1.0730834295798306</v>
      </c>
      <c r="F99" s="164">
        <v>1.9527156081352868</v>
      </c>
      <c r="G99" s="164">
        <v>4.8839983626994725E-3</v>
      </c>
      <c r="H99" s="164">
        <v>6.9360909353017031E-2</v>
      </c>
      <c r="I99" s="163">
        <v>485.7417590061134</v>
      </c>
      <c r="J99" s="517">
        <v>2.5919478503381121E-2</v>
      </c>
    </row>
    <row r="100" spans="2:10" x14ac:dyDescent="0.2">
      <c r="B100" s="518" t="s">
        <v>529</v>
      </c>
      <c r="C100" s="519"/>
      <c r="D100" s="520">
        <v>9.8232092186667411E-2</v>
      </c>
      <c r="E100" s="520">
        <v>0.5786928038489445</v>
      </c>
      <c r="F100" s="520">
        <v>0.6490378577170145</v>
      </c>
      <c r="G100" s="520">
        <v>1.4960729860681097E-3</v>
      </c>
      <c r="H100" s="520">
        <v>3.1627925558963377E-2</v>
      </c>
      <c r="I100" s="523">
        <v>132.74300401659761</v>
      </c>
      <c r="J100" s="522">
        <v>8.8633241724587475E-3</v>
      </c>
    </row>
    <row r="101" spans="2:10" x14ac:dyDescent="0.2">
      <c r="B101" s="514" t="s">
        <v>530</v>
      </c>
      <c r="C101" s="515">
        <v>120</v>
      </c>
      <c r="D101" s="164">
        <v>0.15367810804494336</v>
      </c>
      <c r="E101" s="164">
        <v>0.68320883651603992</v>
      </c>
      <c r="F101" s="164">
        <v>0.89104538146635437</v>
      </c>
      <c r="G101" s="164">
        <v>1.0995882382954642E-3</v>
      </c>
      <c r="H101" s="164">
        <v>7.2560546624609715E-2</v>
      </c>
      <c r="I101" s="516">
        <v>93.737419066985169</v>
      </c>
      <c r="J101" s="517">
        <v>1.3866126130291149E-2</v>
      </c>
    </row>
    <row r="102" spans="2:10" x14ac:dyDescent="0.2">
      <c r="B102" s="514"/>
      <c r="C102" s="515">
        <v>175</v>
      </c>
      <c r="D102" s="164">
        <v>0.1533006068753151</v>
      </c>
      <c r="E102" s="164">
        <v>0.80525884233379563</v>
      </c>
      <c r="F102" s="164">
        <v>1.0433376042400115</v>
      </c>
      <c r="G102" s="164">
        <v>1.4674176865012596E-3</v>
      </c>
      <c r="H102" s="164">
        <v>5.883547937626727E-2</v>
      </c>
      <c r="I102" s="163">
        <v>130.41723074105457</v>
      </c>
      <c r="J102" s="517">
        <v>1.3832068392738235E-2</v>
      </c>
    </row>
    <row r="103" spans="2:10" x14ac:dyDescent="0.2">
      <c r="B103" s="514"/>
      <c r="C103" s="515">
        <v>250</v>
      </c>
      <c r="D103" s="164">
        <v>0.12096875254573347</v>
      </c>
      <c r="E103" s="164">
        <v>0.37323633447256843</v>
      </c>
      <c r="F103" s="164">
        <v>0.95248701846596551</v>
      </c>
      <c r="G103" s="164">
        <v>1.4674185140342581E-3</v>
      </c>
      <c r="H103" s="164">
        <v>3.7879805640066037E-2</v>
      </c>
      <c r="I103" s="163">
        <v>130.4172962637266</v>
      </c>
      <c r="J103" s="517">
        <v>1.0914817203737083E-2</v>
      </c>
    </row>
    <row r="104" spans="2:10" x14ac:dyDescent="0.2">
      <c r="B104" s="514"/>
      <c r="C104" s="515">
        <v>750</v>
      </c>
      <c r="D104" s="164">
        <v>0.49225025625067675</v>
      </c>
      <c r="E104" s="164">
        <v>1.9812838348771629</v>
      </c>
      <c r="F104" s="164">
        <v>3.8378741404042103</v>
      </c>
      <c r="G104" s="164">
        <v>5.7123916430722559E-3</v>
      </c>
      <c r="H104" s="164">
        <v>0.15083744455689538</v>
      </c>
      <c r="I104" s="163">
        <v>568.13040102960053</v>
      </c>
      <c r="J104" s="517">
        <v>4.4414953867918182E-2</v>
      </c>
    </row>
    <row r="105" spans="2:10" x14ac:dyDescent="0.2">
      <c r="B105" s="514"/>
      <c r="C105" s="515">
        <v>1000</v>
      </c>
      <c r="D105" s="164">
        <v>0.74782443031687129</v>
      </c>
      <c r="E105" s="164">
        <v>3.102627265766801</v>
      </c>
      <c r="F105" s="164">
        <v>7.7458854951828275</v>
      </c>
      <c r="G105" s="164">
        <v>8.1874899995004885E-3</v>
      </c>
      <c r="H105" s="164">
        <v>0.23655513552455382</v>
      </c>
      <c r="I105" s="163">
        <v>814.29287063347397</v>
      </c>
      <c r="J105" s="517">
        <v>6.7475000143644104E-2</v>
      </c>
    </row>
    <row r="106" spans="2:10" x14ac:dyDescent="0.2">
      <c r="B106" s="518" t="s">
        <v>531</v>
      </c>
      <c r="C106" s="519"/>
      <c r="D106" s="520">
        <v>0.15485925038653603</v>
      </c>
      <c r="E106" s="520">
        <v>0.6633594001884815</v>
      </c>
      <c r="F106" s="520">
        <v>1.1454116615357393</v>
      </c>
      <c r="G106" s="520">
        <v>1.671354410267312E-3</v>
      </c>
      <c r="H106" s="520">
        <v>5.3688585262499949E-2</v>
      </c>
      <c r="I106" s="523">
        <v>151.4069683847521</v>
      </c>
      <c r="J106" s="522">
        <v>1.3972702470220628E-2</v>
      </c>
    </row>
    <row r="107" spans="2:10" x14ac:dyDescent="0.2">
      <c r="B107" s="514" t="s">
        <v>532</v>
      </c>
      <c r="C107" s="515">
        <v>175</v>
      </c>
      <c r="D107" s="164">
        <v>9.0359222557552868E-2</v>
      </c>
      <c r="E107" s="164">
        <v>0.75393377196409195</v>
      </c>
      <c r="F107" s="164">
        <v>0.52084468683867668</v>
      </c>
      <c r="G107" s="164">
        <v>1.4074521156046545E-3</v>
      </c>
      <c r="H107" s="164">
        <v>2.7045099687028271E-2</v>
      </c>
      <c r="I107" s="163">
        <v>125.08776515035517</v>
      </c>
      <c r="J107" s="517">
        <v>8.1529686484772945E-3</v>
      </c>
    </row>
    <row r="108" spans="2:10" x14ac:dyDescent="0.2">
      <c r="B108" s="514"/>
      <c r="C108" s="515">
        <v>250</v>
      </c>
      <c r="D108" s="164">
        <v>9.8126501853339099E-2</v>
      </c>
      <c r="E108" s="164">
        <v>0.35404986242713693</v>
      </c>
      <c r="F108" s="164">
        <v>0.57972575059472697</v>
      </c>
      <c r="G108" s="164">
        <v>1.8739219985869813E-3</v>
      </c>
      <c r="H108" s="164">
        <v>1.9765910620015432E-2</v>
      </c>
      <c r="I108" s="163">
        <v>166.54541132463186</v>
      </c>
      <c r="J108" s="517">
        <v>8.8537970071824509E-3</v>
      </c>
    </row>
    <row r="109" spans="2:10" x14ac:dyDescent="0.2">
      <c r="B109" s="514"/>
      <c r="C109" s="515">
        <v>500</v>
      </c>
      <c r="D109" s="164">
        <v>0.15682532590764789</v>
      </c>
      <c r="E109" s="164">
        <v>0.55020727539165615</v>
      </c>
      <c r="F109" s="164">
        <v>0.85297722764324746</v>
      </c>
      <c r="G109" s="164">
        <v>2.6730457121815388E-3</v>
      </c>
      <c r="H109" s="164">
        <v>3.1018676935847617E-2</v>
      </c>
      <c r="I109" s="163">
        <v>272.33382982372615</v>
      </c>
      <c r="J109" s="517">
        <v>1.4150098035444343E-2</v>
      </c>
    </row>
    <row r="110" spans="2:10" x14ac:dyDescent="0.2">
      <c r="B110" s="514"/>
      <c r="C110" s="515">
        <v>750</v>
      </c>
      <c r="D110" s="164">
        <v>0.25465062462284593</v>
      </c>
      <c r="E110" s="164">
        <v>0.89207405953712615</v>
      </c>
      <c r="F110" s="164">
        <v>1.411764286219189</v>
      </c>
      <c r="G110" s="164">
        <v>4.4415584838408562E-3</v>
      </c>
      <c r="H110" s="164">
        <v>5.0737455217592008E-2</v>
      </c>
      <c r="I110" s="163">
        <v>441.73841522922623</v>
      </c>
      <c r="J110" s="517">
        <v>2.2976715790561774E-2</v>
      </c>
    </row>
    <row r="111" spans="2:10" x14ac:dyDescent="0.2">
      <c r="B111" s="514"/>
      <c r="C111" s="515">
        <v>1000</v>
      </c>
      <c r="D111" s="164">
        <v>0.38242385365445097</v>
      </c>
      <c r="E111" s="164">
        <v>1.309783331828881</v>
      </c>
      <c r="F111" s="164">
        <v>4.1038417275562233</v>
      </c>
      <c r="G111" s="164">
        <v>6.2814295053702767E-3</v>
      </c>
      <c r="H111" s="164">
        <v>0.10014397186432812</v>
      </c>
      <c r="I111" s="163">
        <v>624.72405603693687</v>
      </c>
      <c r="J111" s="517">
        <v>3.4505482315641885E-2</v>
      </c>
    </row>
    <row r="112" spans="2:10" x14ac:dyDescent="0.2">
      <c r="B112" s="518" t="s">
        <v>533</v>
      </c>
      <c r="C112" s="519"/>
      <c r="D112" s="520">
        <v>0.15236779699676742</v>
      </c>
      <c r="E112" s="520">
        <v>0.55654966397018746</v>
      </c>
      <c r="F112" s="520">
        <v>0.93478666377603103</v>
      </c>
      <c r="G112" s="520">
        <v>2.6585991581530711E-3</v>
      </c>
      <c r="H112" s="520">
        <v>3.176375073250369E-2</v>
      </c>
      <c r="I112" s="523">
        <v>260.08591918930193</v>
      </c>
      <c r="J112" s="522">
        <v>1.3747901705594203E-2</v>
      </c>
    </row>
    <row r="113" spans="2:10" x14ac:dyDescent="0.2">
      <c r="B113" s="514" t="s">
        <v>534</v>
      </c>
      <c r="C113" s="515">
        <v>15</v>
      </c>
      <c r="D113" s="164">
        <v>1.1765474967285321E-2</v>
      </c>
      <c r="E113" s="164">
        <v>6.1714712671687447E-2</v>
      </c>
      <c r="F113" s="164">
        <v>7.3679891062277458E-2</v>
      </c>
      <c r="G113" s="164">
        <v>1.5727912768491971E-4</v>
      </c>
      <c r="H113" s="164">
        <v>2.8790710876289661E-3</v>
      </c>
      <c r="I113" s="516">
        <v>10.107339530928645</v>
      </c>
      <c r="J113" s="517">
        <v>1.0615798807708174E-3</v>
      </c>
    </row>
    <row r="114" spans="2:10" x14ac:dyDescent="0.2">
      <c r="B114" s="514"/>
      <c r="C114" s="515">
        <v>25</v>
      </c>
      <c r="D114" s="164">
        <v>1.5945101750761009E-2</v>
      </c>
      <c r="E114" s="164">
        <v>5.4422774559151649E-2</v>
      </c>
      <c r="F114" s="164">
        <v>0.10076026996557157</v>
      </c>
      <c r="G114" s="164">
        <v>1.6770237031265851E-4</v>
      </c>
      <c r="H114" s="164">
        <v>3.7599067044820915E-3</v>
      </c>
      <c r="I114" s="516">
        <v>13.217289175336852</v>
      </c>
      <c r="J114" s="517">
        <v>1.4387009726799956E-3</v>
      </c>
    </row>
    <row r="115" spans="2:10" x14ac:dyDescent="0.2">
      <c r="B115" s="514"/>
      <c r="C115" s="515">
        <v>50</v>
      </c>
      <c r="D115" s="164">
        <v>3.6313856297060097E-2</v>
      </c>
      <c r="E115" s="164">
        <v>0.22985992736020508</v>
      </c>
      <c r="F115" s="164">
        <v>0.20251971700200636</v>
      </c>
      <c r="G115" s="164">
        <v>3.6183515330168381E-4</v>
      </c>
      <c r="H115" s="164">
        <v>9.1917304374808644E-3</v>
      </c>
      <c r="I115" s="516">
        <v>27.989553182545347</v>
      </c>
      <c r="J115" s="517">
        <v>3.2765407456014856E-3</v>
      </c>
    </row>
    <row r="116" spans="2:10" x14ac:dyDescent="0.2">
      <c r="B116" s="514"/>
      <c r="C116" s="515">
        <v>120</v>
      </c>
      <c r="D116" s="164">
        <v>5.4482950567879364E-2</v>
      </c>
      <c r="E116" s="164">
        <v>0.50949284632015845</v>
      </c>
      <c r="F116" s="164">
        <v>0.41762386439193411</v>
      </c>
      <c r="G116" s="164">
        <v>9.4851403175163097E-4</v>
      </c>
      <c r="H116" s="164">
        <v>2.3467953643391926E-2</v>
      </c>
      <c r="I116" s="516">
        <v>80.858725158775002</v>
      </c>
      <c r="J116" s="517">
        <v>4.9159096155120575E-3</v>
      </c>
    </row>
    <row r="117" spans="2:10" x14ac:dyDescent="0.2">
      <c r="B117" s="514"/>
      <c r="C117" s="515">
        <v>175</v>
      </c>
      <c r="D117" s="164">
        <v>5.6239287968855772E-2</v>
      </c>
      <c r="E117" s="164">
        <v>0.58588888371292769</v>
      </c>
      <c r="F117" s="164">
        <v>0.39118463182040636</v>
      </c>
      <c r="G117" s="164">
        <v>1.198486146050519E-3</v>
      </c>
      <c r="H117" s="164">
        <v>1.8880553868269818E-2</v>
      </c>
      <c r="I117" s="163">
        <v>106.51584407134968</v>
      </c>
      <c r="J117" s="517">
        <v>5.0743808831082643E-3</v>
      </c>
    </row>
    <row r="118" spans="2:10" x14ac:dyDescent="0.2">
      <c r="B118" s="514"/>
      <c r="C118" s="515">
        <v>500</v>
      </c>
      <c r="D118" s="164">
        <v>0.10661563772845942</v>
      </c>
      <c r="E118" s="164">
        <v>0.47045819652022075</v>
      </c>
      <c r="F118" s="164">
        <v>0.69851558760965882</v>
      </c>
      <c r="G118" s="164">
        <v>2.4954335273852284E-3</v>
      </c>
      <c r="H118" s="164">
        <v>2.4261146043949248E-2</v>
      </c>
      <c r="I118" s="163">
        <v>254.23852719541449</v>
      </c>
      <c r="J118" s="517">
        <v>9.6197582224700796E-3</v>
      </c>
    </row>
    <row r="119" spans="2:10" x14ac:dyDescent="0.2">
      <c r="B119" s="518" t="s">
        <v>535</v>
      </c>
      <c r="C119" s="519"/>
      <c r="D119" s="520">
        <v>5.9570185304573843E-2</v>
      </c>
      <c r="E119" s="520">
        <v>0.35224456977028024</v>
      </c>
      <c r="F119" s="520">
        <v>0.39719151069642528</v>
      </c>
      <c r="G119" s="520">
        <v>1.2662874310705361E-3</v>
      </c>
      <c r="H119" s="520">
        <v>1.5869020692166988E-2</v>
      </c>
      <c r="I119" s="523">
        <v>122.5039783978135</v>
      </c>
      <c r="J119" s="522">
        <v>5.3749223895130458E-3</v>
      </c>
    </row>
    <row r="120" spans="2:10" x14ac:dyDescent="0.2">
      <c r="B120" s="514" t="s">
        <v>536</v>
      </c>
      <c r="C120" s="515">
        <v>15</v>
      </c>
      <c r="D120" s="164">
        <v>6.6325135402657432E-3</v>
      </c>
      <c r="E120" s="164">
        <v>3.9050260154399552E-2</v>
      </c>
      <c r="F120" s="164">
        <v>4.6621270437500306E-2</v>
      </c>
      <c r="G120" s="164">
        <v>9.951907676711806E-5</v>
      </c>
      <c r="H120" s="164">
        <v>1.8217453100474739E-3</v>
      </c>
      <c r="I120" s="516">
        <v>6.3954639884900422</v>
      </c>
      <c r="J120" s="517">
        <v>5.984410531404351E-4</v>
      </c>
    </row>
    <row r="121" spans="2:10" x14ac:dyDescent="0.2">
      <c r="B121" s="514"/>
      <c r="C121" s="515">
        <v>25</v>
      </c>
      <c r="D121" s="164">
        <v>1.8516891393213827E-2</v>
      </c>
      <c r="E121" s="164">
        <v>6.3200626350023978E-2</v>
      </c>
      <c r="F121" s="164">
        <v>0.11701190213264359</v>
      </c>
      <c r="G121" s="164">
        <v>1.9475109134044596E-4</v>
      </c>
      <c r="H121" s="164">
        <v>4.3721869159496825E-3</v>
      </c>
      <c r="I121" s="516">
        <v>15.34911183171991</v>
      </c>
      <c r="J121" s="517">
        <v>1.6707495120848758E-3</v>
      </c>
    </row>
    <row r="122" spans="2:10" x14ac:dyDescent="0.2">
      <c r="B122" s="514"/>
      <c r="C122" s="515">
        <v>50</v>
      </c>
      <c r="D122" s="164">
        <v>4.8078173692213774E-2</v>
      </c>
      <c r="E122" s="164">
        <v>0.22547909865102916</v>
      </c>
      <c r="F122" s="164">
        <v>0.18038645876466786</v>
      </c>
      <c r="G122" s="164">
        <v>2.8110313240728289E-4</v>
      </c>
      <c r="H122" s="164">
        <v>1.1661956706940667E-2</v>
      </c>
      <c r="I122" s="516">
        <v>21.744578982331237</v>
      </c>
      <c r="J122" s="517">
        <v>4.3380158573548535E-3</v>
      </c>
    </row>
    <row r="123" spans="2:10" x14ac:dyDescent="0.2">
      <c r="B123" s="514"/>
      <c r="C123" s="515">
        <v>120</v>
      </c>
      <c r="D123" s="164">
        <v>6.5846918774373486E-2</v>
      </c>
      <c r="E123" s="164">
        <v>0.42503157253354779</v>
      </c>
      <c r="F123" s="164">
        <v>0.41544769138146148</v>
      </c>
      <c r="G123" s="164">
        <v>7.2771408683937062E-4</v>
      </c>
      <c r="H123" s="164">
        <v>2.982527093891699E-2</v>
      </c>
      <c r="I123" s="516">
        <v>62.036003924408242</v>
      </c>
      <c r="J123" s="517">
        <v>5.941261952976582E-3</v>
      </c>
    </row>
    <row r="124" spans="2:10" x14ac:dyDescent="0.2">
      <c r="B124" s="514"/>
      <c r="C124" s="515">
        <v>175</v>
      </c>
      <c r="D124" s="164">
        <v>7.7242333226763202E-2</v>
      </c>
      <c r="E124" s="164">
        <v>0.56656740667261052</v>
      </c>
      <c r="F124" s="164">
        <v>0.49910729136038506</v>
      </c>
      <c r="G124" s="164">
        <v>1.07939935327411E-3</v>
      </c>
      <c r="H124" s="164">
        <v>2.6911692409589426E-2</v>
      </c>
      <c r="I124" s="516">
        <v>95.931971948224756</v>
      </c>
      <c r="J124" s="517">
        <v>6.9694540937763486E-3</v>
      </c>
    </row>
    <row r="125" spans="2:10" x14ac:dyDescent="0.2">
      <c r="B125" s="514"/>
      <c r="C125" s="515">
        <v>250</v>
      </c>
      <c r="D125" s="164">
        <v>8.3593293124079746E-2</v>
      </c>
      <c r="E125" s="164">
        <v>0.28296503293114211</v>
      </c>
      <c r="F125" s="164">
        <v>0.60513366121222201</v>
      </c>
      <c r="G125" s="164">
        <v>1.5255506871392056E-3</v>
      </c>
      <c r="H125" s="164">
        <v>1.9592880535013089E-2</v>
      </c>
      <c r="I125" s="163">
        <v>135.58378673408856</v>
      </c>
      <c r="J125" s="517">
        <v>7.5424878955699477E-3</v>
      </c>
    </row>
    <row r="126" spans="2:10" x14ac:dyDescent="0.2">
      <c r="B126" s="514"/>
      <c r="C126" s="515">
        <v>500</v>
      </c>
      <c r="D126" s="164">
        <v>0.15843533272434285</v>
      </c>
      <c r="E126" s="164">
        <v>0.52652597312442828</v>
      </c>
      <c r="F126" s="164">
        <v>1.0523803977471184</v>
      </c>
      <c r="G126" s="164">
        <v>2.6051022219085512E-3</v>
      </c>
      <c r="H126" s="164">
        <v>3.6783118177478064E-2</v>
      </c>
      <c r="I126" s="163">
        <v>265.41174104422134</v>
      </c>
      <c r="J126" s="517">
        <v>1.4295357102835114E-2</v>
      </c>
    </row>
    <row r="127" spans="2:10" x14ac:dyDescent="0.2">
      <c r="B127" s="514"/>
      <c r="C127" s="515">
        <v>750</v>
      </c>
      <c r="D127" s="164">
        <v>0.26204930156487077</v>
      </c>
      <c r="E127" s="164">
        <v>0.8678165916735705</v>
      </c>
      <c r="F127" s="164">
        <v>1.7771591637511119</v>
      </c>
      <c r="G127" s="164">
        <v>4.3984372054522913E-3</v>
      </c>
      <c r="H127" s="164">
        <v>6.135797722283156E-2</v>
      </c>
      <c r="I127" s="163">
        <v>437.44986552814004</v>
      </c>
      <c r="J127" s="517">
        <v>2.3644288614757012E-2</v>
      </c>
    </row>
    <row r="128" spans="2:10" x14ac:dyDescent="0.2">
      <c r="B128" s="514"/>
      <c r="C128" s="515">
        <v>1000</v>
      </c>
      <c r="D128" s="164">
        <v>0.3665525421157681</v>
      </c>
      <c r="E128" s="164">
        <v>1.2088551339137232</v>
      </c>
      <c r="F128" s="164">
        <v>4.1118401469729857</v>
      </c>
      <c r="G128" s="164">
        <v>5.6266552245545203E-3</v>
      </c>
      <c r="H128" s="164">
        <v>0.10677368759502692</v>
      </c>
      <c r="I128" s="163">
        <v>559.60303015414343</v>
      </c>
      <c r="J128" s="517">
        <v>3.3073455088407623E-2</v>
      </c>
    </row>
    <row r="129" spans="2:10" x14ac:dyDescent="0.2">
      <c r="B129" s="518" t="s">
        <v>537</v>
      </c>
      <c r="C129" s="519"/>
      <c r="D129" s="520">
        <v>0.10442251464753888</v>
      </c>
      <c r="E129" s="520">
        <v>0.45485193230211785</v>
      </c>
      <c r="F129" s="520">
        <v>0.74188788737134392</v>
      </c>
      <c r="G129" s="520">
        <v>1.6001046788381007E-3</v>
      </c>
      <c r="H129" s="520">
        <v>2.9706014784803971E-2</v>
      </c>
      <c r="I129" s="523">
        <v>152.2399059211732</v>
      </c>
      <c r="J129" s="522">
        <v>9.4218747537302503E-3</v>
      </c>
    </row>
    <row r="130" spans="2:10" x14ac:dyDescent="0.2">
      <c r="B130" s="514" t="s">
        <v>538</v>
      </c>
      <c r="C130" s="515">
        <v>50</v>
      </c>
      <c r="D130" s="164">
        <v>6.6442010956123038E-2</v>
      </c>
      <c r="E130" s="164">
        <v>0.31094431850302218</v>
      </c>
      <c r="F130" s="164">
        <v>0.25078612916422183</v>
      </c>
      <c r="G130" s="164">
        <v>3.9215028864488172E-4</v>
      </c>
      <c r="H130" s="164">
        <v>1.6227232912736003E-2</v>
      </c>
      <c r="I130" s="516">
        <v>30.334573025890009</v>
      </c>
      <c r="J130" s="517">
        <v>5.9949565283183024E-3</v>
      </c>
    </row>
    <row r="131" spans="2:10" x14ac:dyDescent="0.2">
      <c r="B131" s="514"/>
      <c r="C131" s="515">
        <v>120</v>
      </c>
      <c r="D131" s="164">
        <v>6.3742045285293258E-2</v>
      </c>
      <c r="E131" s="164">
        <v>0.41354865084657061</v>
      </c>
      <c r="F131" s="164">
        <v>0.40560680018415884</v>
      </c>
      <c r="G131" s="164">
        <v>7.1168007354947393E-4</v>
      </c>
      <c r="H131" s="164">
        <v>2.9124971955159801E-2</v>
      </c>
      <c r="I131" s="516">
        <v>60.669130215029121</v>
      </c>
      <c r="J131" s="517">
        <v>5.7513411773518174E-3</v>
      </c>
    </row>
    <row r="132" spans="2:10" x14ac:dyDescent="0.2">
      <c r="B132" s="514"/>
      <c r="C132" s="515">
        <v>175</v>
      </c>
      <c r="D132" s="164">
        <v>9.7177207243617128E-2</v>
      </c>
      <c r="E132" s="164">
        <v>0.71722814526874989</v>
      </c>
      <c r="F132" s="164">
        <v>0.63421435275501825</v>
      </c>
      <c r="G132" s="164">
        <v>1.3735879088849056E-3</v>
      </c>
      <c r="H132" s="164">
        <v>3.421116515809345E-2</v>
      </c>
      <c r="I132" s="163">
        <v>122.07812851055893</v>
      </c>
      <c r="J132" s="517">
        <v>8.768143633071079E-3</v>
      </c>
    </row>
    <row r="133" spans="2:10" x14ac:dyDescent="0.2">
      <c r="B133" s="514"/>
      <c r="C133" s="515">
        <v>250</v>
      </c>
      <c r="D133" s="164">
        <v>8.8318485387940043E-2</v>
      </c>
      <c r="E133" s="164">
        <v>0.3011271857888006</v>
      </c>
      <c r="F133" s="164">
        <v>0.64665618384730228</v>
      </c>
      <c r="G133" s="164">
        <v>1.6316564830873058E-3</v>
      </c>
      <c r="H133" s="164">
        <v>2.0935647422824194E-2</v>
      </c>
      <c r="I133" s="163">
        <v>145.01400403821543</v>
      </c>
      <c r="J133" s="517">
        <v>7.9688358549867E-3</v>
      </c>
    </row>
    <row r="134" spans="2:10" x14ac:dyDescent="0.2">
      <c r="B134" s="514"/>
      <c r="C134" s="515">
        <v>500</v>
      </c>
      <c r="D134" s="164">
        <v>0.11295046614419002</v>
      </c>
      <c r="E134" s="164">
        <v>0.37864565886753621</v>
      </c>
      <c r="F134" s="164">
        <v>0.75906445329249783</v>
      </c>
      <c r="G134" s="164">
        <v>1.8808684144034282E-3</v>
      </c>
      <c r="H134" s="164">
        <v>2.6530802750695689E-2</v>
      </c>
      <c r="I134" s="163">
        <v>191.62568941339009</v>
      </c>
      <c r="J134" s="517">
        <v>1.0191336217272721E-2</v>
      </c>
    </row>
    <row r="135" spans="2:10" x14ac:dyDescent="0.2">
      <c r="B135" s="514"/>
      <c r="C135" s="515">
        <v>9999</v>
      </c>
      <c r="D135" s="164">
        <v>0.51501757514984436</v>
      </c>
      <c r="E135" s="164">
        <v>1.5956438134278854</v>
      </c>
      <c r="F135" s="164">
        <v>5.4381700254814689</v>
      </c>
      <c r="G135" s="164">
        <v>7.2765626315750452E-3</v>
      </c>
      <c r="H135" s="164">
        <v>0.14093949159316582</v>
      </c>
      <c r="I135" s="163">
        <v>741.34688712601735</v>
      </c>
      <c r="J135" s="517">
        <v>4.6469195590485297E-2</v>
      </c>
    </row>
    <row r="136" spans="2:10" x14ac:dyDescent="0.2">
      <c r="B136" s="518" t="s">
        <v>539</v>
      </c>
      <c r="C136" s="519"/>
      <c r="D136" s="520">
        <v>9.8301441358637998E-2</v>
      </c>
      <c r="E136" s="520">
        <v>0.44576346483754758</v>
      </c>
      <c r="F136" s="520">
        <v>0.72393461440617601</v>
      </c>
      <c r="G136" s="520">
        <v>1.5432205436056012E-3</v>
      </c>
      <c r="H136" s="520">
        <v>2.8602243223743697E-2</v>
      </c>
      <c r="I136" s="523">
        <v>141.19407563461013</v>
      </c>
      <c r="J136" s="522">
        <v>8.8695807870485515E-3</v>
      </c>
    </row>
    <row r="137" spans="2:10" x14ac:dyDescent="0.2">
      <c r="B137" s="514" t="s">
        <v>540</v>
      </c>
      <c r="C137" s="515">
        <v>25</v>
      </c>
      <c r="D137" s="164">
        <v>2.2564699799024611E-2</v>
      </c>
      <c r="E137" s="164">
        <v>7.683214865120247E-2</v>
      </c>
      <c r="F137" s="164">
        <v>0.14299121634961254</v>
      </c>
      <c r="G137" s="164">
        <v>2.3675625350542086E-4</v>
      </c>
      <c r="H137" s="164">
        <v>5.5701417438079222E-3</v>
      </c>
      <c r="I137" s="516">
        <v>18.659703976297632</v>
      </c>
      <c r="J137" s="517">
        <v>2.0359771125201052E-3</v>
      </c>
    </row>
    <row r="138" spans="2:10" x14ac:dyDescent="0.2">
      <c r="B138" s="514"/>
      <c r="C138" s="515">
        <v>50</v>
      </c>
      <c r="D138" s="164">
        <v>8.9893141297968285E-2</v>
      </c>
      <c r="E138" s="164">
        <v>0.31194542729913827</v>
      </c>
      <c r="F138" s="164">
        <v>0.24669609468894355</v>
      </c>
      <c r="G138" s="164">
        <v>3.6183504084293236E-4</v>
      </c>
      <c r="H138" s="164">
        <v>1.9984669292322566E-2</v>
      </c>
      <c r="I138" s="516">
        <v>27.989565380393437</v>
      </c>
      <c r="J138" s="517">
        <v>8.1109145556178316E-3</v>
      </c>
    </row>
    <row r="139" spans="2:10" x14ac:dyDescent="0.2">
      <c r="B139" s="514"/>
      <c r="C139" s="515">
        <v>120</v>
      </c>
      <c r="D139" s="164">
        <v>9.6851467646054207E-2</v>
      </c>
      <c r="E139" s="164">
        <v>0.48325722510171115</v>
      </c>
      <c r="F139" s="164">
        <v>0.58271101648883117</v>
      </c>
      <c r="G139" s="164">
        <v>8.1170936665902864E-4</v>
      </c>
      <c r="H139" s="164">
        <v>4.6618555818582222E-2</v>
      </c>
      <c r="I139" s="516">
        <v>69.196408634454571</v>
      </c>
      <c r="J139" s="517">
        <v>8.7387527786740183E-3</v>
      </c>
    </row>
    <row r="140" spans="2:10" x14ac:dyDescent="0.2">
      <c r="B140" s="514"/>
      <c r="C140" s="515">
        <v>175</v>
      </c>
      <c r="D140" s="164">
        <v>0.12897495368513134</v>
      </c>
      <c r="E140" s="164">
        <v>0.76147458310994842</v>
      </c>
      <c r="F140" s="164">
        <v>0.88940028991017028</v>
      </c>
      <c r="G140" s="164">
        <v>1.4434318509589305E-3</v>
      </c>
      <c r="H140" s="164">
        <v>4.9842228412070949E-2</v>
      </c>
      <c r="I140" s="163">
        <v>128.28547540857721</v>
      </c>
      <c r="J140" s="517">
        <v>1.1637203070209505E-2</v>
      </c>
    </row>
    <row r="141" spans="2:10" x14ac:dyDescent="0.2">
      <c r="B141" s="514"/>
      <c r="C141" s="515">
        <v>250</v>
      </c>
      <c r="D141" s="164">
        <v>0.14898924464381227</v>
      </c>
      <c r="E141" s="164">
        <v>0.48464109577070275</v>
      </c>
      <c r="F141" s="164">
        <v>1.2101287372651579</v>
      </c>
      <c r="G141" s="164">
        <v>2.1870180444670388E-3</v>
      </c>
      <c r="H141" s="164">
        <v>4.4726336855948658E-2</v>
      </c>
      <c r="I141" s="163">
        <v>194.37195352047868</v>
      </c>
      <c r="J141" s="517">
        <v>1.3443057481297647E-2</v>
      </c>
    </row>
    <row r="142" spans="2:10" x14ac:dyDescent="0.2">
      <c r="B142" s="514"/>
      <c r="C142" s="515">
        <v>500</v>
      </c>
      <c r="D142" s="164">
        <v>0.16770019293408425</v>
      </c>
      <c r="E142" s="164">
        <v>0.65758014419276833</v>
      </c>
      <c r="F142" s="164">
        <v>1.3037718096383804</v>
      </c>
      <c r="G142" s="164">
        <v>2.2893892569797766E-3</v>
      </c>
      <c r="H142" s="164">
        <v>4.9260490661260613E-2</v>
      </c>
      <c r="I142" s="163">
        <v>233.24638831089734</v>
      </c>
      <c r="J142" s="517">
        <v>1.5131315537872872E-2</v>
      </c>
    </row>
    <row r="143" spans="2:10" x14ac:dyDescent="0.2">
      <c r="B143" s="518" t="s">
        <v>541</v>
      </c>
      <c r="C143" s="519"/>
      <c r="D143" s="520">
        <v>0.10532816052055154</v>
      </c>
      <c r="E143" s="520">
        <v>0.496635815920282</v>
      </c>
      <c r="F143" s="520">
        <v>0.58334927532544034</v>
      </c>
      <c r="G143" s="520">
        <v>8.9492435234493856E-4</v>
      </c>
      <c r="H143" s="520">
        <v>3.8606949407931003E-2</v>
      </c>
      <c r="I143" s="521">
        <v>77.933262347210572</v>
      </c>
      <c r="J143" s="522">
        <v>9.5035910211769357E-3</v>
      </c>
    </row>
    <row r="144" spans="2:10" x14ac:dyDescent="0.2">
      <c r="B144" s="514" t="s">
        <v>542</v>
      </c>
      <c r="C144" s="515">
        <v>25</v>
      </c>
      <c r="D144" s="164">
        <v>1.523408150673596E-2</v>
      </c>
      <c r="E144" s="164">
        <v>5.1995954616735229E-2</v>
      </c>
      <c r="F144" s="164">
        <v>9.626718171133572E-2</v>
      </c>
      <c r="G144" s="164">
        <v>1.6022418093741014E-4</v>
      </c>
      <c r="H144" s="164">
        <v>3.5922452307003061E-3</v>
      </c>
      <c r="I144" s="516">
        <v>12.627905759132096</v>
      </c>
      <c r="J144" s="517">
        <v>1.3745463384876627E-3</v>
      </c>
    </row>
    <row r="145" spans="2:10" x14ac:dyDescent="0.2">
      <c r="B145" s="514"/>
      <c r="C145" s="515">
        <v>50</v>
      </c>
      <c r="D145" s="164">
        <v>7.5996479991779289E-2</v>
      </c>
      <c r="E145" s="164">
        <v>0.26344652722352807</v>
      </c>
      <c r="F145" s="164">
        <v>0.21028411923917512</v>
      </c>
      <c r="G145" s="164">
        <v>3.0931066952727198E-4</v>
      </c>
      <c r="H145" s="164">
        <v>1.7076709000712297E-2</v>
      </c>
      <c r="I145" s="516">
        <v>23.926556893399159</v>
      </c>
      <c r="J145" s="517">
        <v>6.8570418013520658E-3</v>
      </c>
    </row>
    <row r="146" spans="2:10" x14ac:dyDescent="0.2">
      <c r="B146" s="514"/>
      <c r="C146" s="515">
        <v>120</v>
      </c>
      <c r="D146" s="164">
        <v>7.5562977596499076E-2</v>
      </c>
      <c r="E146" s="164">
        <v>0.37848297943279735</v>
      </c>
      <c r="F146" s="164">
        <v>0.45663854203575854</v>
      </c>
      <c r="G146" s="164">
        <v>6.3930547733937176E-4</v>
      </c>
      <c r="H146" s="164">
        <v>3.682641247046816E-2</v>
      </c>
      <c r="I146" s="516">
        <v>54.499369831683119</v>
      </c>
      <c r="J146" s="517">
        <v>6.8179254077302184E-3</v>
      </c>
    </row>
    <row r="147" spans="2:10" x14ac:dyDescent="0.2">
      <c r="B147" s="514"/>
      <c r="C147" s="515">
        <v>175</v>
      </c>
      <c r="D147" s="164">
        <v>0.10024161678165117</v>
      </c>
      <c r="E147" s="164">
        <v>0.59576132443409735</v>
      </c>
      <c r="F147" s="164">
        <v>0.69694320893323902</v>
      </c>
      <c r="G147" s="164">
        <v>1.1366851806991155E-3</v>
      </c>
      <c r="H147" s="164">
        <v>3.9138983535240139E-2</v>
      </c>
      <c r="I147" s="163">
        <v>101.02327644845776</v>
      </c>
      <c r="J147" s="517">
        <v>9.0446404713976063E-3</v>
      </c>
    </row>
    <row r="148" spans="2:10" x14ac:dyDescent="0.2">
      <c r="B148" s="514"/>
      <c r="C148" s="515">
        <v>250</v>
      </c>
      <c r="D148" s="164">
        <v>9.1088531243811929E-2</v>
      </c>
      <c r="E148" s="164">
        <v>0.29737571539900554</v>
      </c>
      <c r="F148" s="164">
        <v>0.75618897241772631</v>
      </c>
      <c r="G148" s="164">
        <v>1.3759871723182792E-3</v>
      </c>
      <c r="H148" s="164">
        <v>2.7333505711959648E-2</v>
      </c>
      <c r="I148" s="163">
        <v>122.29129880885455</v>
      </c>
      <c r="J148" s="517">
        <v>8.2187728595566525E-3</v>
      </c>
    </row>
    <row r="149" spans="2:10" x14ac:dyDescent="0.2">
      <c r="B149" s="518" t="s">
        <v>543</v>
      </c>
      <c r="C149" s="519"/>
      <c r="D149" s="520">
        <v>8.0567815029273224E-2</v>
      </c>
      <c r="E149" s="520">
        <v>0.41088808570893126</v>
      </c>
      <c r="F149" s="520">
        <v>0.51720990948548073</v>
      </c>
      <c r="G149" s="520">
        <v>7.9300222391820419E-4</v>
      </c>
      <c r="H149" s="520">
        <v>3.4404094265931856E-2</v>
      </c>
      <c r="I149" s="521">
        <v>68.939742762191386</v>
      </c>
      <c r="J149" s="522">
        <v>7.2695043705339702E-3</v>
      </c>
    </row>
    <row r="150" spans="2:10" x14ac:dyDescent="0.2">
      <c r="B150" s="514" t="s">
        <v>544</v>
      </c>
      <c r="C150" s="515">
        <v>15</v>
      </c>
      <c r="D150" s="164">
        <v>5.0214947562255982E-3</v>
      </c>
      <c r="E150" s="164">
        <v>2.6339785781625009E-2</v>
      </c>
      <c r="F150" s="164">
        <v>3.1446514181899032E-2</v>
      </c>
      <c r="G150" s="164">
        <v>6.7126599458576264E-5</v>
      </c>
      <c r="H150" s="164">
        <v>1.2287849315913233E-3</v>
      </c>
      <c r="I150" s="516">
        <v>4.3138037460566983</v>
      </c>
      <c r="J150" s="517">
        <v>4.5308147157437599E-4</v>
      </c>
    </row>
    <row r="151" spans="2:10" x14ac:dyDescent="0.2">
      <c r="B151" s="518" t="s">
        <v>545</v>
      </c>
      <c r="C151" s="519"/>
      <c r="D151" s="520">
        <v>5.0214947562255982E-3</v>
      </c>
      <c r="E151" s="520">
        <v>2.6339785781625009E-2</v>
      </c>
      <c r="F151" s="520">
        <v>3.1446514181899032E-2</v>
      </c>
      <c r="G151" s="520">
        <v>6.7126599458576264E-5</v>
      </c>
      <c r="H151" s="520">
        <v>1.2287849315913233E-3</v>
      </c>
      <c r="I151" s="521">
        <v>4.3138037460566983</v>
      </c>
      <c r="J151" s="522">
        <v>4.5308147157437599E-4</v>
      </c>
    </row>
    <row r="152" spans="2:10" x14ac:dyDescent="0.2">
      <c r="B152" s="514" t="s">
        <v>546</v>
      </c>
      <c r="C152" s="515">
        <v>15</v>
      </c>
      <c r="D152" s="164">
        <v>5.7174326252268518E-3</v>
      </c>
      <c r="E152" s="164">
        <v>3.0693036181329084E-2</v>
      </c>
      <c r="F152" s="164">
        <v>3.98613370573392E-2</v>
      </c>
      <c r="G152" s="164">
        <v>7.6102805897662485E-5</v>
      </c>
      <c r="H152" s="164">
        <v>1.9451726796077926E-3</v>
      </c>
      <c r="I152" s="516">
        <v>4.8906486675813801</v>
      </c>
      <c r="J152" s="517">
        <v>5.1587484757030673E-4</v>
      </c>
    </row>
    <row r="153" spans="2:10" x14ac:dyDescent="0.2">
      <c r="B153" s="514"/>
      <c r="C153" s="515">
        <v>25</v>
      </c>
      <c r="D153" s="164">
        <v>9.2240418382532573E-3</v>
      </c>
      <c r="E153" s="164">
        <v>3.1543430651659092E-2</v>
      </c>
      <c r="F153" s="164">
        <v>5.7911840742289881E-2</v>
      </c>
      <c r="G153" s="164">
        <v>9.0692928835912228E-5</v>
      </c>
      <c r="H153" s="164">
        <v>2.7138480075374859E-3</v>
      </c>
      <c r="I153" s="516">
        <v>7.1478708187412368</v>
      </c>
      <c r="J153" s="517">
        <v>8.3227032297866169E-4</v>
      </c>
    </row>
    <row r="154" spans="2:10" x14ac:dyDescent="0.2">
      <c r="B154" s="514"/>
      <c r="C154" s="515">
        <v>50</v>
      </c>
      <c r="D154" s="164">
        <v>1.4577946761174116E-2</v>
      </c>
      <c r="E154" s="164">
        <v>8.7273774113262703E-2</v>
      </c>
      <c r="F154" s="164">
        <v>0.10210195869973873</v>
      </c>
      <c r="G154" s="164">
        <v>1.8480830918126174E-4</v>
      </c>
      <c r="H154" s="164">
        <v>4.7024012133411557E-3</v>
      </c>
      <c r="I154" s="516">
        <v>14.295740285219328</v>
      </c>
      <c r="J154" s="517">
        <v>1.3153446280670014E-3</v>
      </c>
    </row>
    <row r="155" spans="2:10" x14ac:dyDescent="0.2">
      <c r="B155" s="514"/>
      <c r="C155" s="515">
        <v>120</v>
      </c>
      <c r="D155" s="164">
        <v>1.4490703720852739E-2</v>
      </c>
      <c r="E155" s="164">
        <v>0.13739322851196648</v>
      </c>
      <c r="F155" s="164">
        <v>0.14041452903417775</v>
      </c>
      <c r="G155" s="164">
        <v>2.8243610987491353E-4</v>
      </c>
      <c r="H155" s="164">
        <v>7.4776503990032174E-3</v>
      </c>
      <c r="I155" s="516">
        <v>24.077043291911679</v>
      </c>
      <c r="J155" s="517">
        <v>1.3074728545044148E-3</v>
      </c>
    </row>
    <row r="156" spans="2:10" x14ac:dyDescent="0.2">
      <c r="B156" s="518" t="s">
        <v>547</v>
      </c>
      <c r="C156" s="519"/>
      <c r="D156" s="520">
        <v>9.2083466710832316E-3</v>
      </c>
      <c r="E156" s="520">
        <v>5.544714998767334E-2</v>
      </c>
      <c r="F156" s="520">
        <v>6.7506053957748807E-2</v>
      </c>
      <c r="G156" s="520">
        <v>1.253979857875803E-4</v>
      </c>
      <c r="H156" s="520">
        <v>3.2750076109689268E-3</v>
      </c>
      <c r="I156" s="521">
        <v>9.4135474098509491</v>
      </c>
      <c r="J156" s="522">
        <v>8.3085432589747146E-4</v>
      </c>
    </row>
    <row r="157" spans="2:10" x14ac:dyDescent="0.2">
      <c r="B157" s="514" t="s">
        <v>548</v>
      </c>
      <c r="C157" s="515">
        <v>15</v>
      </c>
      <c r="D157" s="164">
        <v>9.8183495587599243E-3</v>
      </c>
      <c r="E157" s="164">
        <v>4.6590479144441643E-2</v>
      </c>
      <c r="F157" s="164">
        <v>6.0922563763525492E-2</v>
      </c>
      <c r="G157" s="164">
        <v>1.1552018101094049E-4</v>
      </c>
      <c r="H157" s="164">
        <v>3.1844063317949512E-3</v>
      </c>
      <c r="I157" s="516">
        <v>7.4237550200904359</v>
      </c>
      <c r="J157" s="517">
        <v>8.8589394354947836E-4</v>
      </c>
    </row>
    <row r="158" spans="2:10" x14ac:dyDescent="0.2">
      <c r="B158" s="514"/>
      <c r="C158" s="515">
        <v>25</v>
      </c>
      <c r="D158" s="164">
        <v>2.714693348879722E-2</v>
      </c>
      <c r="E158" s="164">
        <v>8.5997363376226016E-2</v>
      </c>
      <c r="F158" s="164">
        <v>0.15788596003017139</v>
      </c>
      <c r="G158" s="164">
        <v>2.4725758829112222E-4</v>
      </c>
      <c r="H158" s="164">
        <v>7.6675904694198998E-3</v>
      </c>
      <c r="I158" s="516">
        <v>19.487353514717388</v>
      </c>
      <c r="J158" s="517">
        <v>2.4494237956811113E-3</v>
      </c>
    </row>
    <row r="159" spans="2:10" x14ac:dyDescent="0.2">
      <c r="B159" s="514"/>
      <c r="C159" s="515">
        <v>50</v>
      </c>
      <c r="D159" s="164">
        <v>5.2285552412142298E-2</v>
      </c>
      <c r="E159" s="164">
        <v>0.26002543074047435</v>
      </c>
      <c r="F159" s="164">
        <v>0.25830787997072169</v>
      </c>
      <c r="G159" s="164">
        <v>4.4386405591122132E-4</v>
      </c>
      <c r="H159" s="164">
        <v>1.4369520277437525E-2</v>
      </c>
      <c r="I159" s="516">
        <v>34.334875624145191</v>
      </c>
      <c r="J159" s="517">
        <v>4.7176403445142135E-3</v>
      </c>
    </row>
    <row r="160" spans="2:10" x14ac:dyDescent="0.2">
      <c r="B160" s="514"/>
      <c r="C160" s="515">
        <v>120</v>
      </c>
      <c r="D160" s="164">
        <v>5.9649345277404335E-2</v>
      </c>
      <c r="E160" s="164">
        <v>0.47358303387356726</v>
      </c>
      <c r="F160" s="164">
        <v>0.48274309000838928</v>
      </c>
      <c r="G160" s="164">
        <v>9.1438648961591042E-4</v>
      </c>
      <c r="H160" s="164">
        <v>3.0235662310578452E-2</v>
      </c>
      <c r="I160" s="516">
        <v>77.949391524171233</v>
      </c>
      <c r="J160" s="517">
        <v>5.3820630483475814E-3</v>
      </c>
    </row>
    <row r="161" spans="2:10" x14ac:dyDescent="0.2">
      <c r="B161" s="514"/>
      <c r="C161" s="515">
        <v>175</v>
      </c>
      <c r="D161" s="164">
        <v>7.7067147417549858E-2</v>
      </c>
      <c r="E161" s="164">
        <v>0.73364568765141736</v>
      </c>
      <c r="F161" s="164">
        <v>0.67369217814545745</v>
      </c>
      <c r="G161" s="164">
        <v>1.57662865750208E-3</v>
      </c>
      <c r="H161" s="164">
        <v>3.1060579736586956E-2</v>
      </c>
      <c r="I161" s="163">
        <v>140.12336181003766</v>
      </c>
      <c r="J161" s="517">
        <v>6.953646414664158E-3</v>
      </c>
    </row>
    <row r="162" spans="2:10" x14ac:dyDescent="0.2">
      <c r="B162" s="514"/>
      <c r="C162" s="515">
        <v>250</v>
      </c>
      <c r="D162" s="164">
        <v>8.0890589719996617E-2</v>
      </c>
      <c r="E162" s="164">
        <v>0.37384968790752532</v>
      </c>
      <c r="F162" s="164">
        <v>0.83182686485785706</v>
      </c>
      <c r="G162" s="164">
        <v>2.2657500961447818E-3</v>
      </c>
      <c r="H162" s="164">
        <v>2.4187048667910119E-2</v>
      </c>
      <c r="I162" s="163">
        <v>201.36928359570618</v>
      </c>
      <c r="J162" s="517">
        <v>7.2986259977122743E-3</v>
      </c>
    </row>
    <row r="163" spans="2:10" x14ac:dyDescent="0.2">
      <c r="B163" s="514"/>
      <c r="C163" s="515">
        <v>500</v>
      </c>
      <c r="D163" s="164">
        <v>0.13117559750457353</v>
      </c>
      <c r="E163" s="164">
        <v>0.62519603429038195</v>
      </c>
      <c r="F163" s="164">
        <v>1.2787912193890216</v>
      </c>
      <c r="G163" s="164">
        <v>3.3882953322969759E-3</v>
      </c>
      <c r="H163" s="164">
        <v>3.9797898875436194E-2</v>
      </c>
      <c r="I163" s="163">
        <v>345.20462602170215</v>
      </c>
      <c r="J163" s="517">
        <v>1.1835763077998378E-2</v>
      </c>
    </row>
    <row r="164" spans="2:10" x14ac:dyDescent="0.2">
      <c r="B164" s="514"/>
      <c r="C164" s="515">
        <v>750</v>
      </c>
      <c r="D164" s="164">
        <v>0.21964498339266977</v>
      </c>
      <c r="E164" s="164">
        <v>1.0335901534674479</v>
      </c>
      <c r="F164" s="164">
        <v>2.1645000640338647</v>
      </c>
      <c r="G164" s="164">
        <v>5.7382419770080897E-3</v>
      </c>
      <c r="H164" s="164">
        <v>6.6554050543840004E-2</v>
      </c>
      <c r="I164" s="163">
        <v>570.70101090525407</v>
      </c>
      <c r="J164" s="517">
        <v>1.9818215704962304E-2</v>
      </c>
    </row>
    <row r="165" spans="2:10" x14ac:dyDescent="0.2">
      <c r="B165" s="514"/>
      <c r="C165" s="515">
        <v>9999</v>
      </c>
      <c r="D165" s="164">
        <v>0.65776726469444202</v>
      </c>
      <c r="E165" s="164">
        <v>2.6790258231729118</v>
      </c>
      <c r="F165" s="164">
        <v>9.2900875001463099</v>
      </c>
      <c r="G165" s="164">
        <v>1.3622497046605581E-2</v>
      </c>
      <c r="H165" s="164">
        <v>0.21558569563106933</v>
      </c>
      <c r="I165" s="524">
        <v>1354.8349672725683</v>
      </c>
      <c r="J165" s="517">
        <v>5.9349291873956635E-2</v>
      </c>
    </row>
    <row r="166" spans="2:10" x14ac:dyDescent="0.2">
      <c r="B166" s="518" t="s">
        <v>549</v>
      </c>
      <c r="C166" s="519"/>
      <c r="D166" s="520">
        <v>4.1163277908581694E-2</v>
      </c>
      <c r="E166" s="520">
        <v>0.26947311098878413</v>
      </c>
      <c r="F166" s="520">
        <v>0.30682787178898052</v>
      </c>
      <c r="G166" s="520">
        <v>5.9045668379298171E-4</v>
      </c>
      <c r="H166" s="520">
        <v>1.6624031632945502E-2</v>
      </c>
      <c r="I166" s="521">
        <v>49.606650923381402</v>
      </c>
      <c r="J166" s="522">
        <v>3.7140957273786215E-3</v>
      </c>
    </row>
    <row r="167" spans="2:10" x14ac:dyDescent="0.2">
      <c r="B167" s="514" t="s">
        <v>550</v>
      </c>
      <c r="C167" s="515">
        <v>15</v>
      </c>
      <c r="D167" s="164">
        <v>7.3570743641358533E-3</v>
      </c>
      <c r="E167" s="164">
        <v>3.8590839099896197E-2</v>
      </c>
      <c r="F167" s="164">
        <v>4.607279427661698E-2</v>
      </c>
      <c r="G167" s="164">
        <v>9.8348264203143142E-5</v>
      </c>
      <c r="H167" s="164">
        <v>1.8003127765340091E-3</v>
      </c>
      <c r="I167" s="516">
        <v>6.3202227338278885</v>
      </c>
      <c r="J167" s="517">
        <v>6.6381699346628755E-4</v>
      </c>
    </row>
    <row r="168" spans="2:10" x14ac:dyDescent="0.2">
      <c r="B168" s="514"/>
      <c r="C168" s="515">
        <v>25</v>
      </c>
      <c r="D168" s="164">
        <v>1.6096382389126609E-2</v>
      </c>
      <c r="E168" s="164">
        <v>5.4939103800942475E-2</v>
      </c>
      <c r="F168" s="164">
        <v>0.1017162537560185</v>
      </c>
      <c r="G168" s="164">
        <v>1.6929343287153768E-4</v>
      </c>
      <c r="H168" s="164">
        <v>3.7955785121935102E-3</v>
      </c>
      <c r="I168" s="516">
        <v>13.342692029477069</v>
      </c>
      <c r="J168" s="517">
        <v>1.4523509336232089E-3</v>
      </c>
    </row>
    <row r="169" spans="2:10" x14ac:dyDescent="0.2">
      <c r="B169" s="514"/>
      <c r="C169" s="515">
        <v>50</v>
      </c>
      <c r="D169" s="164">
        <v>6.0041017737433915E-2</v>
      </c>
      <c r="E169" s="164">
        <v>0.24888974387443144</v>
      </c>
      <c r="F169" s="164">
        <v>0.21029068756928804</v>
      </c>
      <c r="G169" s="164">
        <v>3.3589712147018128E-4</v>
      </c>
      <c r="H169" s="164">
        <v>1.4259052131679517E-2</v>
      </c>
      <c r="I169" s="516">
        <v>25.983138133918629</v>
      </c>
      <c r="J169" s="517">
        <v>5.417404586244485E-3</v>
      </c>
    </row>
    <row r="170" spans="2:10" x14ac:dyDescent="0.2">
      <c r="B170" s="514"/>
      <c r="C170" s="515">
        <v>120</v>
      </c>
      <c r="D170" s="164">
        <v>6.2637904252181006E-2</v>
      </c>
      <c r="E170" s="164">
        <v>0.38949625636222873</v>
      </c>
      <c r="F170" s="164">
        <v>0.40943638597250565</v>
      </c>
      <c r="G170" s="164">
        <v>6.9196813565361372E-4</v>
      </c>
      <c r="H170" s="164">
        <v>3.0487639785118096E-2</v>
      </c>
      <c r="I170" s="516">
        <v>58.988735279409873</v>
      </c>
      <c r="J170" s="517">
        <v>5.6517168866512726E-3</v>
      </c>
    </row>
    <row r="171" spans="2:10" x14ac:dyDescent="0.2">
      <c r="B171" s="514"/>
      <c r="C171" s="515">
        <v>175</v>
      </c>
      <c r="D171" s="164">
        <v>8.3396319872990746E-2</v>
      </c>
      <c r="E171" s="164">
        <v>0.6121254700401153</v>
      </c>
      <c r="F171" s="164">
        <v>0.59294148758743215</v>
      </c>
      <c r="G171" s="164">
        <v>1.2168284077688116E-3</v>
      </c>
      <c r="H171" s="164">
        <v>3.1983899826393949E-2</v>
      </c>
      <c r="I171" s="163">
        <v>108.14604758890974</v>
      </c>
      <c r="J171" s="517">
        <v>7.5247155355247569E-3</v>
      </c>
    </row>
    <row r="172" spans="2:10" x14ac:dyDescent="0.2">
      <c r="B172" s="514"/>
      <c r="C172" s="515">
        <v>250</v>
      </c>
      <c r="D172" s="164">
        <v>8.8631994199622879E-2</v>
      </c>
      <c r="E172" s="164">
        <v>0.32492846010849963</v>
      </c>
      <c r="F172" s="164">
        <v>0.73465442815694493</v>
      </c>
      <c r="G172" s="164">
        <v>1.7225238768631813E-3</v>
      </c>
      <c r="H172" s="164">
        <v>2.4758009337080954E-2</v>
      </c>
      <c r="I172" s="163">
        <v>153.08987122896906</v>
      </c>
      <c r="J172" s="517">
        <v>7.9971216054625441E-3</v>
      </c>
    </row>
    <row r="173" spans="2:10" x14ac:dyDescent="0.2">
      <c r="B173" s="514"/>
      <c r="C173" s="515">
        <v>500</v>
      </c>
      <c r="D173" s="164">
        <v>0.12048672749628193</v>
      </c>
      <c r="E173" s="164">
        <v>0.4743241087889673</v>
      </c>
      <c r="F173" s="164">
        <v>0.93085486079901336</v>
      </c>
      <c r="G173" s="164">
        <v>2.150547473519004E-3</v>
      </c>
      <c r="H173" s="164">
        <v>3.306586787965185E-2</v>
      </c>
      <c r="I173" s="163">
        <v>219.10105534442607</v>
      </c>
      <c r="J173" s="517">
        <v>1.0871320791262467E-2</v>
      </c>
    </row>
    <row r="174" spans="2:10" x14ac:dyDescent="0.2">
      <c r="B174" s="518" t="s">
        <v>551</v>
      </c>
      <c r="C174" s="519"/>
      <c r="D174" s="520">
        <v>6.3189368896582915E-2</v>
      </c>
      <c r="E174" s="520">
        <v>0.38594974429275974</v>
      </c>
      <c r="F174" s="520">
        <v>0.41271826782435733</v>
      </c>
      <c r="G174" s="520">
        <v>7.6958716231460573E-4</v>
      </c>
      <c r="H174" s="520">
        <v>2.6085311181414758E-2</v>
      </c>
      <c r="I174" s="521">
        <v>67.042053198346792</v>
      </c>
      <c r="J174" s="522">
        <v>5.701474756052251E-3</v>
      </c>
    </row>
    <row r="175" spans="2:10" x14ac:dyDescent="0.2">
      <c r="B175" s="514" t="s">
        <v>164</v>
      </c>
      <c r="C175" s="515">
        <v>50</v>
      </c>
      <c r="D175" s="164">
        <v>5.770321312227638E-2</v>
      </c>
      <c r="E175" s="164">
        <v>0.32235026912564974</v>
      </c>
      <c r="F175" s="164">
        <v>0.26457864915494039</v>
      </c>
      <c r="G175" s="164">
        <v>4.3770377735839923E-4</v>
      </c>
      <c r="H175" s="164">
        <v>1.4250522553847039E-2</v>
      </c>
      <c r="I175" s="516">
        <v>33.858334264487922</v>
      </c>
      <c r="J175" s="517">
        <v>5.2064683960477602E-3</v>
      </c>
    </row>
    <row r="176" spans="2:10" x14ac:dyDescent="0.2">
      <c r="B176" s="514"/>
      <c r="C176" s="515">
        <v>120</v>
      </c>
      <c r="D176" s="164">
        <v>5.386752774590322E-2</v>
      </c>
      <c r="E176" s="164">
        <v>0.4157655808618716</v>
      </c>
      <c r="F176" s="164">
        <v>0.36247639291243916</v>
      </c>
      <c r="G176" s="164">
        <v>7.325681260732333E-4</v>
      </c>
      <c r="H176" s="164">
        <v>2.3096538295614397E-2</v>
      </c>
      <c r="I176" s="516">
        <v>62.44981535981362</v>
      </c>
      <c r="J176" s="517">
        <v>4.8603791456628001E-3</v>
      </c>
    </row>
    <row r="177" spans="2:10" x14ac:dyDescent="0.2">
      <c r="B177" s="514"/>
      <c r="C177" s="515">
        <v>175</v>
      </c>
      <c r="D177" s="164">
        <v>8.4427484298612548E-2</v>
      </c>
      <c r="E177" s="164">
        <v>0.72300351087607206</v>
      </c>
      <c r="F177" s="164">
        <v>0.53504777496427536</v>
      </c>
      <c r="G177" s="164">
        <v>1.4053356047363979E-3</v>
      </c>
      <c r="H177" s="164">
        <v>2.8086996698932665E-2</v>
      </c>
      <c r="I177" s="163">
        <v>124.89964651941125</v>
      </c>
      <c r="J177" s="517">
        <v>7.6177553180908153E-3</v>
      </c>
    </row>
    <row r="178" spans="2:10" x14ac:dyDescent="0.2">
      <c r="B178" s="514"/>
      <c r="C178" s="515">
        <v>250</v>
      </c>
      <c r="D178" s="164">
        <v>9.3279677547361536E-2</v>
      </c>
      <c r="E178" s="164">
        <v>0.3469789578869672</v>
      </c>
      <c r="F178" s="164">
        <v>0.61771077996380697</v>
      </c>
      <c r="G178" s="164">
        <v>1.9217535571108342E-3</v>
      </c>
      <c r="H178" s="164">
        <v>2.0842623410643534E-2</v>
      </c>
      <c r="I178" s="163">
        <v>170.79652620178499</v>
      </c>
      <c r="J178" s="517">
        <v>8.4164749041931771E-3</v>
      </c>
    </row>
    <row r="179" spans="2:10" x14ac:dyDescent="0.2">
      <c r="B179" s="514"/>
      <c r="C179" s="515">
        <v>500</v>
      </c>
      <c r="D179" s="164">
        <v>0.13679815231532852</v>
      </c>
      <c r="E179" s="164">
        <v>0.49756521239608087</v>
      </c>
      <c r="F179" s="164">
        <v>0.83338007716301121</v>
      </c>
      <c r="G179" s="164">
        <v>2.5183275854616504E-3</v>
      </c>
      <c r="H179" s="164">
        <v>3.0208909618674992E-2</v>
      </c>
      <c r="I179" s="163">
        <v>256.57091367005575</v>
      </c>
      <c r="J179" s="517">
        <v>1.2343074623474524E-2</v>
      </c>
    </row>
    <row r="180" spans="2:10" x14ac:dyDescent="0.2">
      <c r="B180" s="518" t="s">
        <v>552</v>
      </c>
      <c r="C180" s="519"/>
      <c r="D180" s="520">
        <v>5.7887624017651879E-2</v>
      </c>
      <c r="E180" s="520">
        <v>0.44789829637358342</v>
      </c>
      <c r="F180" s="520">
        <v>0.38323898166919695</v>
      </c>
      <c r="G180" s="520">
        <v>8.160647462799259E-4</v>
      </c>
      <c r="H180" s="520">
        <v>2.3503077646082619E-2</v>
      </c>
      <c r="I180" s="521">
        <v>70.28077853809171</v>
      </c>
      <c r="J180" s="522">
        <v>5.2231060427054589E-3</v>
      </c>
    </row>
    <row r="181" spans="2:10" x14ac:dyDescent="0.2">
      <c r="B181" s="514" t="s">
        <v>553</v>
      </c>
      <c r="C181" s="515">
        <v>175</v>
      </c>
      <c r="D181" s="164">
        <v>0.15910538149620215</v>
      </c>
      <c r="E181" s="164">
        <v>0.81546725928169472</v>
      </c>
      <c r="F181" s="164">
        <v>1.0683689702068291</v>
      </c>
      <c r="G181" s="164">
        <v>1.4568361746550686E-3</v>
      </c>
      <c r="H181" s="164">
        <v>6.0242465979388066E-2</v>
      </c>
      <c r="I181" s="163">
        <v>129.47674499427333</v>
      </c>
      <c r="J181" s="517">
        <v>1.4355823580251765E-2</v>
      </c>
    </row>
    <row r="182" spans="2:10" x14ac:dyDescent="0.2">
      <c r="B182" s="514"/>
      <c r="C182" s="515">
        <v>250</v>
      </c>
      <c r="D182" s="164">
        <v>0.17924446024664839</v>
      </c>
      <c r="E182" s="164">
        <v>0.54513009724117722</v>
      </c>
      <c r="F182" s="164">
        <v>1.3859904034334556</v>
      </c>
      <c r="G182" s="164">
        <v>2.0645443599136598E-3</v>
      </c>
      <c r="H182" s="164">
        <v>5.5891654835288893E-2</v>
      </c>
      <c r="I182" s="163">
        <v>183.48708249535994</v>
      </c>
      <c r="J182" s="517">
        <v>1.6172939374949596E-2</v>
      </c>
    </row>
    <row r="183" spans="2:10" x14ac:dyDescent="0.2">
      <c r="B183" s="514"/>
      <c r="C183" s="515">
        <v>500</v>
      </c>
      <c r="D183" s="164">
        <v>0.24070461605820123</v>
      </c>
      <c r="E183" s="164">
        <v>0.97731060008901516</v>
      </c>
      <c r="F183" s="164">
        <v>1.8134184505922295</v>
      </c>
      <c r="G183" s="164">
        <v>2.599810147793907E-3</v>
      </c>
      <c r="H183" s="164">
        <v>7.2819730655317133E-2</v>
      </c>
      <c r="I183" s="163">
        <v>264.87254421657707</v>
      </c>
      <c r="J183" s="517">
        <v>2.1718388632719882E-2</v>
      </c>
    </row>
    <row r="184" spans="2:10" x14ac:dyDescent="0.2">
      <c r="B184" s="514"/>
      <c r="C184" s="515">
        <v>750</v>
      </c>
      <c r="D184" s="164">
        <v>0.3635179595297216</v>
      </c>
      <c r="E184" s="164">
        <v>1.467649933493631</v>
      </c>
      <c r="F184" s="164">
        <v>2.7876262644032499</v>
      </c>
      <c r="G184" s="164">
        <v>4.0097073895951222E-3</v>
      </c>
      <c r="H184" s="164">
        <v>0.11066539155735503</v>
      </c>
      <c r="I184" s="163">
        <v>398.78841460672095</v>
      </c>
      <c r="J184" s="517">
        <v>3.2799652298543654E-2</v>
      </c>
    </row>
    <row r="185" spans="2:10" x14ac:dyDescent="0.2">
      <c r="B185" s="514"/>
      <c r="C185" s="515">
        <v>1000</v>
      </c>
      <c r="D185" s="164">
        <v>0.57056457305744102</v>
      </c>
      <c r="E185" s="164">
        <v>2.3715189711356106</v>
      </c>
      <c r="F185" s="164">
        <v>5.7622709022293499</v>
      </c>
      <c r="G185" s="164">
        <v>5.9513287474507346E-3</v>
      </c>
      <c r="H185" s="164">
        <v>0.17855925698576311</v>
      </c>
      <c r="I185" s="163">
        <v>591.8938832611276</v>
      </c>
      <c r="J185" s="517">
        <v>5.1481109088178073E-2</v>
      </c>
    </row>
    <row r="186" spans="2:10" x14ac:dyDescent="0.2">
      <c r="B186" s="518" t="s">
        <v>554</v>
      </c>
      <c r="C186" s="519"/>
      <c r="D186" s="520">
        <v>0.22266699075667623</v>
      </c>
      <c r="E186" s="520">
        <v>0.83875900301672057</v>
      </c>
      <c r="F186" s="520">
        <v>1.6948397988038388</v>
      </c>
      <c r="G186" s="520">
        <v>2.4515221527071744E-3</v>
      </c>
      <c r="H186" s="520">
        <v>6.8208235978213724E-2</v>
      </c>
      <c r="I186" s="523">
        <v>239.0856999195847</v>
      </c>
      <c r="J186" s="522">
        <v>2.0090883909706442E-2</v>
      </c>
    </row>
    <row r="187" spans="2:10" x14ac:dyDescent="0.2">
      <c r="B187" s="514" t="s">
        <v>555</v>
      </c>
      <c r="C187" s="515">
        <v>25</v>
      </c>
      <c r="D187" s="164">
        <v>2.042304293543136E-2</v>
      </c>
      <c r="E187" s="164">
        <v>6.9706580796333378E-2</v>
      </c>
      <c r="F187" s="164">
        <v>0.12905727948213455</v>
      </c>
      <c r="G187" s="164">
        <v>2.1479908390856209E-4</v>
      </c>
      <c r="H187" s="164">
        <v>4.8213716099607812E-3</v>
      </c>
      <c r="I187" s="516">
        <v>16.929167283945041</v>
      </c>
      <c r="J187" s="517">
        <v>1.8427381814053539E-3</v>
      </c>
    </row>
    <row r="188" spans="2:10" x14ac:dyDescent="0.2">
      <c r="B188" s="514"/>
      <c r="C188" s="515">
        <v>50</v>
      </c>
      <c r="D188" s="164">
        <v>6.7470341348443305E-2</v>
      </c>
      <c r="E188" s="164">
        <v>0.31351068908268209</v>
      </c>
      <c r="F188" s="164">
        <v>0.25042726799693948</v>
      </c>
      <c r="G188" s="164">
        <v>4.0268743244840233E-4</v>
      </c>
      <c r="H188" s="164">
        <v>1.5491348124659266E-2</v>
      </c>
      <c r="I188" s="516">
        <v>31.14966262457958</v>
      </c>
      <c r="J188" s="517">
        <v>6.087741023175209E-3</v>
      </c>
    </row>
    <row r="189" spans="2:10" x14ac:dyDescent="0.2">
      <c r="B189" s="514"/>
      <c r="C189" s="515">
        <v>120</v>
      </c>
      <c r="D189" s="164">
        <v>6.091464993899836E-2</v>
      </c>
      <c r="E189" s="164">
        <v>0.39951529489707505</v>
      </c>
      <c r="F189" s="164">
        <v>0.38123163419209571</v>
      </c>
      <c r="G189" s="164">
        <v>6.9108563338163027E-4</v>
      </c>
      <c r="H189" s="164">
        <v>2.705889650273936E-2</v>
      </c>
      <c r="I189" s="516">
        <v>58.913511433127063</v>
      </c>
      <c r="J189" s="517">
        <v>5.4962315456010581E-3</v>
      </c>
    </row>
    <row r="190" spans="2:10" x14ac:dyDescent="0.2">
      <c r="B190" s="514"/>
      <c r="C190" s="515">
        <v>175</v>
      </c>
      <c r="D190" s="164">
        <v>8.2545715397042904E-2</v>
      </c>
      <c r="E190" s="164">
        <v>0.6220712362134162</v>
      </c>
      <c r="F190" s="164">
        <v>0.52828584797796641</v>
      </c>
      <c r="G190" s="164">
        <v>1.1962280459365125E-3</v>
      </c>
      <c r="H190" s="164">
        <v>2.8696538260943059E-2</v>
      </c>
      <c r="I190" s="163">
        <v>106.31516561732614</v>
      </c>
      <c r="J190" s="517">
        <v>7.4479670642893714E-3</v>
      </c>
    </row>
    <row r="191" spans="2:10" x14ac:dyDescent="0.2">
      <c r="B191" s="514"/>
      <c r="C191" s="515">
        <v>250</v>
      </c>
      <c r="D191" s="164">
        <v>8.9553460441848684E-2</v>
      </c>
      <c r="E191" s="164">
        <v>0.31942309989476003</v>
      </c>
      <c r="F191" s="164">
        <v>0.63663648059637379</v>
      </c>
      <c r="G191" s="164">
        <v>1.6762437114831023E-3</v>
      </c>
      <c r="H191" s="164">
        <v>2.1771108164742248E-2</v>
      </c>
      <c r="I191" s="163">
        <v>148.97671844641377</v>
      </c>
      <c r="J191" s="517">
        <v>8.0802618506061671E-3</v>
      </c>
    </row>
    <row r="192" spans="2:10" x14ac:dyDescent="0.2">
      <c r="B192" s="514"/>
      <c r="C192" s="515">
        <v>500</v>
      </c>
      <c r="D192" s="164">
        <v>0.13690261819132435</v>
      </c>
      <c r="E192" s="164">
        <v>0.51264796232098786</v>
      </c>
      <c r="F192" s="164">
        <v>0.90181797637013705</v>
      </c>
      <c r="G192" s="164">
        <v>2.3263140226164637E-3</v>
      </c>
      <c r="H192" s="164">
        <v>3.2560771377828888E-2</v>
      </c>
      <c r="I192" s="163">
        <v>237.00839650612991</v>
      </c>
      <c r="J192" s="517">
        <v>1.2352503214851915E-2</v>
      </c>
    </row>
    <row r="193" spans="2:10" x14ac:dyDescent="0.2">
      <c r="B193" s="514"/>
      <c r="C193" s="515">
        <v>750</v>
      </c>
      <c r="D193" s="164">
        <v>0.28194512246309728</v>
      </c>
      <c r="E193" s="164">
        <v>1.04968013059536</v>
      </c>
      <c r="F193" s="164">
        <v>1.9069860139160011</v>
      </c>
      <c r="G193" s="164">
        <v>4.8818554515529106E-3</v>
      </c>
      <c r="H193" s="164">
        <v>6.7871344975324002E-2</v>
      </c>
      <c r="I193" s="163">
        <v>485.52852391701225</v>
      </c>
      <c r="J193" s="517">
        <v>2.5439455815015274E-2</v>
      </c>
    </row>
    <row r="194" spans="2:10" x14ac:dyDescent="0.2">
      <c r="B194" s="514"/>
      <c r="C194" s="515">
        <v>1000</v>
      </c>
      <c r="D194" s="164">
        <v>0.36896172776862424</v>
      </c>
      <c r="E194" s="164">
        <v>1.3617646920430306</v>
      </c>
      <c r="F194" s="164">
        <v>4.2187104840757277</v>
      </c>
      <c r="G194" s="164">
        <v>5.9712502649041212E-3</v>
      </c>
      <c r="H194" s="164">
        <v>0.10810913750794134</v>
      </c>
      <c r="I194" s="163">
        <v>593.87504854055726</v>
      </c>
      <c r="J194" s="517">
        <v>3.3290823566271895E-2</v>
      </c>
    </row>
    <row r="195" spans="2:10" x14ac:dyDescent="0.2">
      <c r="B195" s="518" t="s">
        <v>556</v>
      </c>
      <c r="C195" s="519"/>
      <c r="D195" s="520">
        <v>8.0493856213936371E-2</v>
      </c>
      <c r="E195" s="520">
        <v>0.44355207872965896</v>
      </c>
      <c r="F195" s="520">
        <v>0.52652849791111223</v>
      </c>
      <c r="G195" s="520">
        <v>1.2006242108303904E-3</v>
      </c>
      <c r="H195" s="520">
        <v>2.6617701269058155E-2</v>
      </c>
      <c r="I195" s="523">
        <v>108.61092037401113</v>
      </c>
      <c r="J195" s="522">
        <v>7.2628307997017749E-3</v>
      </c>
    </row>
    <row r="196" spans="2:10" x14ac:dyDescent="0.2">
      <c r="B196" s="514" t="s">
        <v>557</v>
      </c>
      <c r="C196" s="515">
        <v>120</v>
      </c>
      <c r="D196" s="164">
        <v>0.12976075434342826</v>
      </c>
      <c r="E196" s="164">
        <v>0.664760434546385</v>
      </c>
      <c r="F196" s="164">
        <v>0.76509380495399881</v>
      </c>
      <c r="G196" s="164">
        <v>1.1015009127071996E-3</v>
      </c>
      <c r="H196" s="164">
        <v>6.0443113278667283E-2</v>
      </c>
      <c r="I196" s="516">
        <v>93.90047370278981</v>
      </c>
      <c r="J196" s="517">
        <v>1.170810615402456E-2</v>
      </c>
    </row>
    <row r="197" spans="2:10" x14ac:dyDescent="0.2">
      <c r="B197" s="514"/>
      <c r="C197" s="515">
        <v>175</v>
      </c>
      <c r="D197" s="164">
        <v>0.14876729779079279</v>
      </c>
      <c r="E197" s="164">
        <v>0.89359670035364624</v>
      </c>
      <c r="F197" s="164">
        <v>0.9839845946097151</v>
      </c>
      <c r="G197" s="164">
        <v>1.6660841578583149E-3</v>
      </c>
      <c r="H197" s="164">
        <v>5.5236436946846573E-2</v>
      </c>
      <c r="I197" s="163">
        <v>148.07382110440284</v>
      </c>
      <c r="J197" s="517">
        <v>1.3423036447552857E-2</v>
      </c>
    </row>
    <row r="198" spans="2:10" x14ac:dyDescent="0.2">
      <c r="B198" s="514"/>
      <c r="C198" s="515">
        <v>250</v>
      </c>
      <c r="D198" s="164">
        <v>0.16097447108809679</v>
      </c>
      <c r="E198" s="164">
        <v>0.51733948597431323</v>
      </c>
      <c r="F198" s="164">
        <v>1.2412555907402183</v>
      </c>
      <c r="G198" s="164">
        <v>2.3568993204466596E-3</v>
      </c>
      <c r="H198" s="164">
        <v>4.5463220490341134E-2</v>
      </c>
      <c r="I198" s="163">
        <v>209.47024098716597</v>
      </c>
      <c r="J198" s="517">
        <v>1.4524472694677817E-2</v>
      </c>
    </row>
    <row r="199" spans="2:10" x14ac:dyDescent="0.2">
      <c r="B199" s="514"/>
      <c r="C199" s="515">
        <v>500</v>
      </c>
      <c r="D199" s="164">
        <v>0.23302916931528106</v>
      </c>
      <c r="E199" s="164">
        <v>0.87847336939265785</v>
      </c>
      <c r="F199" s="164">
        <v>1.7092103132521892</v>
      </c>
      <c r="G199" s="164">
        <v>3.1549256422564666E-3</v>
      </c>
      <c r="H199" s="164">
        <v>6.4266680843534207E-2</v>
      </c>
      <c r="I199" s="163">
        <v>321.42843554242222</v>
      </c>
      <c r="J199" s="517">
        <v>2.1025852051004948E-2</v>
      </c>
    </row>
    <row r="200" spans="2:10" x14ac:dyDescent="0.2">
      <c r="B200" s="514"/>
      <c r="C200" s="515">
        <v>750</v>
      </c>
      <c r="D200" s="164">
        <v>0.40450716532697323</v>
      </c>
      <c r="E200" s="164">
        <v>1.5154417244857652</v>
      </c>
      <c r="F200" s="164">
        <v>3.0335432516702938</v>
      </c>
      <c r="G200" s="164">
        <v>5.5831542661621165E-3</v>
      </c>
      <c r="H200" s="164">
        <v>0.11258581870476572</v>
      </c>
      <c r="I200" s="163">
        <v>555.27659520777684</v>
      </c>
      <c r="J200" s="517">
        <v>3.649803607017954E-2</v>
      </c>
    </row>
    <row r="201" spans="2:10" x14ac:dyDescent="0.2">
      <c r="B201" s="518" t="s">
        <v>558</v>
      </c>
      <c r="C201" s="519"/>
      <c r="D201" s="520">
        <v>0.20207564446602047</v>
      </c>
      <c r="E201" s="520">
        <v>0.81610489082875903</v>
      </c>
      <c r="F201" s="520">
        <v>1.4692934770473609</v>
      </c>
      <c r="G201" s="520">
        <v>2.6870613362936975E-3</v>
      </c>
      <c r="H201" s="520">
        <v>5.9443038718265437E-2</v>
      </c>
      <c r="I201" s="523">
        <v>262.48620760683633</v>
      </c>
      <c r="J201" s="522">
        <v>1.8232964756094344E-2</v>
      </c>
    </row>
    <row r="202" spans="2:10" x14ac:dyDescent="0.2">
      <c r="B202" s="514" t="s">
        <v>559</v>
      </c>
      <c r="C202" s="515">
        <v>15</v>
      </c>
      <c r="D202" s="164">
        <v>7.1819059201588169E-3</v>
      </c>
      <c r="E202" s="164">
        <v>3.7672011948603305E-2</v>
      </c>
      <c r="F202" s="164">
        <v>4.4975826192409585E-2</v>
      </c>
      <c r="G202" s="164">
        <v>9.6006635525263304E-5</v>
      </c>
      <c r="H202" s="164">
        <v>1.7574483049558665E-3</v>
      </c>
      <c r="I202" s="516">
        <v>6.169742506270067</v>
      </c>
      <c r="J202" s="517">
        <v>6.4801189520347709E-4</v>
      </c>
    </row>
    <row r="203" spans="2:10" x14ac:dyDescent="0.2">
      <c r="B203" s="514"/>
      <c r="C203" s="515">
        <v>50</v>
      </c>
      <c r="D203" s="164">
        <v>5.6504094511229383E-2</v>
      </c>
      <c r="E203" s="164">
        <v>0.28902046752511401</v>
      </c>
      <c r="F203" s="164">
        <v>0.27209923743743625</v>
      </c>
      <c r="G203" s="164">
        <v>4.6785673591911905E-4</v>
      </c>
      <c r="H203" s="164">
        <v>1.504455928659622E-2</v>
      </c>
      <c r="I203" s="516">
        <v>36.190804303866187</v>
      </c>
      <c r="J203" s="517">
        <v>5.0982732842230092E-3</v>
      </c>
    </row>
    <row r="204" spans="2:10" x14ac:dyDescent="0.2">
      <c r="B204" s="514"/>
      <c r="C204" s="515">
        <v>120</v>
      </c>
      <c r="D204" s="164">
        <v>6.1673865446608599E-2</v>
      </c>
      <c r="E204" s="164">
        <v>0.49677369642754149</v>
      </c>
      <c r="F204" s="164">
        <v>0.4813181752426513</v>
      </c>
      <c r="G204" s="164">
        <v>9.4086486597274091E-4</v>
      </c>
      <c r="H204" s="164">
        <v>3.0541560426189655E-2</v>
      </c>
      <c r="I204" s="516">
        <v>80.206632204900075</v>
      </c>
      <c r="J204" s="517">
        <v>5.5647350589441364E-3</v>
      </c>
    </row>
    <row r="205" spans="2:10" x14ac:dyDescent="0.2">
      <c r="B205" s="514"/>
      <c r="C205" s="515">
        <v>175</v>
      </c>
      <c r="D205" s="164">
        <v>8.7467094730587572E-2</v>
      </c>
      <c r="E205" s="164">
        <v>0.82753619553421875</v>
      </c>
      <c r="F205" s="164">
        <v>0.70738110869829618</v>
      </c>
      <c r="G205" s="164">
        <v>1.7388906471782057E-3</v>
      </c>
      <c r="H205" s="164">
        <v>3.3997149359657322E-2</v>
      </c>
      <c r="I205" s="163">
        <v>154.54446284641608</v>
      </c>
      <c r="J205" s="517">
        <v>7.892016635188074E-3</v>
      </c>
    </row>
    <row r="206" spans="2:10" x14ac:dyDescent="0.2">
      <c r="B206" s="514"/>
      <c r="C206" s="515">
        <v>250</v>
      </c>
      <c r="D206" s="164">
        <v>0.10820696759718269</v>
      </c>
      <c r="E206" s="164">
        <v>0.48056724042461418</v>
      </c>
      <c r="F206" s="164">
        <v>0.99494320313692752</v>
      </c>
      <c r="G206" s="164">
        <v>2.8724716575730109E-3</v>
      </c>
      <c r="H206" s="164">
        <v>2.9969938711817468E-2</v>
      </c>
      <c r="I206" s="163">
        <v>255.29187712141845</v>
      </c>
      <c r="J206" s="517">
        <v>9.7633415771021942E-3</v>
      </c>
    </row>
    <row r="207" spans="2:10" x14ac:dyDescent="0.2">
      <c r="B207" s="518" t="s">
        <v>560</v>
      </c>
      <c r="C207" s="519"/>
      <c r="D207" s="520">
        <v>1.3510447047440283E-2</v>
      </c>
      <c r="E207" s="520">
        <v>9.1349320473896392E-2</v>
      </c>
      <c r="F207" s="520">
        <v>9.6718363449231529E-2</v>
      </c>
      <c r="G207" s="520">
        <v>2.141518107414557E-4</v>
      </c>
      <c r="H207" s="520">
        <v>4.5552616486795343E-3</v>
      </c>
      <c r="I207" s="521">
        <v>16.698261552225574</v>
      </c>
      <c r="J207" s="522">
        <v>1.2190260971336989E-3</v>
      </c>
    </row>
    <row r="208" spans="2:10" x14ac:dyDescent="0.2">
      <c r="B208" s="514" t="s">
        <v>156</v>
      </c>
      <c r="C208" s="515">
        <v>25</v>
      </c>
      <c r="D208" s="164">
        <v>1.732951117029382E-2</v>
      </c>
      <c r="E208" s="164">
        <v>5.7804775637697869E-2</v>
      </c>
      <c r="F208" s="164">
        <v>0.1075155618702188</v>
      </c>
      <c r="G208" s="164">
        <v>1.7502139631216297E-4</v>
      </c>
      <c r="H208" s="164">
        <v>4.5550767915260928E-3</v>
      </c>
      <c r="I208" s="516">
        <v>13.794133796075849</v>
      </c>
      <c r="J208" s="517">
        <v>1.5636140940778896E-3</v>
      </c>
    </row>
    <row r="209" spans="2:10" x14ac:dyDescent="0.2">
      <c r="B209" s="514"/>
      <c r="C209" s="515">
        <v>50</v>
      </c>
      <c r="D209" s="164">
        <v>2.4499499630862814E-2</v>
      </c>
      <c r="E209" s="164">
        <v>0.20187952825057154</v>
      </c>
      <c r="F209" s="164">
        <v>0.17170195380948614</v>
      </c>
      <c r="G209" s="164">
        <v>3.2989903632136842E-4</v>
      </c>
      <c r="H209" s="164">
        <v>5.3359458327880234E-3</v>
      </c>
      <c r="I209" s="516">
        <v>25.519154699847764</v>
      </c>
      <c r="J209" s="517">
        <v>2.2105503762096354E-3</v>
      </c>
    </row>
    <row r="210" spans="2:10" x14ac:dyDescent="0.2">
      <c r="B210" s="514"/>
      <c r="C210" s="515">
        <v>120</v>
      </c>
      <c r="D210" s="164">
        <v>2.3182702809784069E-2</v>
      </c>
      <c r="E210" s="164">
        <v>0.26758897566661555</v>
      </c>
      <c r="F210" s="164">
        <v>0.17964046788116247</v>
      </c>
      <c r="G210" s="164">
        <v>5.0161821546894684E-4</v>
      </c>
      <c r="H210" s="164">
        <v>7.8568334501234408E-3</v>
      </c>
      <c r="I210" s="516">
        <v>42.76182744882562</v>
      </c>
      <c r="J210" s="517">
        <v>2.0917383614538292E-3</v>
      </c>
    </row>
    <row r="211" spans="2:10" x14ac:dyDescent="0.2">
      <c r="B211" s="518" t="s">
        <v>561</v>
      </c>
      <c r="C211" s="519"/>
      <c r="D211" s="520">
        <v>2.3601522783149771E-2</v>
      </c>
      <c r="E211" s="520">
        <v>0.21342471376523864</v>
      </c>
      <c r="F211" s="520">
        <v>0.16999604163070692</v>
      </c>
      <c r="G211" s="520">
        <v>3.7476063773569994E-4</v>
      </c>
      <c r="H211" s="520">
        <v>6.0934721765898191E-3</v>
      </c>
      <c r="I211" s="521">
        <v>30.277432814931874</v>
      </c>
      <c r="J211" s="522">
        <v>2.1295275284397303E-3</v>
      </c>
    </row>
    <row r="212" spans="2:10" x14ac:dyDescent="0.2">
      <c r="B212" s="514" t="s">
        <v>562</v>
      </c>
      <c r="C212" s="515">
        <v>50</v>
      </c>
      <c r="D212" s="164">
        <v>2.8996098083696509E-2</v>
      </c>
      <c r="E212" s="164">
        <v>0.12152407544941951</v>
      </c>
      <c r="F212" s="164">
        <v>0.11027150121806034</v>
      </c>
      <c r="G212" s="164">
        <v>1.8237655630721079E-4</v>
      </c>
      <c r="H212" s="164">
        <v>7.0124211047671798E-3</v>
      </c>
      <c r="I212" s="516">
        <v>14.107639490431261</v>
      </c>
      <c r="J212" s="517">
        <v>2.6162708273506983E-3</v>
      </c>
    </row>
    <row r="213" spans="2:10" x14ac:dyDescent="0.2">
      <c r="B213" s="514"/>
      <c r="C213" s="515">
        <v>120</v>
      </c>
      <c r="D213" s="164">
        <v>6.1727699289440642E-2</v>
      </c>
      <c r="E213" s="164">
        <v>0.40488060050613572</v>
      </c>
      <c r="F213" s="164">
        <v>0.43314641959549183</v>
      </c>
      <c r="G213" s="164">
        <v>7.4801426554309746E-4</v>
      </c>
      <c r="H213" s="164">
        <v>3.0218440818197915E-2</v>
      </c>
      <c r="I213" s="516">
        <v>63.766551325755934</v>
      </c>
      <c r="J213" s="517">
        <v>5.5695909364476236E-3</v>
      </c>
    </row>
    <row r="214" spans="2:10" x14ac:dyDescent="0.2">
      <c r="B214" s="514"/>
      <c r="C214" s="515">
        <v>175</v>
      </c>
      <c r="D214" s="164">
        <v>5.9248440864018891E-2</v>
      </c>
      <c r="E214" s="164">
        <v>0.46699510054098919</v>
      </c>
      <c r="F214" s="164">
        <v>0.46093582909428821</v>
      </c>
      <c r="G214" s="164">
        <v>9.6510978293110018E-4</v>
      </c>
      <c r="H214" s="164">
        <v>2.3299460257560828E-2</v>
      </c>
      <c r="I214" s="516">
        <v>85.774442769813703</v>
      </c>
      <c r="J214" s="517">
        <v>5.3458909876488627E-3</v>
      </c>
    </row>
    <row r="215" spans="2:10" x14ac:dyDescent="0.2">
      <c r="B215" s="514"/>
      <c r="C215" s="515">
        <v>250</v>
      </c>
      <c r="D215" s="164">
        <v>6.9080810723514394E-2</v>
      </c>
      <c r="E215" s="164">
        <v>0.28008872083626579</v>
      </c>
      <c r="F215" s="164">
        <v>0.63425855306122902</v>
      </c>
      <c r="G215" s="164">
        <v>1.5175079053890866E-3</v>
      </c>
      <c r="H215" s="164">
        <v>2.0786536426222128E-2</v>
      </c>
      <c r="I215" s="163">
        <v>134.86897041198947</v>
      </c>
      <c r="J215" s="517">
        <v>6.2330496798879854E-3</v>
      </c>
    </row>
    <row r="216" spans="2:10" x14ac:dyDescent="0.2">
      <c r="B216" s="514"/>
      <c r="C216" s="515">
        <v>500</v>
      </c>
      <c r="D216" s="164">
        <v>0.1061292680897651</v>
      </c>
      <c r="E216" s="164">
        <v>0.48753897648374023</v>
      </c>
      <c r="F216" s="164">
        <v>0.93191509761485503</v>
      </c>
      <c r="G216" s="164">
        <v>2.1712261056309255E-3</v>
      </c>
      <c r="H216" s="164">
        <v>3.1743635329737285E-2</v>
      </c>
      <c r="I216" s="163">
        <v>221.2077881604792</v>
      </c>
      <c r="J216" s="517">
        <v>9.5758738055720903E-3</v>
      </c>
    </row>
    <row r="217" spans="2:10" x14ac:dyDescent="0.2">
      <c r="B217" s="514"/>
      <c r="C217" s="515">
        <v>750</v>
      </c>
      <c r="D217" s="164">
        <v>0.16862233178864336</v>
      </c>
      <c r="E217" s="164">
        <v>0.76429913160501683</v>
      </c>
      <c r="F217" s="164">
        <v>1.5081418532090622</v>
      </c>
      <c r="G217" s="164">
        <v>3.4894712195991276E-3</v>
      </c>
      <c r="H217" s="164">
        <v>5.0655222327331988E-2</v>
      </c>
      <c r="I217" s="163">
        <v>347.04804549328065</v>
      </c>
      <c r="J217" s="517">
        <v>1.5214518075290345E-2</v>
      </c>
    </row>
    <row r="218" spans="2:10" x14ac:dyDescent="0.2">
      <c r="B218" s="518" t="s">
        <v>563</v>
      </c>
      <c r="C218" s="519"/>
      <c r="D218" s="520">
        <v>8.7059084620279129E-2</v>
      </c>
      <c r="E218" s="520">
        <v>0.40609624690172913</v>
      </c>
      <c r="F218" s="520">
        <v>0.72894437671230783</v>
      </c>
      <c r="G218" s="520">
        <v>1.6672338543284402E-3</v>
      </c>
      <c r="H218" s="520">
        <v>2.6405873231566946E-2</v>
      </c>
      <c r="I218" s="523">
        <v>165.96462452118328</v>
      </c>
      <c r="J218" s="522">
        <v>7.8552011077404251E-3</v>
      </c>
    </row>
    <row r="219" spans="2:10" x14ac:dyDescent="0.2">
      <c r="B219" s="514" t="s">
        <v>564</v>
      </c>
      <c r="C219" s="515">
        <v>15</v>
      </c>
      <c r="D219" s="164">
        <v>1.238069232387033E-2</v>
      </c>
      <c r="E219" s="164">
        <v>7.2893802695531196E-2</v>
      </c>
      <c r="F219" s="164">
        <v>8.7026382584007342E-2</v>
      </c>
      <c r="G219" s="164">
        <v>1.8576892261983177E-4</v>
      </c>
      <c r="H219" s="164">
        <v>3.4005904300973252E-3</v>
      </c>
      <c r="I219" s="516">
        <v>11.93819676167228</v>
      </c>
      <c r="J219" s="517">
        <v>1.117089686915589E-3</v>
      </c>
    </row>
    <row r="220" spans="2:10" x14ac:dyDescent="0.2">
      <c r="B220" s="514"/>
      <c r="C220" s="515">
        <v>25</v>
      </c>
      <c r="D220" s="164">
        <v>2.3660474246467805E-2</v>
      </c>
      <c r="E220" s="164">
        <v>8.0756368042303184E-2</v>
      </c>
      <c r="F220" s="164">
        <v>0.14951522148430652</v>
      </c>
      <c r="G220" s="164">
        <v>2.4884863470521219E-4</v>
      </c>
      <c r="H220" s="164">
        <v>5.5855230066913977E-3</v>
      </c>
      <c r="I220" s="516">
        <v>19.612754830075421</v>
      </c>
      <c r="J220" s="517">
        <v>2.1348464557367714E-3</v>
      </c>
    </row>
    <row r="221" spans="2:10" x14ac:dyDescent="0.2">
      <c r="B221" s="514"/>
      <c r="C221" s="515">
        <v>50</v>
      </c>
      <c r="D221" s="164">
        <v>4.7377999956113963E-2</v>
      </c>
      <c r="E221" s="164">
        <v>0.29372760412861404</v>
      </c>
      <c r="F221" s="164">
        <v>0.2453922612820201</v>
      </c>
      <c r="G221" s="164">
        <v>4.078752178976166E-4</v>
      </c>
      <c r="H221" s="164">
        <v>1.1733996340311453E-2</v>
      </c>
      <c r="I221" s="516">
        <v>31.550959907620925</v>
      </c>
      <c r="J221" s="517">
        <v>4.2748393396796888E-3</v>
      </c>
    </row>
    <row r="222" spans="2:10" x14ac:dyDescent="0.2">
      <c r="B222" s="514"/>
      <c r="C222" s="515">
        <v>120</v>
      </c>
      <c r="D222" s="164">
        <v>6.0025662663760616E-2</v>
      </c>
      <c r="E222" s="164">
        <v>0.49728218875951191</v>
      </c>
      <c r="F222" s="164">
        <v>0.4063983716191843</v>
      </c>
      <c r="G222" s="164">
        <v>8.8025902612352011E-4</v>
      </c>
      <c r="H222" s="164">
        <v>2.5000128837762401E-2</v>
      </c>
      <c r="I222" s="516">
        <v>75.040113678471272</v>
      </c>
      <c r="J222" s="517">
        <v>5.4160196010833899E-3</v>
      </c>
    </row>
    <row r="223" spans="2:10" x14ac:dyDescent="0.2">
      <c r="B223" s="514"/>
      <c r="C223" s="515">
        <v>175</v>
      </c>
      <c r="D223" s="164">
        <v>9.0446029561010652E-2</v>
      </c>
      <c r="E223" s="164">
        <v>0.80410443548988664</v>
      </c>
      <c r="F223" s="164">
        <v>0.55132153611560486</v>
      </c>
      <c r="G223" s="164">
        <v>1.5639295620544912E-3</v>
      </c>
      <c r="H223" s="164">
        <v>2.9497275271170943E-2</v>
      </c>
      <c r="I223" s="163">
        <v>138.99477414224256</v>
      </c>
      <c r="J223" s="517">
        <v>8.1607997915644701E-3</v>
      </c>
    </row>
    <row r="224" spans="2:10" x14ac:dyDescent="0.2">
      <c r="B224" s="514"/>
      <c r="C224" s="515">
        <v>250</v>
      </c>
      <c r="D224" s="164">
        <v>8.5032469244940762E-2</v>
      </c>
      <c r="E224" s="164">
        <v>0.32071862506305238</v>
      </c>
      <c r="F224" s="164">
        <v>0.52305064369566634</v>
      </c>
      <c r="G224" s="164">
        <v>1.8229847125610719E-3</v>
      </c>
      <c r="H224" s="164">
        <v>1.7761431941471457E-2</v>
      </c>
      <c r="I224" s="163">
        <v>162.01842556231298</v>
      </c>
      <c r="J224" s="517">
        <v>7.6723452999466358E-3</v>
      </c>
    </row>
    <row r="225" spans="2:10" x14ac:dyDescent="0.2">
      <c r="B225" s="518" t="s">
        <v>565</v>
      </c>
      <c r="C225" s="519"/>
      <c r="D225" s="520">
        <v>6.3163705182344168E-2</v>
      </c>
      <c r="E225" s="520">
        <v>0.49328152703697326</v>
      </c>
      <c r="F225" s="520">
        <v>0.3918805922984932</v>
      </c>
      <c r="G225" s="520">
        <v>9.1561463184600806E-4</v>
      </c>
      <c r="H225" s="520">
        <v>2.1703254171073685E-2</v>
      </c>
      <c r="I225" s="521">
        <v>78.543296460184777</v>
      </c>
      <c r="J225" s="522">
        <v>5.6991594978285376E-3</v>
      </c>
    </row>
    <row r="226" spans="2:10" x14ac:dyDescent="0.2">
      <c r="B226" s="514" t="s">
        <v>566</v>
      </c>
      <c r="C226" s="515">
        <v>25</v>
      </c>
      <c r="D226" s="164">
        <v>1.9139716726990448E-2</v>
      </c>
      <c r="E226" s="164">
        <v>6.531764689271069E-2</v>
      </c>
      <c r="F226" s="164">
        <v>0.12096676143797709</v>
      </c>
      <c r="G226" s="164">
        <v>2.0127459116679985E-4</v>
      </c>
      <c r="H226" s="164">
        <v>4.5909253839611728E-3</v>
      </c>
      <c r="I226" s="516">
        <v>15.863256765045566</v>
      </c>
      <c r="J226" s="517">
        <v>1.7269459331378044E-3</v>
      </c>
    </row>
    <row r="227" spans="2:10" x14ac:dyDescent="0.2">
      <c r="B227" s="514"/>
      <c r="C227" s="515">
        <v>50</v>
      </c>
      <c r="D227" s="164">
        <v>4.4781351075297016E-2</v>
      </c>
      <c r="E227" s="164">
        <v>0.27956623785547541</v>
      </c>
      <c r="F227" s="164">
        <v>0.22568189924440149</v>
      </c>
      <c r="G227" s="164">
        <v>3.9231236243273462E-4</v>
      </c>
      <c r="H227" s="164">
        <v>1.0300910796256788E-2</v>
      </c>
      <c r="I227" s="516">
        <v>30.347098407863335</v>
      </c>
      <c r="J227" s="517">
        <v>4.0405500224212467E-3</v>
      </c>
    </row>
    <row r="228" spans="2:10" x14ac:dyDescent="0.2">
      <c r="B228" s="514"/>
      <c r="C228" s="515">
        <v>120</v>
      </c>
      <c r="D228" s="164">
        <v>3.9771125758962064E-2</v>
      </c>
      <c r="E228" s="164">
        <v>0.34130376592222555</v>
      </c>
      <c r="F228" s="164">
        <v>0.26868705961250411</v>
      </c>
      <c r="G228" s="164">
        <v>6.0679622290739095E-4</v>
      </c>
      <c r="H228" s="164">
        <v>1.5426111275088295E-2</v>
      </c>
      <c r="I228" s="516">
        <v>51.728017800841286</v>
      </c>
      <c r="J228" s="517">
        <v>3.5884842036352895E-3</v>
      </c>
    </row>
    <row r="229" spans="2:10" x14ac:dyDescent="0.2">
      <c r="B229" s="514"/>
      <c r="C229" s="515">
        <v>175</v>
      </c>
      <c r="D229" s="164">
        <v>6.1696049070305958E-2</v>
      </c>
      <c r="E229" s="164">
        <v>0.58428694194599429</v>
      </c>
      <c r="F229" s="164">
        <v>0.37080827665735677</v>
      </c>
      <c r="G229" s="164">
        <v>1.1407769925978061E-3</v>
      </c>
      <c r="H229" s="164">
        <v>1.8651784473069557E-2</v>
      </c>
      <c r="I229" s="163">
        <v>101.38694258961874</v>
      </c>
      <c r="J229" s="517">
        <v>5.5667334440442917E-3</v>
      </c>
    </row>
    <row r="230" spans="2:10" x14ac:dyDescent="0.2">
      <c r="B230" s="514"/>
      <c r="C230" s="515">
        <v>250</v>
      </c>
      <c r="D230" s="164">
        <v>8.6132577832864016E-2</v>
      </c>
      <c r="E230" s="164">
        <v>0.34624590960836449</v>
      </c>
      <c r="F230" s="164">
        <v>0.51432394969889594</v>
      </c>
      <c r="G230" s="164">
        <v>1.9323364211654653E-3</v>
      </c>
      <c r="H230" s="164">
        <v>1.7426011815546476E-2</v>
      </c>
      <c r="I230" s="163">
        <v>171.73702678022508</v>
      </c>
      <c r="J230" s="517">
        <v>7.7716057050412407E-3</v>
      </c>
    </row>
    <row r="231" spans="2:10" x14ac:dyDescent="0.2">
      <c r="B231" s="514"/>
      <c r="C231" s="515">
        <v>500</v>
      </c>
      <c r="D231" s="164">
        <v>0.1694299229130376</v>
      </c>
      <c r="E231" s="164">
        <v>0.67004635417632907</v>
      </c>
      <c r="F231" s="164">
        <v>0.93493984014796849</v>
      </c>
      <c r="G231" s="164">
        <v>3.8801929654411083E-3</v>
      </c>
      <c r="H231" s="164">
        <v>3.3681130092770774E-2</v>
      </c>
      <c r="I231" s="163">
        <v>344.85340611594995</v>
      </c>
      <c r="J231" s="517">
        <v>1.528739107481639E-2</v>
      </c>
    </row>
    <row r="232" spans="2:10" x14ac:dyDescent="0.2">
      <c r="B232" s="514"/>
      <c r="C232" s="515">
        <v>750</v>
      </c>
      <c r="D232" s="164">
        <v>0.25447723132392192</v>
      </c>
      <c r="E232" s="164">
        <v>1.0047130454407027</v>
      </c>
      <c r="F232" s="164">
        <v>1.4301724232526773</v>
      </c>
      <c r="G232" s="164">
        <v>5.8202908172302103E-3</v>
      </c>
      <c r="H232" s="164">
        <v>5.0959041608375541E-2</v>
      </c>
      <c r="I232" s="163">
        <v>517.28018471907114</v>
      </c>
      <c r="J232" s="517">
        <v>2.2961068015554892E-2</v>
      </c>
    </row>
    <row r="233" spans="2:10" x14ac:dyDescent="0.2">
      <c r="B233" s="518" t="s">
        <v>567</v>
      </c>
      <c r="C233" s="519"/>
      <c r="D233" s="520">
        <v>4.7173513538387016E-2</v>
      </c>
      <c r="E233" s="520">
        <v>0.3630072846450334</v>
      </c>
      <c r="F233" s="520">
        <v>0.30189616937872404</v>
      </c>
      <c r="G233" s="520">
        <v>7.7504122973982414E-4</v>
      </c>
      <c r="H233" s="520">
        <v>1.5978159652389738E-2</v>
      </c>
      <c r="I233" s="521">
        <v>66.797945427445612</v>
      </c>
      <c r="J233" s="522">
        <v>4.2563898479172583E-3</v>
      </c>
    </row>
    <row r="234" spans="2:10" x14ac:dyDescent="0.2">
      <c r="B234" s="514" t="s">
        <v>568</v>
      </c>
      <c r="C234" s="515">
        <v>15</v>
      </c>
      <c r="D234" s="164">
        <v>9.8532262578604774E-3</v>
      </c>
      <c r="E234" s="164">
        <v>5.1684170597756998E-2</v>
      </c>
      <c r="F234" s="164">
        <v>6.1704634375061039E-2</v>
      </c>
      <c r="G234" s="164">
        <v>1.3171642814845049E-4</v>
      </c>
      <c r="H234" s="164">
        <v>2.4111334684794807E-3</v>
      </c>
      <c r="I234" s="516">
        <v>8.4645853507794424</v>
      </c>
      <c r="J234" s="517">
        <v>8.890406541305181E-4</v>
      </c>
    </row>
    <row r="235" spans="2:10" x14ac:dyDescent="0.2">
      <c r="B235" s="514"/>
      <c r="C235" s="515">
        <v>25</v>
      </c>
      <c r="D235" s="164">
        <v>3.971147862311588E-2</v>
      </c>
      <c r="E235" s="164">
        <v>0.13554060628188694</v>
      </c>
      <c r="F235" s="164">
        <v>0.25094476700175294</v>
      </c>
      <c r="G235" s="164">
        <v>4.1766487205033542E-4</v>
      </c>
      <c r="H235" s="164">
        <v>9.3748891876330124E-3</v>
      </c>
      <c r="I235" s="516">
        <v>32.917828164999804</v>
      </c>
      <c r="J235" s="517">
        <v>3.583102950109926E-3</v>
      </c>
    </row>
    <row r="236" spans="2:10" x14ac:dyDescent="0.2">
      <c r="B236" s="514"/>
      <c r="C236" s="515">
        <v>50</v>
      </c>
      <c r="D236" s="164">
        <v>0.10641175346011747</v>
      </c>
      <c r="E236" s="164">
        <v>0.35685544614059517</v>
      </c>
      <c r="F236" s="164">
        <v>0.28825560986050391</v>
      </c>
      <c r="G236" s="164">
        <v>4.2554523255720932E-4</v>
      </c>
      <c r="H236" s="164">
        <v>2.3626907651340918E-2</v>
      </c>
      <c r="I236" s="516">
        <v>32.917826304672786</v>
      </c>
      <c r="J236" s="517">
        <v>9.6013612594589588E-3</v>
      </c>
    </row>
    <row r="237" spans="2:10" x14ac:dyDescent="0.2">
      <c r="B237" s="514"/>
      <c r="C237" s="515">
        <v>120</v>
      </c>
      <c r="D237" s="164">
        <v>9.0250802392676507E-2</v>
      </c>
      <c r="E237" s="164">
        <v>0.44695202592745309</v>
      </c>
      <c r="F237" s="164">
        <v>0.5550973988067115</v>
      </c>
      <c r="G237" s="164">
        <v>7.6125339828296437E-4</v>
      </c>
      <c r="H237" s="164">
        <v>4.417476599623487E-2</v>
      </c>
      <c r="I237" s="516">
        <v>64.895144195501203</v>
      </c>
      <c r="J237" s="517">
        <v>8.1431870852914662E-3</v>
      </c>
    </row>
    <row r="238" spans="2:10" x14ac:dyDescent="0.2">
      <c r="B238" s="514"/>
      <c r="C238" s="515">
        <v>175</v>
      </c>
      <c r="D238" s="164">
        <v>0.14239272724476312</v>
      </c>
      <c r="E238" s="164">
        <v>0.84126083756532033</v>
      </c>
      <c r="F238" s="164">
        <v>1.019370840018007</v>
      </c>
      <c r="G238" s="164">
        <v>1.619098664431031E-3</v>
      </c>
      <c r="H238" s="164">
        <v>5.6326876200454158E-2</v>
      </c>
      <c r="I238" s="163">
        <v>143.89793798844715</v>
      </c>
      <c r="J238" s="517">
        <v>1.2847867069634165E-2</v>
      </c>
    </row>
    <row r="239" spans="2:10" x14ac:dyDescent="0.2">
      <c r="B239" s="514"/>
      <c r="C239" s="515">
        <v>250</v>
      </c>
      <c r="D239" s="164">
        <v>0.16880439671867517</v>
      </c>
      <c r="E239" s="164">
        <v>0.56374507609875146</v>
      </c>
      <c r="F239" s="164">
        <v>1.4247695234324842</v>
      </c>
      <c r="G239" s="164">
        <v>2.5080156183604056E-3</v>
      </c>
      <c r="H239" s="164">
        <v>5.3295120781721467E-2</v>
      </c>
      <c r="I239" s="163">
        <v>222.90072207002751</v>
      </c>
      <c r="J239" s="517">
        <v>1.5230949770878284E-2</v>
      </c>
    </row>
    <row r="240" spans="2:10" x14ac:dyDescent="0.2">
      <c r="B240" s="514"/>
      <c r="C240" s="515">
        <v>500</v>
      </c>
      <c r="D240" s="164">
        <v>0.21986403438210977</v>
      </c>
      <c r="E240" s="164">
        <v>0.91073142097689841</v>
      </c>
      <c r="F240" s="164">
        <v>1.7914582696374501</v>
      </c>
      <c r="G240" s="164">
        <v>3.0555941201487165E-3</v>
      </c>
      <c r="H240" s="164">
        <v>6.7976684642536908E-2</v>
      </c>
      <c r="I240" s="163">
        <v>311.30852999078962</v>
      </c>
      <c r="J240" s="517">
        <v>1.9837983507712143E-2</v>
      </c>
    </row>
    <row r="241" spans="2:10" x14ac:dyDescent="0.2">
      <c r="B241" s="514"/>
      <c r="C241" s="515">
        <v>750</v>
      </c>
      <c r="D241" s="164">
        <v>0.41664342269099275</v>
      </c>
      <c r="E241" s="164">
        <v>1.7139299368439975</v>
      </c>
      <c r="F241" s="164">
        <v>3.4626988664565848</v>
      </c>
      <c r="G241" s="164">
        <v>5.900897586158583E-3</v>
      </c>
      <c r="H241" s="164">
        <v>0.12977687234701132</v>
      </c>
      <c r="I241" s="163">
        <v>586.87785159197767</v>
      </c>
      <c r="J241" s="517">
        <v>3.7593083717275128E-2</v>
      </c>
    </row>
    <row r="242" spans="2:10" x14ac:dyDescent="0.2">
      <c r="B242" s="518" t="s">
        <v>569</v>
      </c>
      <c r="C242" s="519"/>
      <c r="D242" s="520">
        <v>9.953322901451421E-2</v>
      </c>
      <c r="E242" s="520">
        <v>0.43169625592998329</v>
      </c>
      <c r="F242" s="520">
        <v>0.48381638132447535</v>
      </c>
      <c r="G242" s="520">
        <v>6.9603503145331338E-4</v>
      </c>
      <c r="H242" s="520">
        <v>3.6393811862782698E-2</v>
      </c>
      <c r="I242" s="521">
        <v>58.713330554381081</v>
      </c>
      <c r="J242" s="522">
        <v>8.9807244132111188E-3</v>
      </c>
    </row>
    <row r="243" spans="2:10" x14ac:dyDescent="0.2">
      <c r="B243" s="514" t="s">
        <v>570</v>
      </c>
      <c r="C243" s="515">
        <v>15</v>
      </c>
      <c r="D243" s="164">
        <v>8.2095967233595055E-3</v>
      </c>
      <c r="E243" s="164">
        <v>3.8956558564983756E-2</v>
      </c>
      <c r="F243" s="164">
        <v>5.0940308747014988E-2</v>
      </c>
      <c r="G243" s="164">
        <v>9.6592038274973143E-5</v>
      </c>
      <c r="H243" s="164">
        <v>2.6626366343041204E-3</v>
      </c>
      <c r="I243" s="516">
        <v>6.2073624193898089</v>
      </c>
      <c r="J243" s="517">
        <v>7.407386523694445E-4</v>
      </c>
    </row>
    <row r="244" spans="2:10" x14ac:dyDescent="0.2">
      <c r="B244" s="514"/>
      <c r="C244" s="515">
        <v>25</v>
      </c>
      <c r="D244" s="164">
        <v>1.5722159959807146E-2</v>
      </c>
      <c r="E244" s="164">
        <v>4.9805421920963718E-2</v>
      </c>
      <c r="F244" s="164">
        <v>9.1439731446949474E-2</v>
      </c>
      <c r="G244" s="164">
        <v>1.4319937310860133E-4</v>
      </c>
      <c r="H244" s="164">
        <v>4.4406903145501339E-3</v>
      </c>
      <c r="I244" s="516">
        <v>11.286112111963552</v>
      </c>
      <c r="J244" s="517">
        <v>1.4185852116793591E-3</v>
      </c>
    </row>
    <row r="245" spans="2:10" x14ac:dyDescent="0.2">
      <c r="B245" s="514"/>
      <c r="C245" s="515">
        <v>50</v>
      </c>
      <c r="D245" s="164">
        <v>4.904106100470234E-2</v>
      </c>
      <c r="E245" s="164">
        <v>0.22714162171456184</v>
      </c>
      <c r="F245" s="164">
        <v>0.20353404102611783</v>
      </c>
      <c r="G245" s="164">
        <v>3.355729078379724E-4</v>
      </c>
      <c r="H245" s="164">
        <v>1.261737750548448E-2</v>
      </c>
      <c r="I245" s="516">
        <v>25.95805950691328</v>
      </c>
      <c r="J245" s="517">
        <v>4.4248970194158289E-3</v>
      </c>
    </row>
    <row r="246" spans="2:10" x14ac:dyDescent="0.2">
      <c r="B246" s="514"/>
      <c r="C246" s="515">
        <v>120</v>
      </c>
      <c r="D246" s="164">
        <v>3.5404831872271128E-2</v>
      </c>
      <c r="E246" s="164">
        <v>0.25216997210066289</v>
      </c>
      <c r="F246" s="164">
        <v>0.25524165684435213</v>
      </c>
      <c r="G246" s="164">
        <v>4.6337156434710428E-4</v>
      </c>
      <c r="H246" s="164">
        <v>1.7603529463015726E-2</v>
      </c>
      <c r="I246" s="516">
        <v>39.501391261271905</v>
      </c>
      <c r="J246" s="517">
        <v>3.1945212225004808E-3</v>
      </c>
    </row>
    <row r="247" spans="2:10" x14ac:dyDescent="0.2">
      <c r="B247" s="514"/>
      <c r="C247" s="515">
        <v>175</v>
      </c>
      <c r="D247" s="164">
        <v>6.4611109946055637E-2</v>
      </c>
      <c r="E247" s="164">
        <v>0.5397669984006368</v>
      </c>
      <c r="F247" s="164">
        <v>0.49336814500368509</v>
      </c>
      <c r="G247" s="164">
        <v>1.1047967650311167E-3</v>
      </c>
      <c r="H247" s="164">
        <v>2.5062179582688547E-2</v>
      </c>
      <c r="I247" s="516">
        <v>98.189181699305493</v>
      </c>
      <c r="J247" s="517">
        <v>5.829756400209574E-3</v>
      </c>
    </row>
    <row r="248" spans="2:10" x14ac:dyDescent="0.2">
      <c r="B248" s="514"/>
      <c r="C248" s="515">
        <v>250</v>
      </c>
      <c r="D248" s="164">
        <v>5.8234994770481177E-2</v>
      </c>
      <c r="E248" s="164">
        <v>0.23187198760569463</v>
      </c>
      <c r="F248" s="164">
        <v>0.51499821461430062</v>
      </c>
      <c r="G248" s="164">
        <v>1.3397244763679375E-3</v>
      </c>
      <c r="H248" s="164">
        <v>1.5933034095249057E-2</v>
      </c>
      <c r="I248" s="163">
        <v>119.0684544739044</v>
      </c>
      <c r="J248" s="517">
        <v>5.2544510207870486E-3</v>
      </c>
    </row>
    <row r="249" spans="2:10" x14ac:dyDescent="0.2">
      <c r="B249" s="514"/>
      <c r="C249" s="515">
        <v>500</v>
      </c>
      <c r="D249" s="164">
        <v>7.8569367575126975E-2</v>
      </c>
      <c r="E249" s="164">
        <v>0.31493996953574827</v>
      </c>
      <c r="F249" s="164">
        <v>0.6444898507472353</v>
      </c>
      <c r="G249" s="164">
        <v>1.6450367720539866E-3</v>
      </c>
      <c r="H249" s="164">
        <v>2.1478275235173216E-2</v>
      </c>
      <c r="I249" s="163">
        <v>167.59881371370071</v>
      </c>
      <c r="J249" s="517">
        <v>7.0891874000539694E-3</v>
      </c>
    </row>
    <row r="250" spans="2:10" ht="10.8" thickBot="1" x14ac:dyDescent="0.25">
      <c r="B250" s="525" t="s">
        <v>571</v>
      </c>
      <c r="C250" s="526"/>
      <c r="D250" s="527">
        <v>3.4365584504546486E-2</v>
      </c>
      <c r="E250" s="527">
        <v>0.18425167645332788</v>
      </c>
      <c r="F250" s="527">
        <v>0.1832418480684625</v>
      </c>
      <c r="G250" s="527">
        <v>3.1746437372189051E-4</v>
      </c>
      <c r="H250" s="527">
        <v>1.1652767259201691E-2</v>
      </c>
      <c r="I250" s="528">
        <v>25.602677541248202</v>
      </c>
      <c r="J250" s="529">
        <v>3.1007518560840545E-3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workbookViewId="0">
      <selection activeCell="I19" sqref="I19:J19"/>
    </sheetView>
  </sheetViews>
  <sheetFormatPr defaultRowHeight="10.199999999999999" x14ac:dyDescent="0.2"/>
  <cols>
    <col min="1" max="1" width="9.109375" style="499"/>
    <col min="2" max="2" width="12.5546875" style="499" customWidth="1"/>
    <col min="3" max="3" width="9.109375" style="500"/>
    <col min="4" max="257" width="9.109375" style="499"/>
    <col min="258" max="258" width="12.5546875" style="499" customWidth="1"/>
    <col min="259" max="513" width="9.109375" style="499"/>
    <col min="514" max="514" width="12.5546875" style="499" customWidth="1"/>
    <col min="515" max="769" width="9.109375" style="499"/>
    <col min="770" max="770" width="12.5546875" style="499" customWidth="1"/>
    <col min="771" max="1025" width="9.109375" style="499"/>
    <col min="1026" max="1026" width="12.5546875" style="499" customWidth="1"/>
    <col min="1027" max="1281" width="9.109375" style="499"/>
    <col min="1282" max="1282" width="12.5546875" style="499" customWidth="1"/>
    <col min="1283" max="1537" width="9.109375" style="499"/>
    <col min="1538" max="1538" width="12.5546875" style="499" customWidth="1"/>
    <col min="1539" max="1793" width="9.109375" style="499"/>
    <col min="1794" max="1794" width="12.5546875" style="499" customWidth="1"/>
    <col min="1795" max="2049" width="9.109375" style="499"/>
    <col min="2050" max="2050" width="12.5546875" style="499" customWidth="1"/>
    <col min="2051" max="2305" width="9.109375" style="499"/>
    <col min="2306" max="2306" width="12.5546875" style="499" customWidth="1"/>
    <col min="2307" max="2561" width="9.109375" style="499"/>
    <col min="2562" max="2562" width="12.5546875" style="499" customWidth="1"/>
    <col min="2563" max="2817" width="9.109375" style="499"/>
    <col min="2818" max="2818" width="12.5546875" style="499" customWidth="1"/>
    <col min="2819" max="3073" width="9.109375" style="499"/>
    <col min="3074" max="3074" width="12.5546875" style="499" customWidth="1"/>
    <col min="3075" max="3329" width="9.109375" style="499"/>
    <col min="3330" max="3330" width="12.5546875" style="499" customWidth="1"/>
    <col min="3331" max="3585" width="9.109375" style="499"/>
    <col min="3586" max="3586" width="12.5546875" style="499" customWidth="1"/>
    <col min="3587" max="3841" width="9.109375" style="499"/>
    <col min="3842" max="3842" width="12.5546875" style="499" customWidth="1"/>
    <col min="3843" max="4097" width="9.109375" style="499"/>
    <col min="4098" max="4098" width="12.5546875" style="499" customWidth="1"/>
    <col min="4099" max="4353" width="9.109375" style="499"/>
    <col min="4354" max="4354" width="12.5546875" style="499" customWidth="1"/>
    <col min="4355" max="4609" width="9.109375" style="499"/>
    <col min="4610" max="4610" width="12.5546875" style="499" customWidth="1"/>
    <col min="4611" max="4865" width="9.109375" style="499"/>
    <col min="4866" max="4866" width="12.5546875" style="499" customWidth="1"/>
    <col min="4867" max="5121" width="9.109375" style="499"/>
    <col min="5122" max="5122" width="12.5546875" style="499" customWidth="1"/>
    <col min="5123" max="5377" width="9.109375" style="499"/>
    <col min="5378" max="5378" width="12.5546875" style="499" customWidth="1"/>
    <col min="5379" max="5633" width="9.109375" style="499"/>
    <col min="5634" max="5634" width="12.5546875" style="499" customWidth="1"/>
    <col min="5635" max="5889" width="9.109375" style="499"/>
    <col min="5890" max="5890" width="12.5546875" style="499" customWidth="1"/>
    <col min="5891" max="6145" width="9.109375" style="499"/>
    <col min="6146" max="6146" width="12.5546875" style="499" customWidth="1"/>
    <col min="6147" max="6401" width="9.109375" style="499"/>
    <col min="6402" max="6402" width="12.5546875" style="499" customWidth="1"/>
    <col min="6403" max="6657" width="9.109375" style="499"/>
    <col min="6658" max="6658" width="12.5546875" style="499" customWidth="1"/>
    <col min="6659" max="6913" width="9.109375" style="499"/>
    <col min="6914" max="6914" width="12.5546875" style="499" customWidth="1"/>
    <col min="6915" max="7169" width="9.109375" style="499"/>
    <col min="7170" max="7170" width="12.5546875" style="499" customWidth="1"/>
    <col min="7171" max="7425" width="9.109375" style="499"/>
    <col min="7426" max="7426" width="12.5546875" style="499" customWidth="1"/>
    <col min="7427" max="7681" width="9.109375" style="499"/>
    <col min="7682" max="7682" width="12.5546875" style="499" customWidth="1"/>
    <col min="7683" max="7937" width="9.109375" style="499"/>
    <col min="7938" max="7938" width="12.5546875" style="499" customWidth="1"/>
    <col min="7939" max="8193" width="9.109375" style="499"/>
    <col min="8194" max="8194" width="12.5546875" style="499" customWidth="1"/>
    <col min="8195" max="8449" width="9.109375" style="499"/>
    <col min="8450" max="8450" width="12.5546875" style="499" customWidth="1"/>
    <col min="8451" max="8705" width="9.109375" style="499"/>
    <col min="8706" max="8706" width="12.5546875" style="499" customWidth="1"/>
    <col min="8707" max="8961" width="9.109375" style="499"/>
    <col min="8962" max="8962" width="12.5546875" style="499" customWidth="1"/>
    <col min="8963" max="9217" width="9.109375" style="499"/>
    <col min="9218" max="9218" width="12.5546875" style="499" customWidth="1"/>
    <col min="9219" max="9473" width="9.109375" style="499"/>
    <col min="9474" max="9474" width="12.5546875" style="499" customWidth="1"/>
    <col min="9475" max="9729" width="9.109375" style="499"/>
    <col min="9730" max="9730" width="12.5546875" style="499" customWidth="1"/>
    <col min="9731" max="9985" width="9.109375" style="499"/>
    <col min="9986" max="9986" width="12.5546875" style="499" customWidth="1"/>
    <col min="9987" max="10241" width="9.109375" style="499"/>
    <col min="10242" max="10242" width="12.5546875" style="499" customWidth="1"/>
    <col min="10243" max="10497" width="9.109375" style="499"/>
    <col min="10498" max="10498" width="12.5546875" style="499" customWidth="1"/>
    <col min="10499" max="10753" width="9.109375" style="499"/>
    <col min="10754" max="10754" width="12.5546875" style="499" customWidth="1"/>
    <col min="10755" max="11009" width="9.109375" style="499"/>
    <col min="11010" max="11010" width="12.5546875" style="499" customWidth="1"/>
    <col min="11011" max="11265" width="9.109375" style="499"/>
    <col min="11266" max="11266" width="12.5546875" style="499" customWidth="1"/>
    <col min="11267" max="11521" width="9.109375" style="499"/>
    <col min="11522" max="11522" width="12.5546875" style="499" customWidth="1"/>
    <col min="11523" max="11777" width="9.109375" style="499"/>
    <col min="11778" max="11778" width="12.5546875" style="499" customWidth="1"/>
    <col min="11779" max="12033" width="9.109375" style="499"/>
    <col min="12034" max="12034" width="12.5546875" style="499" customWidth="1"/>
    <col min="12035" max="12289" width="9.109375" style="499"/>
    <col min="12290" max="12290" width="12.5546875" style="499" customWidth="1"/>
    <col min="12291" max="12545" width="9.109375" style="499"/>
    <col min="12546" max="12546" width="12.5546875" style="499" customWidth="1"/>
    <col min="12547" max="12801" width="9.109375" style="499"/>
    <col min="12802" max="12802" width="12.5546875" style="499" customWidth="1"/>
    <col min="12803" max="13057" width="9.109375" style="499"/>
    <col min="13058" max="13058" width="12.5546875" style="499" customWidth="1"/>
    <col min="13059" max="13313" width="9.109375" style="499"/>
    <col min="13314" max="13314" width="12.5546875" style="499" customWidth="1"/>
    <col min="13315" max="13569" width="9.109375" style="499"/>
    <col min="13570" max="13570" width="12.5546875" style="499" customWidth="1"/>
    <col min="13571" max="13825" width="9.109375" style="499"/>
    <col min="13826" max="13826" width="12.5546875" style="499" customWidth="1"/>
    <col min="13827" max="14081" width="9.109375" style="499"/>
    <col min="14082" max="14082" width="12.5546875" style="499" customWidth="1"/>
    <col min="14083" max="14337" width="9.109375" style="499"/>
    <col min="14338" max="14338" width="12.5546875" style="499" customWidth="1"/>
    <col min="14339" max="14593" width="9.109375" style="499"/>
    <col min="14594" max="14594" width="12.5546875" style="499" customWidth="1"/>
    <col min="14595" max="14849" width="9.109375" style="499"/>
    <col min="14850" max="14850" width="12.5546875" style="499" customWidth="1"/>
    <col min="14851" max="15105" width="9.109375" style="499"/>
    <col min="15106" max="15106" width="12.5546875" style="499" customWidth="1"/>
    <col min="15107" max="15361" width="9.109375" style="499"/>
    <col min="15362" max="15362" width="12.5546875" style="499" customWidth="1"/>
    <col min="15363" max="15617" width="9.109375" style="499"/>
    <col min="15618" max="15618" width="12.5546875" style="499" customWidth="1"/>
    <col min="15619" max="15873" width="9.109375" style="499"/>
    <col min="15874" max="15874" width="12.5546875" style="499" customWidth="1"/>
    <col min="15875" max="16129" width="9.109375" style="499"/>
    <col min="16130" max="16130" width="12.5546875" style="499" customWidth="1"/>
    <col min="16131" max="16384" width="9.109375" style="499"/>
  </cols>
  <sheetData>
    <row r="1" spans="1:10" ht="13.2" x14ac:dyDescent="0.25">
      <c r="A1" s="498" t="s">
        <v>498</v>
      </c>
    </row>
    <row r="2" spans="1:10" ht="10.8" thickBot="1" x14ac:dyDescent="0.25"/>
    <row r="3" spans="1:10" ht="10.8" thickBot="1" x14ac:dyDescent="0.25">
      <c r="A3" s="501" t="str">
        <f ca="1">MID(CELL("filename",A3),FIND("]",CELL("filename",A3))+1,255)</f>
        <v>2020</v>
      </c>
      <c r="C3" s="752"/>
    </row>
    <row r="4" spans="1:10" ht="10.8" thickBot="1" x14ac:dyDescent="0.25">
      <c r="C4" s="752"/>
    </row>
    <row r="5" spans="1:10" ht="10.8" thickBot="1" x14ac:dyDescent="0.25">
      <c r="A5" s="503" t="s">
        <v>499</v>
      </c>
      <c r="B5" s="504" t="s">
        <v>500</v>
      </c>
    </row>
    <row r="6" spans="1:10" x14ac:dyDescent="0.2">
      <c r="B6" s="505"/>
      <c r="C6" s="506"/>
    </row>
    <row r="7" spans="1:10" ht="10.8" thickBot="1" x14ac:dyDescent="0.25">
      <c r="B7" s="507"/>
      <c r="C7" s="506"/>
      <c r="D7" s="508" t="s">
        <v>501</v>
      </c>
      <c r="E7" s="508" t="s">
        <v>501</v>
      </c>
      <c r="F7" s="508" t="s">
        <v>501</v>
      </c>
      <c r="G7" s="508" t="s">
        <v>501</v>
      </c>
      <c r="H7" s="508" t="s">
        <v>501</v>
      </c>
      <c r="I7" s="508" t="s">
        <v>501</v>
      </c>
      <c r="J7" s="508" t="s">
        <v>501</v>
      </c>
    </row>
    <row r="8" spans="1:10" ht="10.8" thickBot="1" x14ac:dyDescent="0.25">
      <c r="B8" s="509" t="s">
        <v>502</v>
      </c>
      <c r="C8" s="510" t="s">
        <v>503</v>
      </c>
      <c r="D8" s="511" t="s">
        <v>68</v>
      </c>
      <c r="E8" s="511" t="s">
        <v>66</v>
      </c>
      <c r="F8" s="511" t="s">
        <v>362</v>
      </c>
      <c r="G8" s="511" t="s">
        <v>359</v>
      </c>
      <c r="H8" s="511" t="s">
        <v>360</v>
      </c>
      <c r="I8" s="512" t="s">
        <v>72</v>
      </c>
      <c r="J8" s="513" t="s">
        <v>73</v>
      </c>
    </row>
    <row r="9" spans="1:10" x14ac:dyDescent="0.2">
      <c r="B9" s="514" t="s">
        <v>504</v>
      </c>
      <c r="C9" s="515">
        <v>15</v>
      </c>
      <c r="D9" s="164">
        <v>1.007218366179184E-2</v>
      </c>
      <c r="E9" s="164">
        <v>5.2832707275771981E-2</v>
      </c>
      <c r="F9" s="164">
        <v>6.3075857787824499E-2</v>
      </c>
      <c r="G9" s="164">
        <v>1.3464345042543799E-4</v>
      </c>
      <c r="H9" s="164">
        <v>2.4632741916662572E-3</v>
      </c>
      <c r="I9" s="516">
        <v>8.6526872597573377</v>
      </c>
      <c r="J9" s="517">
        <v>9.0879690362755529E-4</v>
      </c>
    </row>
    <row r="10" spans="1:10" x14ac:dyDescent="0.2">
      <c r="B10" s="514"/>
      <c r="C10" s="515">
        <v>25</v>
      </c>
      <c r="D10" s="164">
        <v>1.376972026827776E-2</v>
      </c>
      <c r="E10" s="164">
        <v>4.5937272535685005E-2</v>
      </c>
      <c r="F10" s="164">
        <v>8.5373919869001294E-2</v>
      </c>
      <c r="G10" s="164">
        <v>1.3906251990842148E-4</v>
      </c>
      <c r="H10" s="164">
        <v>3.5118345994217637E-3</v>
      </c>
      <c r="I10" s="516">
        <v>10.960067395830453</v>
      </c>
      <c r="J10" s="517">
        <v>1.2424199286228549E-3</v>
      </c>
    </row>
    <row r="11" spans="1:10" x14ac:dyDescent="0.2">
      <c r="B11" s="514"/>
      <c r="C11" s="515">
        <v>50</v>
      </c>
      <c r="D11" s="164">
        <v>2.6062329596634841E-2</v>
      </c>
      <c r="E11" s="164">
        <v>0.14360672959384232</v>
      </c>
      <c r="F11" s="164">
        <v>0.14223270275833938</v>
      </c>
      <c r="G11" s="164">
        <v>2.5354389373072024E-4</v>
      </c>
      <c r="H11" s="164">
        <v>7.1164205060345537E-3</v>
      </c>
      <c r="I11" s="516">
        <v>19.612750245595638</v>
      </c>
      <c r="J11" s="517">
        <v>2.3515617286351221E-3</v>
      </c>
    </row>
    <row r="12" spans="1:10" x14ac:dyDescent="0.2">
      <c r="B12" s="514"/>
      <c r="C12" s="515">
        <v>120</v>
      </c>
      <c r="D12" s="164">
        <v>2.5903941325758444E-2</v>
      </c>
      <c r="E12" s="164">
        <v>0.22924175053929893</v>
      </c>
      <c r="F12" s="164">
        <v>0.21664212361290214</v>
      </c>
      <c r="G12" s="164">
        <v>4.4660198806364737E-4</v>
      </c>
      <c r="H12" s="164">
        <v>1.2728470023034597E-2</v>
      </c>
      <c r="I12" s="516">
        <v>38.071813147043628</v>
      </c>
      <c r="J12" s="517">
        <v>2.3372706875200077E-3</v>
      </c>
    </row>
    <row r="13" spans="1:10" x14ac:dyDescent="0.2">
      <c r="B13" s="514"/>
      <c r="C13" s="515">
        <v>500</v>
      </c>
      <c r="D13" s="164">
        <v>7.5070549243862861E-2</v>
      </c>
      <c r="E13" s="164">
        <v>0.38043571590141884</v>
      </c>
      <c r="F13" s="164">
        <v>0.69588339753000272</v>
      </c>
      <c r="G13" s="164">
        <v>2.0892521190909149E-3</v>
      </c>
      <c r="H13" s="164">
        <v>2.1667427392448649E-2</v>
      </c>
      <c r="I13" s="163">
        <v>212.85612194258334</v>
      </c>
      <c r="J13" s="517">
        <v>6.7734951277459016E-3</v>
      </c>
    </row>
    <row r="14" spans="1:10" x14ac:dyDescent="0.2">
      <c r="B14" s="514"/>
      <c r="C14" s="515">
        <v>750</v>
      </c>
      <c r="D14" s="164">
        <v>0.13732489116159036</v>
      </c>
      <c r="E14" s="164">
        <v>0.68767095274528423</v>
      </c>
      <c r="F14" s="164">
        <v>1.2875591967602398</v>
      </c>
      <c r="G14" s="164">
        <v>3.8686154662314603E-3</v>
      </c>
      <c r="H14" s="164">
        <v>3.9621254190268088E-2</v>
      </c>
      <c r="I14" s="163">
        <v>384.75613553036123</v>
      </c>
      <c r="J14" s="517">
        <v>1.239060465952589E-2</v>
      </c>
    </row>
    <row r="15" spans="1:10" x14ac:dyDescent="0.2">
      <c r="B15" s="518" t="s">
        <v>505</v>
      </c>
      <c r="C15" s="519"/>
      <c r="D15" s="520">
        <v>2.6128360146502199E-2</v>
      </c>
      <c r="E15" s="520">
        <v>0.16961896508429491</v>
      </c>
      <c r="F15" s="520">
        <v>0.18655105545201486</v>
      </c>
      <c r="G15" s="520">
        <v>3.9920784852766556E-4</v>
      </c>
      <c r="H15" s="520">
        <v>9.178560812281758E-3</v>
      </c>
      <c r="I15" s="521">
        <v>34.72169301898181</v>
      </c>
      <c r="J15" s="522">
        <v>2.3575197048343716E-3</v>
      </c>
    </row>
    <row r="16" spans="1:10" x14ac:dyDescent="0.2">
      <c r="B16" s="514" t="s">
        <v>506</v>
      </c>
      <c r="C16" s="515">
        <v>15</v>
      </c>
      <c r="D16" s="164">
        <v>9.3338465457752547E-3</v>
      </c>
      <c r="E16" s="164">
        <v>4.511984316801293E-2</v>
      </c>
      <c r="F16" s="164">
        <v>5.7911684796938166E-2</v>
      </c>
      <c r="G16" s="164">
        <v>1.123980384114821E-4</v>
      </c>
      <c r="H16" s="164">
        <v>2.9140581889643257E-3</v>
      </c>
      <c r="I16" s="516">
        <v>7.2231121543187502</v>
      </c>
      <c r="J16" s="517">
        <v>8.4217780537774707E-4</v>
      </c>
    </row>
    <row r="17" spans="2:10" x14ac:dyDescent="0.2">
      <c r="B17" s="514"/>
      <c r="C17" s="515">
        <v>25</v>
      </c>
      <c r="D17" s="164">
        <v>1.9636247314260849E-2</v>
      </c>
      <c r="E17" s="164">
        <v>6.3015799590607338E-2</v>
      </c>
      <c r="F17" s="164">
        <v>0.1155324569617454</v>
      </c>
      <c r="G17" s="164">
        <v>1.8329522037464194E-4</v>
      </c>
      <c r="H17" s="164">
        <v>5.4232411161560549E-3</v>
      </c>
      <c r="I17" s="516">
        <v>14.446226920158903</v>
      </c>
      <c r="J17" s="517">
        <v>1.7717471806610377E-3</v>
      </c>
    </row>
    <row r="18" spans="2:10" x14ac:dyDescent="0.2">
      <c r="B18" s="514"/>
      <c r="C18" s="515">
        <v>50</v>
      </c>
      <c r="D18" s="164">
        <v>3.9846146709456395E-2</v>
      </c>
      <c r="E18" s="164">
        <v>0.20302332980219229</v>
      </c>
      <c r="F18" s="164">
        <v>0.17249233406782444</v>
      </c>
      <c r="G18" s="164">
        <v>2.87911782171829E-4</v>
      </c>
      <c r="H18" s="164">
        <v>9.9379645177759754E-3</v>
      </c>
      <c r="I18" s="516">
        <v>22.271257718128961</v>
      </c>
      <c r="J18" s="517">
        <v>3.5952550833409889E-3</v>
      </c>
    </row>
    <row r="19" spans="2:10" x14ac:dyDescent="0.2">
      <c r="B19" s="514"/>
      <c r="C19" s="515">
        <v>120</v>
      </c>
      <c r="D19" s="164">
        <v>4.0825596307371675E-2</v>
      </c>
      <c r="E19" s="164">
        <v>0.30580511519864534</v>
      </c>
      <c r="F19" s="164">
        <v>0.28261435855920636</v>
      </c>
      <c r="G19" s="164">
        <v>5.5075022584655784E-4</v>
      </c>
      <c r="H19" s="164">
        <v>1.88068610226984E-2</v>
      </c>
      <c r="I19" s="516">
        <v>46.950231811934934</v>
      </c>
      <c r="J19" s="517">
        <v>3.6836279474416135E-3</v>
      </c>
    </row>
    <row r="20" spans="2:10" x14ac:dyDescent="0.2">
      <c r="B20" s="514"/>
      <c r="C20" s="515">
        <v>175</v>
      </c>
      <c r="D20" s="164">
        <v>5.8737909872584773E-2</v>
      </c>
      <c r="E20" s="164">
        <v>0.49892853596598957</v>
      </c>
      <c r="F20" s="164">
        <v>0.40130429889469632</v>
      </c>
      <c r="G20" s="164">
        <v>9.9558700291373331E-4</v>
      </c>
      <c r="H20" s="164">
        <v>2.1010164357604298E-2</v>
      </c>
      <c r="I20" s="516">
        <v>88.48314468261789</v>
      </c>
      <c r="J20" s="517">
        <v>5.2998263322787944E-3</v>
      </c>
    </row>
    <row r="21" spans="2:10" x14ac:dyDescent="0.2">
      <c r="B21" s="514"/>
      <c r="C21" s="515">
        <v>250</v>
      </c>
      <c r="D21" s="164">
        <v>6.6942452117223161E-2</v>
      </c>
      <c r="E21" s="164">
        <v>0.25923734690592593</v>
      </c>
      <c r="F21" s="164">
        <v>0.50672679754771766</v>
      </c>
      <c r="G21" s="164">
        <v>1.4764479761061921E-3</v>
      </c>
      <c r="H21" s="164">
        <v>1.6262415683268854E-2</v>
      </c>
      <c r="I21" s="163">
        <v>131.21981116180137</v>
      </c>
      <c r="J21" s="517">
        <v>6.0401092339983564E-3</v>
      </c>
    </row>
    <row r="22" spans="2:10" x14ac:dyDescent="0.2">
      <c r="B22" s="514"/>
      <c r="C22" s="515">
        <v>500</v>
      </c>
      <c r="D22" s="164">
        <v>0.11455601744502873</v>
      </c>
      <c r="E22" s="164">
        <v>0.43948868042582284</v>
      </c>
      <c r="F22" s="164">
        <v>0.79699926611123362</v>
      </c>
      <c r="G22" s="164">
        <v>2.2746189305031281E-3</v>
      </c>
      <c r="H22" s="164">
        <v>2.7638258236064701E-2</v>
      </c>
      <c r="I22" s="163">
        <v>231.74156922409185</v>
      </c>
      <c r="J22" s="517">
        <v>1.0336208981136781E-2</v>
      </c>
    </row>
    <row r="23" spans="2:10" x14ac:dyDescent="0.2">
      <c r="B23" s="514"/>
      <c r="C23" s="515">
        <v>750</v>
      </c>
      <c r="D23" s="164">
        <v>0.17768445913273853</v>
      </c>
      <c r="E23" s="164">
        <v>0.67920992412775882</v>
      </c>
      <c r="F23" s="164">
        <v>1.2615216205066631</v>
      </c>
      <c r="G23" s="164">
        <v>3.6010600521551371E-3</v>
      </c>
      <c r="H23" s="164">
        <v>4.3231020877848143E-2</v>
      </c>
      <c r="I23" s="163">
        <v>358.14606300305047</v>
      </c>
      <c r="J23" s="517">
        <v>1.6032182476655922E-2</v>
      </c>
    </row>
    <row r="24" spans="2:10" x14ac:dyDescent="0.2">
      <c r="B24" s="514"/>
      <c r="C24" s="515">
        <v>1000</v>
      </c>
      <c r="D24" s="164">
        <v>0.26411109940552857</v>
      </c>
      <c r="E24" s="164">
        <v>0.9959232242855125</v>
      </c>
      <c r="F24" s="164">
        <v>3.2946062686831383</v>
      </c>
      <c r="G24" s="164">
        <v>4.8901783468090999E-3</v>
      </c>
      <c r="H24" s="164">
        <v>8.039554150752902E-2</v>
      </c>
      <c r="I24" s="163">
        <v>486.35622671291321</v>
      </c>
      <c r="J24" s="517">
        <v>2.3830316721129861E-2</v>
      </c>
    </row>
    <row r="25" spans="2:10" x14ac:dyDescent="0.2">
      <c r="B25" s="518" t="s">
        <v>507</v>
      </c>
      <c r="C25" s="519"/>
      <c r="D25" s="520">
        <v>4.8262102111362747E-2</v>
      </c>
      <c r="E25" s="520">
        <v>0.30774658219030121</v>
      </c>
      <c r="F25" s="520">
        <v>0.32545556422776889</v>
      </c>
      <c r="G25" s="520">
        <v>7.1132453983781371E-4</v>
      </c>
      <c r="H25" s="520">
        <v>1.8476674813257012E-2</v>
      </c>
      <c r="I25" s="521">
        <v>63.607321629931029</v>
      </c>
      <c r="J25" s="522">
        <v>4.3546121788683081E-3</v>
      </c>
    </row>
    <row r="26" spans="2:10" x14ac:dyDescent="0.2">
      <c r="B26" s="514" t="s">
        <v>508</v>
      </c>
      <c r="C26" s="515">
        <v>15</v>
      </c>
      <c r="D26" s="164">
        <v>1.2042826031952987E-2</v>
      </c>
      <c r="E26" s="164">
        <v>6.3169527326655664E-2</v>
      </c>
      <c r="F26" s="164">
        <v>7.5416765979719136E-2</v>
      </c>
      <c r="G26" s="164">
        <v>1.6098671397436515E-4</v>
      </c>
      <c r="H26" s="164">
        <v>2.9469402967142386E-3</v>
      </c>
      <c r="I26" s="516">
        <v>10.345603814831451</v>
      </c>
      <c r="J26" s="517">
        <v>1.0866049186487843E-3</v>
      </c>
    </row>
    <row r="27" spans="2:10" x14ac:dyDescent="0.2">
      <c r="B27" s="514"/>
      <c r="C27" s="515">
        <v>25</v>
      </c>
      <c r="D27" s="164">
        <v>1.9288427417618128E-2</v>
      </c>
      <c r="E27" s="164">
        <v>6.5833980882409174E-2</v>
      </c>
      <c r="F27" s="164">
        <v>0.12188743602331373</v>
      </c>
      <c r="G27" s="164">
        <v>2.0286572867148414E-4</v>
      </c>
      <c r="H27" s="164">
        <v>4.5519929918732141E-3</v>
      </c>
      <c r="I27" s="516">
        <v>15.988652402216495</v>
      </c>
      <c r="J27" s="517">
        <v>1.7403633972913604E-3</v>
      </c>
    </row>
    <row r="28" spans="2:10" x14ac:dyDescent="0.2">
      <c r="B28" s="514"/>
      <c r="C28" s="515">
        <v>50</v>
      </c>
      <c r="D28" s="164">
        <v>1.9598687878208964E-2</v>
      </c>
      <c r="E28" s="164">
        <v>0.2204559140973136</v>
      </c>
      <c r="F28" s="164">
        <v>0.17561454859559655</v>
      </c>
      <c r="G28" s="164">
        <v>4.0122852342186195E-4</v>
      </c>
      <c r="H28" s="164">
        <v>1.9543899687881681E-3</v>
      </c>
      <c r="I28" s="516">
        <v>31.036811239840478</v>
      </c>
      <c r="J28" s="517">
        <v>1.7683581913695878E-3</v>
      </c>
    </row>
    <row r="29" spans="2:10" x14ac:dyDescent="0.2">
      <c r="B29" s="514"/>
      <c r="C29" s="515">
        <v>120</v>
      </c>
      <c r="D29" s="164">
        <v>2.7991404392950472E-2</v>
      </c>
      <c r="E29" s="164">
        <v>0.4662215930715663</v>
      </c>
      <c r="F29" s="164">
        <v>0.23291494276550281</v>
      </c>
      <c r="G29" s="164">
        <v>9.0467776054069422E-4</v>
      </c>
      <c r="H29" s="164">
        <v>3.9698271204785477E-3</v>
      </c>
      <c r="I29" s="516">
        <v>77.121793273199756</v>
      </c>
      <c r="J29" s="517">
        <v>2.5256197261084475E-3</v>
      </c>
    </row>
    <row r="30" spans="2:10" x14ac:dyDescent="0.2">
      <c r="B30" s="514"/>
      <c r="C30" s="515">
        <v>175</v>
      </c>
      <c r="D30" s="164">
        <v>4.0192827866014462E-2</v>
      </c>
      <c r="E30" s="164">
        <v>0.75424176187633241</v>
      </c>
      <c r="F30" s="164">
        <v>0.18622040624980635</v>
      </c>
      <c r="G30" s="164">
        <v>1.5873514541937565E-3</v>
      </c>
      <c r="H30" s="164">
        <v>5.0643087094739388E-3</v>
      </c>
      <c r="I30" s="163">
        <v>141.07639837423059</v>
      </c>
      <c r="J30" s="517">
        <v>3.6265341557572116E-3</v>
      </c>
    </row>
    <row r="31" spans="2:10" x14ac:dyDescent="0.2">
      <c r="B31" s="514"/>
      <c r="C31" s="515">
        <v>250</v>
      </c>
      <c r="D31" s="164">
        <v>4.7411667616486464E-2</v>
      </c>
      <c r="E31" s="164">
        <v>0.34262250280453616</v>
      </c>
      <c r="F31" s="164">
        <v>0.16166678267088452</v>
      </c>
      <c r="G31" s="164">
        <v>2.1164687807543698E-3</v>
      </c>
      <c r="H31" s="164">
        <v>4.3813035782776328E-3</v>
      </c>
      <c r="I31" s="163">
        <v>188.10187054277029</v>
      </c>
      <c r="J31" s="517">
        <v>4.2778769596723129E-3</v>
      </c>
    </row>
    <row r="32" spans="2:10" x14ac:dyDescent="0.2">
      <c r="B32" s="514"/>
      <c r="C32" s="515">
        <v>500</v>
      </c>
      <c r="D32" s="164">
        <v>7.8353323879132686E-2</v>
      </c>
      <c r="E32" s="164">
        <v>0.55120688544703267</v>
      </c>
      <c r="F32" s="164">
        <v>0.26224782941468666</v>
      </c>
      <c r="G32" s="164">
        <v>3.0555954924468107E-3</v>
      </c>
      <c r="H32" s="164">
        <v>7.2178600349211705E-3</v>
      </c>
      <c r="I32" s="163">
        <v>311.30869569867934</v>
      </c>
      <c r="J32" s="517">
        <v>7.069693451307201E-3</v>
      </c>
    </row>
    <row r="33" spans="2:10" x14ac:dyDescent="0.2">
      <c r="B33" s="514"/>
      <c r="C33" s="515">
        <v>750</v>
      </c>
      <c r="D33" s="164">
        <v>0.15491582258458014</v>
      </c>
      <c r="E33" s="164">
        <v>1.089113966481813</v>
      </c>
      <c r="F33" s="164">
        <v>0.52019161692533378</v>
      </c>
      <c r="G33" s="164">
        <v>6.184592676182073E-3</v>
      </c>
      <c r="H33" s="164">
        <v>1.4276087349373091E-2</v>
      </c>
      <c r="I33" s="163">
        <v>615.09319860818346</v>
      </c>
      <c r="J33" s="517">
        <v>1.3977805913635802E-2</v>
      </c>
    </row>
    <row r="34" spans="2:10" x14ac:dyDescent="0.2">
      <c r="B34" s="514"/>
      <c r="C34" s="515">
        <v>1000</v>
      </c>
      <c r="D34" s="164">
        <v>0.24417851785026062</v>
      </c>
      <c r="E34" s="164">
        <v>1.6436624082968032</v>
      </c>
      <c r="F34" s="164">
        <v>3.9853333000291999</v>
      </c>
      <c r="G34" s="164">
        <v>9.3336281598787423E-3</v>
      </c>
      <c r="H34" s="164">
        <v>5.3044983695569016E-2</v>
      </c>
      <c r="I34" s="163">
        <v>928.28281750922474</v>
      </c>
      <c r="J34" s="517">
        <v>2.203183329187584E-2</v>
      </c>
    </row>
    <row r="35" spans="2:10" x14ac:dyDescent="0.2">
      <c r="B35" s="518" t="s">
        <v>509</v>
      </c>
      <c r="C35" s="519"/>
      <c r="D35" s="520">
        <v>4.7971927970252098E-2</v>
      </c>
      <c r="E35" s="520">
        <v>0.50084078109228047</v>
      </c>
      <c r="F35" s="520">
        <v>0.34385440355379876</v>
      </c>
      <c r="G35" s="520">
        <v>1.7458331777461856E-3</v>
      </c>
      <c r="H35" s="520">
        <v>6.2461928801135474E-3</v>
      </c>
      <c r="I35" s="523">
        <v>164.86224181940531</v>
      </c>
      <c r="J35" s="522">
        <v>4.3284296922023379E-3</v>
      </c>
    </row>
    <row r="36" spans="2:10" x14ac:dyDescent="0.2">
      <c r="B36" s="514" t="s">
        <v>510</v>
      </c>
      <c r="C36" s="515">
        <v>15</v>
      </c>
      <c r="D36" s="164">
        <v>7.3570723431388881E-3</v>
      </c>
      <c r="E36" s="164">
        <v>3.8590833712554264E-2</v>
      </c>
      <c r="F36" s="164">
        <v>4.6072786933881574E-2</v>
      </c>
      <c r="G36" s="164">
        <v>9.8348230313354069E-5</v>
      </c>
      <c r="H36" s="164">
        <v>1.799428217621656E-3</v>
      </c>
      <c r="I36" s="516">
        <v>6.3202223320599309</v>
      </c>
      <c r="J36" s="517">
        <v>6.6381674287958642E-4</v>
      </c>
    </row>
    <row r="37" spans="2:10" x14ac:dyDescent="0.2">
      <c r="B37" s="514"/>
      <c r="C37" s="515">
        <v>25</v>
      </c>
      <c r="D37" s="164">
        <v>2.234296415559019E-2</v>
      </c>
      <c r="E37" s="164">
        <v>7.4071487840039307E-2</v>
      </c>
      <c r="F37" s="164">
        <v>0.13724316594721378</v>
      </c>
      <c r="G37" s="164">
        <v>2.2275455917934554E-4</v>
      </c>
      <c r="H37" s="164">
        <v>5.804420909676037E-3</v>
      </c>
      <c r="I37" s="516">
        <v>17.556172644456602</v>
      </c>
      <c r="J37" s="517">
        <v>2.0159698531907362E-3</v>
      </c>
    </row>
    <row r="38" spans="2:10" x14ac:dyDescent="0.2">
      <c r="B38" s="518" t="s">
        <v>511</v>
      </c>
      <c r="C38" s="519"/>
      <c r="D38" s="520">
        <v>8.5946861667874266E-3</v>
      </c>
      <c r="E38" s="520">
        <v>4.1521012881723468E-2</v>
      </c>
      <c r="F38" s="520">
        <v>5.3602116705262055E-2</v>
      </c>
      <c r="G38" s="520">
        <v>1.0862235975995741E-4</v>
      </c>
      <c r="H38" s="520">
        <v>2.130181594286205E-3</v>
      </c>
      <c r="I38" s="521">
        <v>7.2481462489332937</v>
      </c>
      <c r="J38" s="522">
        <v>7.7548466374499918E-4</v>
      </c>
    </row>
    <row r="39" spans="2:10" x14ac:dyDescent="0.2">
      <c r="B39" s="514" t="s">
        <v>512</v>
      </c>
      <c r="C39" s="515">
        <v>25</v>
      </c>
      <c r="D39" s="164">
        <v>1.9878429414263082E-2</v>
      </c>
      <c r="E39" s="164">
        <v>6.784774165313015E-2</v>
      </c>
      <c r="F39" s="164">
        <v>0.12561577553322012</v>
      </c>
      <c r="G39" s="164">
        <v>2.0907107143420994E-4</v>
      </c>
      <c r="H39" s="164">
        <v>4.6936727815292947E-3</v>
      </c>
      <c r="I39" s="516">
        <v>16.477722869768677</v>
      </c>
      <c r="J39" s="517">
        <v>1.7935985110256001E-3</v>
      </c>
    </row>
    <row r="40" spans="2:10" x14ac:dyDescent="0.2">
      <c r="B40" s="514"/>
      <c r="C40" s="515">
        <v>50</v>
      </c>
      <c r="D40" s="164">
        <v>4.2428979537500806E-2</v>
      </c>
      <c r="E40" s="164">
        <v>0.24199832968045093</v>
      </c>
      <c r="F40" s="164">
        <v>0.2230784465040504</v>
      </c>
      <c r="G40" s="164">
        <v>3.9052907529685558E-4</v>
      </c>
      <c r="H40" s="164">
        <v>1.1270716790592942E-2</v>
      </c>
      <c r="I40" s="516">
        <v>30.209160285003911</v>
      </c>
      <c r="J40" s="517">
        <v>3.8282985054963778E-3</v>
      </c>
    </row>
    <row r="41" spans="2:10" x14ac:dyDescent="0.2">
      <c r="B41" s="514"/>
      <c r="C41" s="515">
        <v>120</v>
      </c>
      <c r="D41" s="164">
        <v>5.2432956824627411E-2</v>
      </c>
      <c r="E41" s="164">
        <v>0.46128306481617182</v>
      </c>
      <c r="F41" s="164">
        <v>0.41276235354276336</v>
      </c>
      <c r="G41" s="164">
        <v>8.6981472599564533E-4</v>
      </c>
      <c r="H41" s="164">
        <v>2.4915900507412405E-2</v>
      </c>
      <c r="I41" s="516">
        <v>74.149751216943628</v>
      </c>
      <c r="J41" s="517">
        <v>4.7309412577465279E-3</v>
      </c>
    </row>
    <row r="42" spans="2:10" x14ac:dyDescent="0.2">
      <c r="B42" s="514"/>
      <c r="C42" s="515">
        <v>175</v>
      </c>
      <c r="D42" s="164">
        <v>8.6499417986635657E-2</v>
      </c>
      <c r="E42" s="164">
        <v>0.86621311529930767</v>
      </c>
      <c r="F42" s="164">
        <v>0.65537101359883043</v>
      </c>
      <c r="G42" s="164">
        <v>1.8025261963598479E-3</v>
      </c>
      <c r="H42" s="164">
        <v>3.2289094768650224E-2</v>
      </c>
      <c r="I42" s="163">
        <v>160.20011047747721</v>
      </c>
      <c r="J42" s="517">
        <v>7.8047045234544248E-3</v>
      </c>
    </row>
    <row r="43" spans="2:10" x14ac:dyDescent="0.2">
      <c r="B43" s="518" t="s">
        <v>513</v>
      </c>
      <c r="C43" s="519"/>
      <c r="D43" s="520">
        <v>4.8368425379787326E-2</v>
      </c>
      <c r="E43" s="520">
        <v>0.37829738166419108</v>
      </c>
      <c r="F43" s="520">
        <v>0.34099636680407325</v>
      </c>
      <c r="G43" s="520">
        <v>6.9733474340302835E-4</v>
      </c>
      <c r="H43" s="520">
        <v>1.9573200664154133E-2</v>
      </c>
      <c r="I43" s="521">
        <v>58.463644926665616</v>
      </c>
      <c r="J43" s="522">
        <v>4.3642051533278265E-3</v>
      </c>
    </row>
    <row r="44" spans="2:10" x14ac:dyDescent="0.2">
      <c r="B44" s="514" t="s">
        <v>514</v>
      </c>
      <c r="C44" s="515">
        <v>50</v>
      </c>
      <c r="D44" s="164">
        <v>5.3248690542503266E-2</v>
      </c>
      <c r="E44" s="164">
        <v>0.24225781965239346</v>
      </c>
      <c r="F44" s="164">
        <v>0.18944785638542455</v>
      </c>
      <c r="G44" s="164">
        <v>2.9974599619101127E-4</v>
      </c>
      <c r="H44" s="164">
        <v>1.2086404318210738E-2</v>
      </c>
      <c r="I44" s="516">
        <v>23.186688293284728</v>
      </c>
      <c r="J44" s="517">
        <v>4.8045448525936641E-3</v>
      </c>
    </row>
    <row r="45" spans="2:10" x14ac:dyDescent="0.2">
      <c r="B45" s="514"/>
      <c r="C45" s="515">
        <v>120</v>
      </c>
      <c r="D45" s="164">
        <v>5.4229845290754954E-2</v>
      </c>
      <c r="E45" s="164">
        <v>0.34457880357964926</v>
      </c>
      <c r="F45" s="164">
        <v>0.3316518785709619</v>
      </c>
      <c r="G45" s="164">
        <v>5.8826128478513143E-4</v>
      </c>
      <c r="H45" s="164">
        <v>2.3994817474171037E-2</v>
      </c>
      <c r="I45" s="516">
        <v>50.147962813164384</v>
      </c>
      <c r="J45" s="517">
        <v>4.8930722914384411E-3</v>
      </c>
    </row>
    <row r="46" spans="2:10" x14ac:dyDescent="0.2">
      <c r="B46" s="514"/>
      <c r="C46" s="515">
        <v>175</v>
      </c>
      <c r="D46" s="164">
        <v>6.4791195844369209E-2</v>
      </c>
      <c r="E46" s="164">
        <v>0.47544430685909012</v>
      </c>
      <c r="F46" s="164">
        <v>0.40709743779081081</v>
      </c>
      <c r="G46" s="164">
        <v>9.0401453894446043E-4</v>
      </c>
      <c r="H46" s="164">
        <v>2.2337254803642789E-2</v>
      </c>
      <c r="I46" s="516">
        <v>80.344584039738137</v>
      </c>
      <c r="J46" s="517">
        <v>5.8460058412671597E-3</v>
      </c>
    </row>
    <row r="47" spans="2:10" x14ac:dyDescent="0.2">
      <c r="B47" s="514"/>
      <c r="C47" s="515">
        <v>250</v>
      </c>
      <c r="D47" s="164">
        <v>7.044894036187789E-2</v>
      </c>
      <c r="E47" s="164">
        <v>0.24395105881066725</v>
      </c>
      <c r="F47" s="164">
        <v>0.49493524046528992</v>
      </c>
      <c r="G47" s="164">
        <v>1.2619797748386914E-3</v>
      </c>
      <c r="H47" s="164">
        <v>1.7040253803084261E-2</v>
      </c>
      <c r="I47" s="163">
        <v>112.15886161445876</v>
      </c>
      <c r="J47" s="517">
        <v>6.3564956159067798E-3</v>
      </c>
    </row>
    <row r="48" spans="2:10" x14ac:dyDescent="0.2">
      <c r="B48" s="514"/>
      <c r="C48" s="515">
        <v>500</v>
      </c>
      <c r="D48" s="164">
        <v>0.10874757725401102</v>
      </c>
      <c r="E48" s="164">
        <v>0.38387834076362887</v>
      </c>
      <c r="F48" s="164">
        <v>0.70467910551731039</v>
      </c>
      <c r="G48" s="164">
        <v>1.7677530586477012E-3</v>
      </c>
      <c r="H48" s="164">
        <v>2.5705876401211337E-2</v>
      </c>
      <c r="I48" s="163">
        <v>180.10126628693308</v>
      </c>
      <c r="J48" s="517">
        <v>9.812119107308389E-3</v>
      </c>
    </row>
    <row r="49" spans="2:10" x14ac:dyDescent="0.2">
      <c r="B49" s="514"/>
      <c r="C49" s="515">
        <v>750</v>
      </c>
      <c r="D49" s="164">
        <v>0.18373490384960062</v>
      </c>
      <c r="E49" s="164">
        <v>0.64550181987796063</v>
      </c>
      <c r="F49" s="164">
        <v>1.2224768527783851</v>
      </c>
      <c r="G49" s="164">
        <v>3.0470304236164701E-3</v>
      </c>
      <c r="H49" s="164">
        <v>4.3935073129248332E-2</v>
      </c>
      <c r="I49" s="163">
        <v>303.04464303428631</v>
      </c>
      <c r="J49" s="517">
        <v>1.6578111008905796E-2</v>
      </c>
    </row>
    <row r="50" spans="2:10" x14ac:dyDescent="0.2">
      <c r="B50" s="514"/>
      <c r="C50" s="515">
        <v>9999</v>
      </c>
      <c r="D50" s="164">
        <v>0.67022596685654878</v>
      </c>
      <c r="E50" s="164">
        <v>2.1934263361952082</v>
      </c>
      <c r="F50" s="164">
        <v>7.0435607446045996</v>
      </c>
      <c r="G50" s="164">
        <v>9.7591741553157713E-3</v>
      </c>
      <c r="H50" s="164">
        <v>0.17974178732495819</v>
      </c>
      <c r="I50" s="163">
        <v>970.60580848972245</v>
      </c>
      <c r="J50" s="517">
        <v>6.0473406082388124E-2</v>
      </c>
    </row>
    <row r="51" spans="2:10" x14ac:dyDescent="0.2">
      <c r="B51" s="518" t="s">
        <v>515</v>
      </c>
      <c r="C51" s="519"/>
      <c r="D51" s="520">
        <v>8.9808883458443164E-2</v>
      </c>
      <c r="E51" s="520">
        <v>0.39173734246150871</v>
      </c>
      <c r="F51" s="520">
        <v>0.66103351645304309</v>
      </c>
      <c r="G51" s="520">
        <v>1.3768329022587006E-3</v>
      </c>
      <c r="H51" s="520">
        <v>2.5609427965142414E-2</v>
      </c>
      <c r="I51" s="523">
        <v>128.63050052613249</v>
      </c>
      <c r="J51" s="522">
        <v>8.1033117530980546E-3</v>
      </c>
    </row>
    <row r="52" spans="2:10" x14ac:dyDescent="0.2">
      <c r="B52" s="514" t="s">
        <v>516</v>
      </c>
      <c r="C52" s="515">
        <v>50</v>
      </c>
      <c r="D52" s="164">
        <v>6.9934638094432067E-2</v>
      </c>
      <c r="E52" s="164">
        <v>0.27713673009482509</v>
      </c>
      <c r="F52" s="164">
        <v>0.21066688782791299</v>
      </c>
      <c r="G52" s="164">
        <v>3.2163124302645081E-4</v>
      </c>
      <c r="H52" s="164">
        <v>1.5012183630409711E-2</v>
      </c>
      <c r="I52" s="516">
        <v>24.87960391678595</v>
      </c>
      <c r="J52" s="517">
        <v>6.3100892521315019E-3</v>
      </c>
    </row>
    <row r="53" spans="2:10" x14ac:dyDescent="0.2">
      <c r="B53" s="514"/>
      <c r="C53" s="515">
        <v>120</v>
      </c>
      <c r="D53" s="164">
        <v>8.313504858260741E-2</v>
      </c>
      <c r="E53" s="164">
        <v>0.46280721684930676</v>
      </c>
      <c r="F53" s="164">
        <v>0.48961360659674485</v>
      </c>
      <c r="G53" s="164">
        <v>7.7199169137386265E-4</v>
      </c>
      <c r="H53" s="164">
        <v>3.7104574547467961E-2</v>
      </c>
      <c r="I53" s="516">
        <v>65.81056459399116</v>
      </c>
      <c r="J53" s="517">
        <v>7.5011431909069275E-3</v>
      </c>
    </row>
    <row r="54" spans="2:10" x14ac:dyDescent="0.2">
      <c r="B54" s="514"/>
      <c r="C54" s="515">
        <v>175</v>
      </c>
      <c r="D54" s="164">
        <v>0.11226618491540534</v>
      </c>
      <c r="E54" s="164">
        <v>0.73017533921999001</v>
      </c>
      <c r="F54" s="164">
        <v>0.71503066354791689</v>
      </c>
      <c r="G54" s="164">
        <v>1.3635699397866645E-3</v>
      </c>
      <c r="H54" s="164">
        <v>3.9818922574353904E-2</v>
      </c>
      <c r="I54" s="163">
        <v>121.18774307557142</v>
      </c>
      <c r="J54" s="517">
        <v>1.0129600249241158E-2</v>
      </c>
    </row>
    <row r="55" spans="2:10" x14ac:dyDescent="0.2">
      <c r="B55" s="514"/>
      <c r="C55" s="515">
        <v>250</v>
      </c>
      <c r="D55" s="164">
        <v>0.11880645931387403</v>
      </c>
      <c r="E55" s="164">
        <v>0.39660765134759707</v>
      </c>
      <c r="F55" s="164">
        <v>0.86810509460550045</v>
      </c>
      <c r="G55" s="164">
        <v>1.869264986856681E-3</v>
      </c>
      <c r="H55" s="164">
        <v>3.1530178655299571E-2</v>
      </c>
      <c r="I55" s="163">
        <v>166.13160688807841</v>
      </c>
      <c r="J55" s="517">
        <v>1.0719715444932405E-2</v>
      </c>
    </row>
    <row r="56" spans="2:10" x14ac:dyDescent="0.2">
      <c r="B56" s="514"/>
      <c r="C56" s="515">
        <v>500</v>
      </c>
      <c r="D56" s="164">
        <v>0.17589589445036177</v>
      </c>
      <c r="E56" s="164">
        <v>0.66654587606440918</v>
      </c>
      <c r="F56" s="164">
        <v>1.217013720498723</v>
      </c>
      <c r="G56" s="164">
        <v>2.5444219989254301E-3</v>
      </c>
      <c r="H56" s="164">
        <v>4.5509234626240742E-2</v>
      </c>
      <c r="I56" s="163">
        <v>259.22951349826207</v>
      </c>
      <c r="J56" s="517">
        <v>1.5870798472847402E-2</v>
      </c>
    </row>
    <row r="57" spans="2:10" x14ac:dyDescent="0.2">
      <c r="B57" s="514"/>
      <c r="C57" s="515">
        <v>750</v>
      </c>
      <c r="D57" s="164">
        <v>0.31684331298775825</v>
      </c>
      <c r="E57" s="164">
        <v>1.1934804111895996</v>
      </c>
      <c r="F57" s="164">
        <v>2.2429116912172717</v>
      </c>
      <c r="G57" s="164">
        <v>4.6722998294747081E-3</v>
      </c>
      <c r="H57" s="164">
        <v>8.2783338463312123E-2</v>
      </c>
      <c r="I57" s="163">
        <v>464.68683219496592</v>
      </c>
      <c r="J57" s="517">
        <v>2.8588265327315395E-2</v>
      </c>
    </row>
    <row r="58" spans="2:10" x14ac:dyDescent="0.2">
      <c r="B58" s="514"/>
      <c r="C58" s="515">
        <v>1000</v>
      </c>
      <c r="D58" s="164">
        <v>0.48358719193796684</v>
      </c>
      <c r="E58" s="164">
        <v>1.8457814666177146</v>
      </c>
      <c r="F58" s="164">
        <v>5.2162120246261336</v>
      </c>
      <c r="G58" s="164">
        <v>6.6170706034832938E-3</v>
      </c>
      <c r="H58" s="164">
        <v>0.14251786394147065</v>
      </c>
      <c r="I58" s="163">
        <v>658.10566001661039</v>
      </c>
      <c r="J58" s="517">
        <v>4.3633280877957321E-2</v>
      </c>
    </row>
    <row r="59" spans="2:10" x14ac:dyDescent="0.2">
      <c r="B59" s="518" t="s">
        <v>517</v>
      </c>
      <c r="C59" s="519"/>
      <c r="D59" s="520">
        <v>0.10494112550714933</v>
      </c>
      <c r="E59" s="520">
        <v>0.52596420983661607</v>
      </c>
      <c r="F59" s="520">
        <v>0.67723285966035451</v>
      </c>
      <c r="G59" s="520">
        <v>1.2581495498993655E-3</v>
      </c>
      <c r="H59" s="520">
        <v>3.7782981671034437E-2</v>
      </c>
      <c r="I59" s="523">
        <v>114.01765678511262</v>
      </c>
      <c r="J59" s="522">
        <v>9.4686696934800137E-3</v>
      </c>
    </row>
    <row r="60" spans="2:10" x14ac:dyDescent="0.2">
      <c r="B60" s="514" t="s">
        <v>518</v>
      </c>
      <c r="C60" s="515">
        <v>50</v>
      </c>
      <c r="D60" s="164">
        <v>7.3368685562225908E-2</v>
      </c>
      <c r="E60" s="164">
        <v>0.40361155912017033</v>
      </c>
      <c r="F60" s="164">
        <v>0.3367495810618123</v>
      </c>
      <c r="G60" s="164">
        <v>5.6901474074916043E-4</v>
      </c>
      <c r="H60" s="164">
        <v>1.8054983812635268E-2</v>
      </c>
      <c r="I60" s="516">
        <v>44.015817800030142</v>
      </c>
      <c r="J60" s="517">
        <v>6.6199394550507124E-3</v>
      </c>
    </row>
    <row r="61" spans="2:10" x14ac:dyDescent="0.2">
      <c r="B61" s="514"/>
      <c r="C61" s="515">
        <v>120</v>
      </c>
      <c r="D61" s="164">
        <v>6.9214202788219562E-2</v>
      </c>
      <c r="E61" s="164">
        <v>0.54464491390092518</v>
      </c>
      <c r="F61" s="164">
        <v>0.47536344881667547</v>
      </c>
      <c r="G61" s="164">
        <v>9.7528682357528968E-4</v>
      </c>
      <c r="H61" s="164">
        <v>3.0242541150061867E-2</v>
      </c>
      <c r="I61" s="516">
        <v>83.141037426958448</v>
      </c>
      <c r="J61" s="517">
        <v>6.2450880687081045E-3</v>
      </c>
    </row>
    <row r="62" spans="2:10" x14ac:dyDescent="0.2">
      <c r="B62" s="514"/>
      <c r="C62" s="515">
        <v>175</v>
      </c>
      <c r="D62" s="164">
        <v>0.10826427730353555</v>
      </c>
      <c r="E62" s="164">
        <v>0.95189186322908459</v>
      </c>
      <c r="F62" s="164">
        <v>0.70419192954109899</v>
      </c>
      <c r="G62" s="164">
        <v>1.8819633681361407E-3</v>
      </c>
      <c r="H62" s="164">
        <v>3.6762227969683446E-2</v>
      </c>
      <c r="I62" s="163">
        <v>167.26014379344952</v>
      </c>
      <c r="J62" s="517">
        <v>9.7685123726142572E-3</v>
      </c>
    </row>
    <row r="63" spans="2:10" x14ac:dyDescent="0.2">
      <c r="B63" s="514"/>
      <c r="C63" s="515">
        <v>250</v>
      </c>
      <c r="D63" s="164">
        <v>0.12445820270761207</v>
      </c>
      <c r="E63" s="164">
        <v>0.48437091316330694</v>
      </c>
      <c r="F63" s="164">
        <v>0.86697570286931769</v>
      </c>
      <c r="G63" s="164">
        <v>2.7514089510662235E-3</v>
      </c>
      <c r="H63" s="164">
        <v>2.8185722906538199E-2</v>
      </c>
      <c r="I63" s="163">
        <v>244.53241618933794</v>
      </c>
      <c r="J63" s="517">
        <v>1.122966379799034E-2</v>
      </c>
    </row>
    <row r="64" spans="2:10" x14ac:dyDescent="0.2">
      <c r="B64" s="514"/>
      <c r="C64" s="515">
        <v>500</v>
      </c>
      <c r="D64" s="164">
        <v>0.18520951896104015</v>
      </c>
      <c r="E64" s="164">
        <v>0.70916211479103763</v>
      </c>
      <c r="F64" s="164">
        <v>1.1828515265976642</v>
      </c>
      <c r="G64" s="164">
        <v>3.6674525444292286E-3</v>
      </c>
      <c r="H64" s="164">
        <v>4.1582987333299404E-2</v>
      </c>
      <c r="I64" s="163">
        <v>373.64545694303229</v>
      </c>
      <c r="J64" s="517">
        <v>1.6711157765235032E-2</v>
      </c>
    </row>
    <row r="65" spans="2:10" x14ac:dyDescent="0.2">
      <c r="B65" s="514"/>
      <c r="C65" s="515">
        <v>750</v>
      </c>
      <c r="D65" s="164">
        <v>0.29116045108129895</v>
      </c>
      <c r="E65" s="164">
        <v>1.1167167914524527</v>
      </c>
      <c r="F65" s="164">
        <v>1.9026017868193983</v>
      </c>
      <c r="G65" s="164">
        <v>5.9205634047162035E-3</v>
      </c>
      <c r="H65" s="164">
        <v>6.5542346169689833E-2</v>
      </c>
      <c r="I65" s="163">
        <v>588.83376896438597</v>
      </c>
      <c r="J65" s="517">
        <v>2.6270946367457446E-2</v>
      </c>
    </row>
    <row r="66" spans="2:10" x14ac:dyDescent="0.2">
      <c r="B66" s="514"/>
      <c r="C66" s="515">
        <v>9999</v>
      </c>
      <c r="D66" s="164">
        <v>0.75839758981911409</v>
      </c>
      <c r="E66" s="164">
        <v>2.6527650182238891</v>
      </c>
      <c r="F66" s="164">
        <v>8.5119070172785296</v>
      </c>
      <c r="G66" s="164">
        <v>1.3149155456591391E-2</v>
      </c>
      <c r="H66" s="164">
        <v>0.20487809740490023</v>
      </c>
      <c r="I66" s="524">
        <v>1307.7593589026085</v>
      </c>
      <c r="J66" s="517">
        <v>6.8429007029708513E-2</v>
      </c>
    </row>
    <row r="67" spans="2:10" x14ac:dyDescent="0.2">
      <c r="B67" s="518" t="s">
        <v>519</v>
      </c>
      <c r="C67" s="519"/>
      <c r="D67" s="520">
        <v>9.3424652485814219E-2</v>
      </c>
      <c r="E67" s="520">
        <v>0.62466220936538097</v>
      </c>
      <c r="F67" s="520">
        <v>0.59831956610412718</v>
      </c>
      <c r="G67" s="520">
        <v>1.4564445232134093E-3</v>
      </c>
      <c r="H67" s="520">
        <v>3.0978464354446726E-2</v>
      </c>
      <c r="I67" s="523">
        <v>132.30834161293882</v>
      </c>
      <c r="J67" s="522">
        <v>8.4295574774346741E-3</v>
      </c>
    </row>
    <row r="68" spans="2:10" x14ac:dyDescent="0.2">
      <c r="B68" s="514" t="s">
        <v>520</v>
      </c>
      <c r="C68" s="515">
        <v>25</v>
      </c>
      <c r="D68" s="164">
        <v>9.2021420785219736E-3</v>
      </c>
      <c r="E68" s="164">
        <v>3.1393792449366742E-2</v>
      </c>
      <c r="F68" s="164">
        <v>5.8181385150137856E-2</v>
      </c>
      <c r="G68" s="164">
        <v>9.6739136282170292E-5</v>
      </c>
      <c r="H68" s="164">
        <v>2.21712616364694E-3</v>
      </c>
      <c r="I68" s="516">
        <v>7.6243974922123332</v>
      </c>
      <c r="J68" s="517">
        <v>8.3029449267660121E-4</v>
      </c>
    </row>
    <row r="69" spans="2:10" x14ac:dyDescent="0.2">
      <c r="B69" s="518" t="s">
        <v>521</v>
      </c>
      <c r="C69" s="519"/>
      <c r="D69" s="520">
        <v>9.2021420785219736E-3</v>
      </c>
      <c r="E69" s="520">
        <v>3.1393792449366742E-2</v>
      </c>
      <c r="F69" s="520">
        <v>5.8181385150137856E-2</v>
      </c>
      <c r="G69" s="520">
        <v>9.6739136282170292E-5</v>
      </c>
      <c r="H69" s="520">
        <v>2.21712616364694E-3</v>
      </c>
      <c r="I69" s="521">
        <v>7.6243974922123332</v>
      </c>
      <c r="J69" s="522">
        <v>8.3029449267660121E-4</v>
      </c>
    </row>
    <row r="70" spans="2:10" x14ac:dyDescent="0.2">
      <c r="B70" s="514" t="s">
        <v>522</v>
      </c>
      <c r="C70" s="515">
        <v>25</v>
      </c>
      <c r="D70" s="164">
        <v>1.9833042816782595E-2</v>
      </c>
      <c r="E70" s="164">
        <v>6.7692826437143999E-2</v>
      </c>
      <c r="F70" s="164">
        <v>0.1253289499985458</v>
      </c>
      <c r="G70" s="164">
        <v>2.085937505241276E-4</v>
      </c>
      <c r="H70" s="164">
        <v>4.6829571291525226E-3</v>
      </c>
      <c r="I70" s="516">
        <v>16.44009730041283</v>
      </c>
      <c r="J70" s="517">
        <v>1.7895037569238739E-3</v>
      </c>
    </row>
    <row r="71" spans="2:10" x14ac:dyDescent="0.2">
      <c r="B71" s="514"/>
      <c r="C71" s="515">
        <v>50</v>
      </c>
      <c r="D71" s="164">
        <v>3.8411979436859089E-2</v>
      </c>
      <c r="E71" s="164">
        <v>0.24461130143744841</v>
      </c>
      <c r="F71" s="164">
        <v>0.18617427091405042</v>
      </c>
      <c r="G71" s="164">
        <v>3.2341446951447239E-4</v>
      </c>
      <c r="H71" s="164">
        <v>8.038016199882687E-3</v>
      </c>
      <c r="I71" s="516">
        <v>25.017547952363604</v>
      </c>
      <c r="J71" s="517">
        <v>3.465851863352922E-3</v>
      </c>
    </row>
    <row r="72" spans="2:10" x14ac:dyDescent="0.2">
      <c r="B72" s="514"/>
      <c r="C72" s="515">
        <v>120</v>
      </c>
      <c r="D72" s="164">
        <v>5.8264778966034582E-2</v>
      </c>
      <c r="E72" s="164">
        <v>0.49793747261123672</v>
      </c>
      <c r="F72" s="164">
        <v>0.37170903123581273</v>
      </c>
      <c r="G72" s="164">
        <v>8.6363621824592435E-4</v>
      </c>
      <c r="H72" s="164">
        <v>2.0550923086072724E-2</v>
      </c>
      <c r="I72" s="516">
        <v>73.623066772818504</v>
      </c>
      <c r="J72" s="517">
        <v>5.2571385715677287E-3</v>
      </c>
    </row>
    <row r="73" spans="2:10" x14ac:dyDescent="0.2">
      <c r="B73" s="514"/>
      <c r="C73" s="515">
        <v>175</v>
      </c>
      <c r="D73" s="164">
        <v>7.029811914008606E-2</v>
      </c>
      <c r="E73" s="164">
        <v>0.66372769624386863</v>
      </c>
      <c r="F73" s="164">
        <v>0.38675807059394907</v>
      </c>
      <c r="G73" s="164">
        <v>1.2626855683500514E-3</v>
      </c>
      <c r="H73" s="164">
        <v>1.9499522391265855E-2</v>
      </c>
      <c r="I73" s="163">
        <v>112.22157329870835</v>
      </c>
      <c r="J73" s="517">
        <v>6.3428875342297275E-3</v>
      </c>
    </row>
    <row r="74" spans="2:10" x14ac:dyDescent="0.2">
      <c r="B74" s="514"/>
      <c r="C74" s="515">
        <v>250</v>
      </c>
      <c r="D74" s="164">
        <v>8.2778868569446856E-2</v>
      </c>
      <c r="E74" s="164">
        <v>0.32761647985530967</v>
      </c>
      <c r="F74" s="164">
        <v>0.44927849344927889</v>
      </c>
      <c r="G74" s="164">
        <v>1.7854530307566724E-3</v>
      </c>
      <c r="H74" s="164">
        <v>1.5373690883010126E-2</v>
      </c>
      <c r="I74" s="163">
        <v>158.68270321076744</v>
      </c>
      <c r="J74" s="517">
        <v>7.4690042462538728E-3</v>
      </c>
    </row>
    <row r="75" spans="2:10" x14ac:dyDescent="0.2">
      <c r="B75" s="514"/>
      <c r="C75" s="515">
        <v>500</v>
      </c>
      <c r="D75" s="164">
        <v>0.11982730712470238</v>
      </c>
      <c r="E75" s="164">
        <v>0.45905106389925343</v>
      </c>
      <c r="F75" s="164">
        <v>0.60277672158046691</v>
      </c>
      <c r="G75" s="164">
        <v>2.2941896155419489E-3</v>
      </c>
      <c r="H75" s="164">
        <v>2.1910371909083362E-2</v>
      </c>
      <c r="I75" s="163">
        <v>233.73539751528082</v>
      </c>
      <c r="J75" s="517">
        <v>1.0811824504505494E-2</v>
      </c>
    </row>
    <row r="76" spans="2:10" x14ac:dyDescent="0.2">
      <c r="B76" s="514"/>
      <c r="C76" s="515">
        <v>750</v>
      </c>
      <c r="D76" s="164">
        <v>0.1986824473596685</v>
      </c>
      <c r="E76" s="164">
        <v>0.7606161543199258</v>
      </c>
      <c r="F76" s="164">
        <v>1.0152833068897447</v>
      </c>
      <c r="G76" s="164">
        <v>3.8953464470520959E-3</v>
      </c>
      <c r="H76" s="164">
        <v>3.6540316122457589E-2</v>
      </c>
      <c r="I76" s="163">
        <v>387.4145957031667</v>
      </c>
      <c r="J76" s="517">
        <v>1.7926793690543685E-2</v>
      </c>
    </row>
    <row r="77" spans="2:10" x14ac:dyDescent="0.2">
      <c r="B77" s="518" t="s">
        <v>523</v>
      </c>
      <c r="C77" s="519"/>
      <c r="D77" s="520">
        <v>7.3278285083970857E-2</v>
      </c>
      <c r="E77" s="520">
        <v>0.51240781051331463</v>
      </c>
      <c r="F77" s="520">
        <v>0.40424125574482944</v>
      </c>
      <c r="G77" s="520">
        <v>1.3153741119301607E-3</v>
      </c>
      <c r="H77" s="520">
        <v>1.8396269635320449E-2</v>
      </c>
      <c r="I77" s="523">
        <v>119.57953649880734</v>
      </c>
      <c r="J77" s="522">
        <v>6.6117826059524237E-3</v>
      </c>
    </row>
    <row r="78" spans="2:10" x14ac:dyDescent="0.2">
      <c r="B78" s="514" t="s">
        <v>524</v>
      </c>
      <c r="C78" s="515">
        <v>50</v>
      </c>
      <c r="D78" s="164">
        <v>1.9060656984032507E-2</v>
      </c>
      <c r="E78" s="164">
        <v>0.14001507723519649</v>
      </c>
      <c r="F78" s="164">
        <v>0.10837674468487195</v>
      </c>
      <c r="G78" s="164">
        <v>1.8967160324132851E-4</v>
      </c>
      <c r="H78" s="164">
        <v>3.9157643273927747E-3</v>
      </c>
      <c r="I78" s="516">
        <v>14.671948155989096</v>
      </c>
      <c r="J78" s="517">
        <v>1.7198122020782834E-3</v>
      </c>
    </row>
    <row r="79" spans="2:10" x14ac:dyDescent="0.2">
      <c r="B79" s="514"/>
      <c r="C79" s="515">
        <v>120</v>
      </c>
      <c r="D79" s="164">
        <v>2.2549814951676107E-2</v>
      </c>
      <c r="E79" s="164">
        <v>0.21024160523370097</v>
      </c>
      <c r="F79" s="164">
        <v>0.14427412565171269</v>
      </c>
      <c r="G79" s="164">
        <v>3.662841019465361E-4</v>
      </c>
      <c r="H79" s="164">
        <v>7.3594744650332302E-3</v>
      </c>
      <c r="I79" s="516">
        <v>31.224903825109219</v>
      </c>
      <c r="J79" s="517">
        <v>2.034633882063677E-3</v>
      </c>
    </row>
    <row r="80" spans="2:10" x14ac:dyDescent="0.2">
      <c r="B80" s="514"/>
      <c r="C80" s="515">
        <v>175</v>
      </c>
      <c r="D80" s="164">
        <v>3.3586718799422002E-2</v>
      </c>
      <c r="E80" s="164">
        <v>0.33154854241699566</v>
      </c>
      <c r="F80" s="164">
        <v>0.17724236944515748</v>
      </c>
      <c r="G80" s="164">
        <v>6.307076902477293E-4</v>
      </c>
      <c r="H80" s="164">
        <v>8.7343083342780563E-3</v>
      </c>
      <c r="I80" s="516">
        <v>56.054360943879587</v>
      </c>
      <c r="J80" s="517">
        <v>3.0304754571831333E-3</v>
      </c>
    </row>
    <row r="81" spans="2:10" x14ac:dyDescent="0.2">
      <c r="B81" s="514"/>
      <c r="C81" s="515">
        <v>250</v>
      </c>
      <c r="D81" s="164">
        <v>3.8487688767852475E-2</v>
      </c>
      <c r="E81" s="164">
        <v>0.15539508630097945</v>
      </c>
      <c r="F81" s="164">
        <v>0.18865583481371276</v>
      </c>
      <c r="G81" s="164">
        <v>8.6775251526103334E-4</v>
      </c>
      <c r="H81" s="164">
        <v>6.2453628720484933E-3</v>
      </c>
      <c r="I81" s="516">
        <v>77.121776362990161</v>
      </c>
      <c r="J81" s="517">
        <v>3.4726822729734845E-3</v>
      </c>
    </row>
    <row r="82" spans="2:10" x14ac:dyDescent="0.2">
      <c r="B82" s="514"/>
      <c r="C82" s="515">
        <v>500</v>
      </c>
      <c r="D82" s="164">
        <v>5.4813087941442032E-2</v>
      </c>
      <c r="E82" s="164">
        <v>0.21258308861547864</v>
      </c>
      <c r="F82" s="164">
        <v>0.25280520563378239</v>
      </c>
      <c r="G82" s="164">
        <v>1.0893057930454399E-3</v>
      </c>
      <c r="H82" s="164">
        <v>8.7991629707526667E-3</v>
      </c>
      <c r="I82" s="163">
        <v>110.98008163716753</v>
      </c>
      <c r="J82" s="517">
        <v>4.9456977894934513E-3</v>
      </c>
    </row>
    <row r="83" spans="2:10" x14ac:dyDescent="0.2">
      <c r="B83" s="518" t="s">
        <v>525</v>
      </c>
      <c r="C83" s="519"/>
      <c r="D83" s="520">
        <v>3.202629818793977E-2</v>
      </c>
      <c r="E83" s="520">
        <v>0.21600560548091691</v>
      </c>
      <c r="F83" s="520">
        <v>0.16907327007828588</v>
      </c>
      <c r="G83" s="520">
        <v>6.0284193826551748E-4</v>
      </c>
      <c r="H83" s="520">
        <v>7.0373310656857424E-3</v>
      </c>
      <c r="I83" s="521">
        <v>54.395752006474893</v>
      </c>
      <c r="J83" s="522">
        <v>2.8896814984623273E-3</v>
      </c>
    </row>
    <row r="84" spans="2:10" x14ac:dyDescent="0.2">
      <c r="B84" s="514" t="s">
        <v>526</v>
      </c>
      <c r="C84" s="515">
        <v>15</v>
      </c>
      <c r="D84" s="164">
        <v>1.1640537020758018E-2</v>
      </c>
      <c r="E84" s="164">
        <v>6.3763112520683868E-2</v>
      </c>
      <c r="F84" s="164">
        <v>8.1350480251359575E-2</v>
      </c>
      <c r="G84" s="164">
        <v>1.5884021305897754E-4</v>
      </c>
      <c r="H84" s="164">
        <v>3.8445962334885549E-3</v>
      </c>
      <c r="I84" s="516">
        <v>10.207659445732698</v>
      </c>
      <c r="J84" s="517">
        <v>1.0503071154187166E-3</v>
      </c>
    </row>
    <row r="85" spans="2:10" x14ac:dyDescent="0.2">
      <c r="B85" s="514"/>
      <c r="C85" s="515">
        <v>25</v>
      </c>
      <c r="D85" s="164">
        <v>2.2412924156168398E-2</v>
      </c>
      <c r="E85" s="164">
        <v>7.6909908093554233E-2</v>
      </c>
      <c r="F85" s="164">
        <v>0.14100574670838725</v>
      </c>
      <c r="G85" s="164">
        <v>2.2370916958208627E-4</v>
      </c>
      <c r="H85" s="164">
        <v>6.4102264983473007E-3</v>
      </c>
      <c r="I85" s="516">
        <v>17.631416153506617</v>
      </c>
      <c r="J85" s="517">
        <v>2.0222822895304029E-3</v>
      </c>
    </row>
    <row r="86" spans="2:10" x14ac:dyDescent="0.2">
      <c r="B86" s="514"/>
      <c r="C86" s="515">
        <v>50</v>
      </c>
      <c r="D86" s="164">
        <v>3.7933534144945505E-2</v>
      </c>
      <c r="E86" s="164">
        <v>0.21611389394529942</v>
      </c>
      <c r="F86" s="164">
        <v>0.21985357110152601</v>
      </c>
      <c r="G86" s="164">
        <v>3.9587865305757921E-4</v>
      </c>
      <c r="H86" s="164">
        <v>1.0616835954465546E-2</v>
      </c>
      <c r="I86" s="516">
        <v>30.622975944749673</v>
      </c>
      <c r="J86" s="517">
        <v>3.4226819473274425E-3</v>
      </c>
    </row>
    <row r="87" spans="2:10" x14ac:dyDescent="0.2">
      <c r="B87" s="514"/>
      <c r="C87" s="515">
        <v>120</v>
      </c>
      <c r="D87" s="164">
        <v>5.0601678098124388E-2</v>
      </c>
      <c r="E87" s="164">
        <v>0.46409252347678581</v>
      </c>
      <c r="F87" s="164">
        <v>0.4378096192891639</v>
      </c>
      <c r="G87" s="164">
        <v>9.143868182050263E-4</v>
      </c>
      <c r="H87" s="164">
        <v>2.4975308364039751E-2</v>
      </c>
      <c r="I87" s="516">
        <v>77.949421508261423</v>
      </c>
      <c r="J87" s="517">
        <v>4.5657079608788596E-3</v>
      </c>
    </row>
    <row r="88" spans="2:10" x14ac:dyDescent="0.2">
      <c r="B88" s="514"/>
      <c r="C88" s="515">
        <v>175</v>
      </c>
      <c r="D88" s="164">
        <v>6.7569319602493211E-2</v>
      </c>
      <c r="E88" s="164">
        <v>0.7322598067886823</v>
      </c>
      <c r="F88" s="164">
        <v>0.5990311159046261</v>
      </c>
      <c r="G88" s="164">
        <v>1.5975108323714828E-3</v>
      </c>
      <c r="H88" s="164">
        <v>2.660666171329781E-2</v>
      </c>
      <c r="I88" s="163">
        <v>141.97929826457033</v>
      </c>
      <c r="J88" s="517">
        <v>6.0966707451823761E-3</v>
      </c>
    </row>
    <row r="89" spans="2:10" x14ac:dyDescent="0.2">
      <c r="B89" s="514"/>
      <c r="C89" s="515">
        <v>250</v>
      </c>
      <c r="D89" s="164">
        <v>7.4701192043136966E-2</v>
      </c>
      <c r="E89" s="164">
        <v>0.38439227217464639</v>
      </c>
      <c r="F89" s="164">
        <v>0.76137401539211957</v>
      </c>
      <c r="G89" s="164">
        <v>2.3910454069086462E-3</v>
      </c>
      <c r="H89" s="164">
        <v>2.1777506062259134E-2</v>
      </c>
      <c r="I89" s="163">
        <v>212.50496049716995</v>
      </c>
      <c r="J89" s="517">
        <v>6.7401696159093112E-3</v>
      </c>
    </row>
    <row r="90" spans="2:10" x14ac:dyDescent="0.2">
      <c r="B90" s="514"/>
      <c r="C90" s="515">
        <v>500</v>
      </c>
      <c r="D90" s="164">
        <v>0.11253021458442861</v>
      </c>
      <c r="E90" s="164">
        <v>0.59676166856246082</v>
      </c>
      <c r="F90" s="164">
        <v>1.0873977667490231</v>
      </c>
      <c r="G90" s="164">
        <v>3.3063199601558704E-3</v>
      </c>
      <c r="H90" s="164">
        <v>3.3321116488632202E-2</v>
      </c>
      <c r="I90" s="163">
        <v>336.85276803602488</v>
      </c>
      <c r="J90" s="517">
        <v>1.0153419010100273E-2</v>
      </c>
    </row>
    <row r="91" spans="2:10" x14ac:dyDescent="0.2">
      <c r="B91" s="514"/>
      <c r="C91" s="515">
        <v>750</v>
      </c>
      <c r="D91" s="164">
        <v>0.18416293757873314</v>
      </c>
      <c r="E91" s="164">
        <v>0.96336746641572268</v>
      </c>
      <c r="F91" s="164">
        <v>1.796222439949577</v>
      </c>
      <c r="G91" s="164">
        <v>5.4676589548004924E-3</v>
      </c>
      <c r="H91" s="164">
        <v>5.4400132865540525E-2</v>
      </c>
      <c r="I91" s="163">
        <v>543.79001084725894</v>
      </c>
      <c r="J91" s="517">
        <v>1.6616726310579553E-2</v>
      </c>
    </row>
    <row r="92" spans="2:10" x14ac:dyDescent="0.2">
      <c r="B92" s="514"/>
      <c r="C92" s="515">
        <v>9999</v>
      </c>
      <c r="D92" s="164">
        <v>0.45022254902634923</v>
      </c>
      <c r="E92" s="164">
        <v>2.0058549951542064</v>
      </c>
      <c r="F92" s="164">
        <v>6.6946778509084828</v>
      </c>
      <c r="G92" s="164">
        <v>1.0543437093352101E-2</v>
      </c>
      <c r="H92" s="164">
        <v>0.14758133738822005</v>
      </c>
      <c r="I92" s="524">
        <v>1048.6055167864474</v>
      </c>
      <c r="J92" s="517">
        <v>4.0622849937529792E-2</v>
      </c>
    </row>
    <row r="93" spans="2:10" x14ac:dyDescent="0.2">
      <c r="B93" s="518" t="s">
        <v>527</v>
      </c>
      <c r="C93" s="519"/>
      <c r="D93" s="520">
        <v>3.9500633694898771E-2</v>
      </c>
      <c r="E93" s="520">
        <v>0.2731618206135431</v>
      </c>
      <c r="F93" s="520">
        <v>0.32320881826929387</v>
      </c>
      <c r="G93" s="520">
        <v>6.9799326907848383E-4</v>
      </c>
      <c r="H93" s="520">
        <v>1.4959103906402545E-2</v>
      </c>
      <c r="I93" s="521">
        <v>60.992683806971684</v>
      </c>
      <c r="J93" s="522">
        <v>3.5640786991535706E-3</v>
      </c>
    </row>
    <row r="94" spans="2:10" x14ac:dyDescent="0.2">
      <c r="B94" s="514" t="s">
        <v>528</v>
      </c>
      <c r="C94" s="515">
        <v>50</v>
      </c>
      <c r="D94" s="164">
        <v>5.6301191834870139E-2</v>
      </c>
      <c r="E94" s="164">
        <v>0.27617255463693119</v>
      </c>
      <c r="F94" s="164">
        <v>0.21555937260881464</v>
      </c>
      <c r="G94" s="164">
        <v>3.5599911989020477E-4</v>
      </c>
      <c r="H94" s="164">
        <v>1.2397056734349769E-2</v>
      </c>
      <c r="I94" s="516">
        <v>27.538119683688471</v>
      </c>
      <c r="J94" s="517">
        <v>5.0799656493015106E-3</v>
      </c>
    </row>
    <row r="95" spans="2:10" x14ac:dyDescent="0.2">
      <c r="B95" s="514"/>
      <c r="C95" s="515">
        <v>120</v>
      </c>
      <c r="D95" s="164">
        <v>7.3776017388396398E-2</v>
      </c>
      <c r="E95" s="164">
        <v>0.50896225428940955</v>
      </c>
      <c r="F95" s="164">
        <v>0.45683991723742373</v>
      </c>
      <c r="G95" s="164">
        <v>8.7937637510626795E-4</v>
      </c>
      <c r="H95" s="164">
        <v>3.1074695432146297E-2</v>
      </c>
      <c r="I95" s="516">
        <v>74.964870959124966</v>
      </c>
      <c r="J95" s="517">
        <v>6.6566926785505435E-3</v>
      </c>
    </row>
    <row r="96" spans="2:10" x14ac:dyDescent="0.2">
      <c r="B96" s="514"/>
      <c r="C96" s="515">
        <v>175</v>
      </c>
      <c r="D96" s="164">
        <v>9.178669595161823E-2</v>
      </c>
      <c r="E96" s="164">
        <v>0.72819922009210625</v>
      </c>
      <c r="F96" s="164">
        <v>0.56223071001285752</v>
      </c>
      <c r="G96" s="164">
        <v>1.3943298436427099E-3</v>
      </c>
      <c r="H96" s="164">
        <v>3.0319286072154859E-2</v>
      </c>
      <c r="I96" s="163">
        <v>123.92150674291584</v>
      </c>
      <c r="J96" s="517">
        <v>8.2817683393364445E-3</v>
      </c>
    </row>
    <row r="97" spans="2:10" x14ac:dyDescent="0.2">
      <c r="B97" s="514"/>
      <c r="C97" s="515">
        <v>250</v>
      </c>
      <c r="D97" s="164">
        <v>9.9898358592553624E-2</v>
      </c>
      <c r="E97" s="164">
        <v>0.36826211631667322</v>
      </c>
      <c r="F97" s="164">
        <v>0.67008371461250582</v>
      </c>
      <c r="G97" s="164">
        <v>1.9365694078998311E-3</v>
      </c>
      <c r="H97" s="164">
        <v>2.2973286978473319E-2</v>
      </c>
      <c r="I97" s="163">
        <v>172.11324652900876</v>
      </c>
      <c r="J97" s="517">
        <v>9.0136679330210159E-3</v>
      </c>
    </row>
    <row r="98" spans="2:10" x14ac:dyDescent="0.2">
      <c r="B98" s="514"/>
      <c r="C98" s="515">
        <v>500</v>
      </c>
      <c r="D98" s="164">
        <v>0.12835931067285147</v>
      </c>
      <c r="E98" s="164">
        <v>0.49664143228882163</v>
      </c>
      <c r="F98" s="164">
        <v>0.7981531903749931</v>
      </c>
      <c r="G98" s="164">
        <v>2.2524632483109158E-3</v>
      </c>
      <c r="H98" s="164">
        <v>2.883331148683629E-2</v>
      </c>
      <c r="I98" s="163">
        <v>229.48426254447057</v>
      </c>
      <c r="J98" s="517">
        <v>1.1581652574076154E-2</v>
      </c>
    </row>
    <row r="99" spans="2:10" x14ac:dyDescent="0.2">
      <c r="B99" s="514"/>
      <c r="C99" s="515">
        <v>750</v>
      </c>
      <c r="D99" s="164">
        <v>0.27305295004920416</v>
      </c>
      <c r="E99" s="164">
        <v>1.0507547707129039</v>
      </c>
      <c r="F99" s="164">
        <v>1.7424937958798554</v>
      </c>
      <c r="G99" s="164">
        <v>4.8839978009429406E-3</v>
      </c>
      <c r="H99" s="164">
        <v>6.2077186456362093E-2</v>
      </c>
      <c r="I99" s="163">
        <v>485.74181552151612</v>
      </c>
      <c r="J99" s="517">
        <v>2.4637131713506767E-2</v>
      </c>
    </row>
    <row r="100" spans="2:10" x14ac:dyDescent="0.2">
      <c r="B100" s="518" t="s">
        <v>529</v>
      </c>
      <c r="C100" s="519"/>
      <c r="D100" s="520">
        <v>9.1932677774507962E-2</v>
      </c>
      <c r="E100" s="520">
        <v>0.57654778539141627</v>
      </c>
      <c r="F100" s="520">
        <v>0.58234140266495704</v>
      </c>
      <c r="G100" s="520">
        <v>1.4960729776832622E-3</v>
      </c>
      <c r="H100" s="520">
        <v>2.8027338833479454E-2</v>
      </c>
      <c r="I100" s="523">
        <v>132.7430008321231</v>
      </c>
      <c r="J100" s="522">
        <v>8.2949389764786462E-3</v>
      </c>
    </row>
    <row r="101" spans="2:10" x14ac:dyDescent="0.2">
      <c r="B101" s="514" t="s">
        <v>530</v>
      </c>
      <c r="C101" s="515">
        <v>120</v>
      </c>
      <c r="D101" s="164">
        <v>0.1455332080234209</v>
      </c>
      <c r="E101" s="164">
        <v>0.67885569507605514</v>
      </c>
      <c r="F101" s="164">
        <v>0.842124661503036</v>
      </c>
      <c r="G101" s="164">
        <v>1.0995880729664446E-3</v>
      </c>
      <c r="H101" s="164">
        <v>6.74488599011175E-2</v>
      </c>
      <c r="I101" s="516">
        <v>93.737438144463695</v>
      </c>
      <c r="J101" s="517">
        <v>1.3131228849764585E-2</v>
      </c>
    </row>
    <row r="102" spans="2:10" x14ac:dyDescent="0.2">
      <c r="B102" s="514"/>
      <c r="C102" s="515">
        <v>175</v>
      </c>
      <c r="D102" s="164">
        <v>0.145475766056121</v>
      </c>
      <c r="E102" s="164">
        <v>0.8024566584676629</v>
      </c>
      <c r="F102" s="164">
        <v>0.97122154278352879</v>
      </c>
      <c r="G102" s="164">
        <v>1.4674187105471405E-3</v>
      </c>
      <c r="H102" s="164">
        <v>5.467793917580635E-2</v>
      </c>
      <c r="I102" s="163">
        <v>130.41731614318647</v>
      </c>
      <c r="J102" s="517">
        <v>1.3126045683927039E-2</v>
      </c>
    </row>
    <row r="103" spans="2:10" x14ac:dyDescent="0.2">
      <c r="B103" s="514"/>
      <c r="C103" s="515">
        <v>250</v>
      </c>
      <c r="D103" s="164">
        <v>0.11469893459118935</v>
      </c>
      <c r="E103" s="164">
        <v>0.36144107535366965</v>
      </c>
      <c r="F103" s="164">
        <v>0.88432483105085369</v>
      </c>
      <c r="G103" s="164">
        <v>1.4674183234693588E-3</v>
      </c>
      <c r="H103" s="164">
        <v>3.4840814542121727E-2</v>
      </c>
      <c r="I103" s="163">
        <v>130.41728925485594</v>
      </c>
      <c r="J103" s="517">
        <v>1.0349099284990735E-2</v>
      </c>
    </row>
    <row r="104" spans="2:10" x14ac:dyDescent="0.2">
      <c r="B104" s="514"/>
      <c r="C104" s="515">
        <v>750</v>
      </c>
      <c r="D104" s="164">
        <v>0.46827242581552031</v>
      </c>
      <c r="E104" s="164">
        <v>1.8824529913757542</v>
      </c>
      <c r="F104" s="164">
        <v>3.5642955846132338</v>
      </c>
      <c r="G104" s="164">
        <v>5.7123947156292763E-3</v>
      </c>
      <c r="H104" s="164">
        <v>0.13913630052974971</v>
      </c>
      <c r="I104" s="163">
        <v>568.13027826904408</v>
      </c>
      <c r="J104" s="517">
        <v>4.2251465242702305E-2</v>
      </c>
    </row>
    <row r="105" spans="2:10" x14ac:dyDescent="0.2">
      <c r="B105" s="514"/>
      <c r="C105" s="515">
        <v>1000</v>
      </c>
      <c r="D105" s="164">
        <v>0.71289921402203771</v>
      </c>
      <c r="E105" s="164">
        <v>2.9445155374826348</v>
      </c>
      <c r="F105" s="164">
        <v>7.4278729283629437</v>
      </c>
      <c r="G105" s="164">
        <v>8.1874904836259487E-3</v>
      </c>
      <c r="H105" s="164">
        <v>0.22138231434783603</v>
      </c>
      <c r="I105" s="163">
        <v>814.29302973393612</v>
      </c>
      <c r="J105" s="517">
        <v>6.4323752041040128E-2</v>
      </c>
    </row>
    <row r="106" spans="2:10" x14ac:dyDescent="0.2">
      <c r="B106" s="518" t="s">
        <v>531</v>
      </c>
      <c r="C106" s="519"/>
      <c r="D106" s="520">
        <v>0.14696891688138686</v>
      </c>
      <c r="E106" s="520">
        <v>0.65174465702521933</v>
      </c>
      <c r="F106" s="520">
        <v>1.0657443565355968</v>
      </c>
      <c r="G106" s="520">
        <v>1.6713173066638816E-3</v>
      </c>
      <c r="H106" s="520">
        <v>4.9689711466983442E-2</v>
      </c>
      <c r="I106" s="523">
        <v>151.40312810594165</v>
      </c>
      <c r="J106" s="522">
        <v>1.3260769016429251E-2</v>
      </c>
    </row>
    <row r="107" spans="2:10" x14ac:dyDescent="0.2">
      <c r="B107" s="514" t="s">
        <v>532</v>
      </c>
      <c r="C107" s="515">
        <v>175</v>
      </c>
      <c r="D107" s="164">
        <v>8.3715516254857139E-2</v>
      </c>
      <c r="E107" s="164">
        <v>0.75377930807314752</v>
      </c>
      <c r="F107" s="164">
        <v>0.45635169303621226</v>
      </c>
      <c r="G107" s="164">
        <v>1.4074516222008818E-3</v>
      </c>
      <c r="H107" s="164">
        <v>2.3384426540447322E-2</v>
      </c>
      <c r="I107" s="163">
        <v>125.08772416961908</v>
      </c>
      <c r="J107" s="517">
        <v>7.5535164705536097E-3</v>
      </c>
    </row>
    <row r="108" spans="2:10" x14ac:dyDescent="0.2">
      <c r="B108" s="514"/>
      <c r="C108" s="515">
        <v>250</v>
      </c>
      <c r="D108" s="164">
        <v>9.2725246112278115E-2</v>
      </c>
      <c r="E108" s="164">
        <v>0.35143421911519712</v>
      </c>
      <c r="F108" s="164">
        <v>0.50424090389582876</v>
      </c>
      <c r="G108" s="164">
        <v>1.8739212869985323E-3</v>
      </c>
      <c r="H108" s="164">
        <v>1.7307373778617977E-2</v>
      </c>
      <c r="I108" s="163">
        <v>166.54540745667055</v>
      </c>
      <c r="J108" s="517">
        <v>8.3664496800051249E-3</v>
      </c>
    </row>
    <row r="109" spans="2:10" x14ac:dyDescent="0.2">
      <c r="B109" s="514"/>
      <c r="C109" s="515">
        <v>500</v>
      </c>
      <c r="D109" s="164">
        <v>0.14882026730374234</v>
      </c>
      <c r="E109" s="164">
        <v>0.54461321212407332</v>
      </c>
      <c r="F109" s="164">
        <v>0.74808212416493591</v>
      </c>
      <c r="G109" s="164">
        <v>2.6730468442944921E-3</v>
      </c>
      <c r="H109" s="164">
        <v>2.7322652128819899E-2</v>
      </c>
      <c r="I109" s="163">
        <v>272.33390090411586</v>
      </c>
      <c r="J109" s="517">
        <v>1.3427812413074051E-2</v>
      </c>
    </row>
    <row r="110" spans="2:10" x14ac:dyDescent="0.2">
      <c r="B110" s="514"/>
      <c r="C110" s="515">
        <v>750</v>
      </c>
      <c r="D110" s="164">
        <v>0.2415701871604263</v>
      </c>
      <c r="E110" s="164">
        <v>0.88312341851847642</v>
      </c>
      <c r="F110" s="164">
        <v>1.2347070430513614</v>
      </c>
      <c r="G110" s="164">
        <v>4.4415598720885189E-3</v>
      </c>
      <c r="H110" s="164">
        <v>4.4624058580323166E-2</v>
      </c>
      <c r="I110" s="163">
        <v>441.73846575990945</v>
      </c>
      <c r="J110" s="517">
        <v>2.1796491652530527E-2</v>
      </c>
    </row>
    <row r="111" spans="2:10" x14ac:dyDescent="0.2">
      <c r="B111" s="514"/>
      <c r="C111" s="515">
        <v>1000</v>
      </c>
      <c r="D111" s="164">
        <v>0.36133446651077733</v>
      </c>
      <c r="E111" s="164">
        <v>1.2912750370017205</v>
      </c>
      <c r="F111" s="164">
        <v>3.8920089495121117</v>
      </c>
      <c r="G111" s="164">
        <v>6.2814271417364117E-3</v>
      </c>
      <c r="H111" s="164">
        <v>9.0307835409595472E-2</v>
      </c>
      <c r="I111" s="163">
        <v>624.72399650300588</v>
      </c>
      <c r="J111" s="517">
        <v>3.2602624180029557E-2</v>
      </c>
    </row>
    <row r="112" spans="2:10" x14ac:dyDescent="0.2">
      <c r="B112" s="518" t="s">
        <v>533</v>
      </c>
      <c r="C112" s="519"/>
      <c r="D112" s="520">
        <v>0.1442890733877237</v>
      </c>
      <c r="E112" s="520">
        <v>0.55136323076356331</v>
      </c>
      <c r="F112" s="520">
        <v>0.83060493964831394</v>
      </c>
      <c r="G112" s="520">
        <v>2.658610612407191E-3</v>
      </c>
      <c r="H112" s="520">
        <v>2.80072409116188E-2</v>
      </c>
      <c r="I112" s="523">
        <v>260.08707984361928</v>
      </c>
      <c r="J112" s="522">
        <v>1.3018970571349016E-2</v>
      </c>
    </row>
    <row r="113" spans="2:10" x14ac:dyDescent="0.2">
      <c r="B113" s="514" t="s">
        <v>534</v>
      </c>
      <c r="C113" s="515">
        <v>15</v>
      </c>
      <c r="D113" s="164">
        <v>1.1765473786187855E-2</v>
      </c>
      <c r="E113" s="164">
        <v>6.1714707158800015E-2</v>
      </c>
      <c r="F113" s="164">
        <v>7.3679887120874948E-2</v>
      </c>
      <c r="G113" s="164">
        <v>1.572791321913264E-4</v>
      </c>
      <c r="H113" s="164">
        <v>2.8790707794713148E-3</v>
      </c>
      <c r="I113" s="516">
        <v>10.107338562182004</v>
      </c>
      <c r="J113" s="517">
        <v>1.061580028707935E-3</v>
      </c>
    </row>
    <row r="114" spans="2:10" x14ac:dyDescent="0.2">
      <c r="B114" s="514"/>
      <c r="C114" s="515">
        <v>25</v>
      </c>
      <c r="D114" s="164">
        <v>1.5945102824719573E-2</v>
      </c>
      <c r="E114" s="164">
        <v>5.4422774488749978E-2</v>
      </c>
      <c r="F114" s="164">
        <v>0.10076027326942415</v>
      </c>
      <c r="G114" s="164">
        <v>1.6770238827263772E-4</v>
      </c>
      <c r="H114" s="164">
        <v>3.7629820724530312E-3</v>
      </c>
      <c r="I114" s="516">
        <v>13.217291420484697</v>
      </c>
      <c r="J114" s="517">
        <v>1.4387012607638549E-3</v>
      </c>
    </row>
    <row r="115" spans="2:10" x14ac:dyDescent="0.2">
      <c r="B115" s="514"/>
      <c r="C115" s="515">
        <v>50</v>
      </c>
      <c r="D115" s="164">
        <v>3.2841721722367538E-2</v>
      </c>
      <c r="E115" s="164">
        <v>0.22669185997732424</v>
      </c>
      <c r="F115" s="164">
        <v>0.19561280713305731</v>
      </c>
      <c r="G115" s="164">
        <v>3.6183516980030107E-4</v>
      </c>
      <c r="H115" s="164">
        <v>7.8391258277477876E-3</v>
      </c>
      <c r="I115" s="516">
        <v>27.989558126316705</v>
      </c>
      <c r="J115" s="517">
        <v>2.9632560392784369E-3</v>
      </c>
    </row>
    <row r="116" spans="2:10" x14ac:dyDescent="0.2">
      <c r="B116" s="514"/>
      <c r="C116" s="515">
        <v>120</v>
      </c>
      <c r="D116" s="164">
        <v>5.0105871846393417E-2</v>
      </c>
      <c r="E116" s="164">
        <v>0.5079925730327437</v>
      </c>
      <c r="F116" s="164">
        <v>0.3834622683964804</v>
      </c>
      <c r="G116" s="164">
        <v>9.4851444911412785E-4</v>
      </c>
      <c r="H116" s="164">
        <v>1.9883377579373411E-2</v>
      </c>
      <c r="I116" s="516">
        <v>80.858717635088311</v>
      </c>
      <c r="J116" s="517">
        <v>4.5209718892738789E-3</v>
      </c>
    </row>
    <row r="117" spans="2:10" x14ac:dyDescent="0.2">
      <c r="B117" s="514"/>
      <c r="C117" s="515">
        <v>175</v>
      </c>
      <c r="D117" s="164">
        <v>5.2428261523862159E-2</v>
      </c>
      <c r="E117" s="164">
        <v>0.58586982193623949</v>
      </c>
      <c r="F117" s="164">
        <v>0.34144050849615443</v>
      </c>
      <c r="G117" s="164">
        <v>1.1984859903284837E-3</v>
      </c>
      <c r="H117" s="164">
        <v>1.642059451632661E-2</v>
      </c>
      <c r="I117" s="163">
        <v>106.51582542370917</v>
      </c>
      <c r="J117" s="517">
        <v>4.7305181949433943E-3</v>
      </c>
    </row>
    <row r="118" spans="2:10" x14ac:dyDescent="0.2">
      <c r="B118" s="514"/>
      <c r="C118" s="515">
        <v>500</v>
      </c>
      <c r="D118" s="164">
        <v>0.10121913221118084</v>
      </c>
      <c r="E118" s="164">
        <v>0.4676289611072546</v>
      </c>
      <c r="F118" s="164">
        <v>0.60652272003530283</v>
      </c>
      <c r="G118" s="164">
        <v>2.4954341522000403E-3</v>
      </c>
      <c r="H118" s="164">
        <v>2.1231201296007939E-2</v>
      </c>
      <c r="I118" s="163">
        <v>254.23853104993103</v>
      </c>
      <c r="J118" s="517">
        <v>9.1328399494481263E-3</v>
      </c>
    </row>
    <row r="119" spans="2:10" x14ac:dyDescent="0.2">
      <c r="B119" s="518" t="s">
        <v>535</v>
      </c>
      <c r="C119" s="519"/>
      <c r="D119" s="520">
        <v>5.6298069145106856E-2</v>
      </c>
      <c r="E119" s="520">
        <v>0.35081678443440156</v>
      </c>
      <c r="F119" s="520">
        <v>0.35193050666126618</v>
      </c>
      <c r="G119" s="520">
        <v>1.2662153102548114E-3</v>
      </c>
      <c r="H119" s="520">
        <v>1.3896905603166388E-2</v>
      </c>
      <c r="I119" s="523">
        <v>122.49666066965213</v>
      </c>
      <c r="J119" s="522">
        <v>5.0796845278583951E-3</v>
      </c>
    </row>
    <row r="120" spans="2:10" x14ac:dyDescent="0.2">
      <c r="B120" s="514" t="s">
        <v>536</v>
      </c>
      <c r="C120" s="515">
        <v>15</v>
      </c>
      <c r="D120" s="164">
        <v>6.6325133725311756E-3</v>
      </c>
      <c r="E120" s="164">
        <v>3.9050255540556626E-2</v>
      </c>
      <c r="F120" s="164">
        <v>4.6621276109725461E-2</v>
      </c>
      <c r="G120" s="164">
        <v>9.9519061880928083E-5</v>
      </c>
      <c r="H120" s="164">
        <v>1.8217450486050187E-3</v>
      </c>
      <c r="I120" s="516">
        <v>6.3954636423122553</v>
      </c>
      <c r="J120" s="517">
        <v>5.9844106894511038E-4</v>
      </c>
    </row>
    <row r="121" spans="2:10" x14ac:dyDescent="0.2">
      <c r="B121" s="514"/>
      <c r="C121" s="515">
        <v>25</v>
      </c>
      <c r="D121" s="164">
        <v>1.8516894378325786E-2</v>
      </c>
      <c r="E121" s="164">
        <v>6.3200641888017245E-2</v>
      </c>
      <c r="F121" s="164">
        <v>0.11701192143963288</v>
      </c>
      <c r="G121" s="164">
        <v>1.947511808425618E-4</v>
      </c>
      <c r="H121" s="164">
        <v>4.3721884864031902E-3</v>
      </c>
      <c r="I121" s="516">
        <v>15.349117211418537</v>
      </c>
      <c r="J121" s="517">
        <v>1.6707498520770751E-3</v>
      </c>
    </row>
    <row r="122" spans="2:10" x14ac:dyDescent="0.2">
      <c r="B122" s="514"/>
      <c r="C122" s="515">
        <v>50</v>
      </c>
      <c r="D122" s="164">
        <v>4.3085121593708899E-2</v>
      </c>
      <c r="E122" s="164">
        <v>0.22112015529902238</v>
      </c>
      <c r="F122" s="164">
        <v>0.17435432566527687</v>
      </c>
      <c r="G122" s="164">
        <v>2.8110312456278207E-4</v>
      </c>
      <c r="H122" s="164">
        <v>1.0115250714191698E-2</v>
      </c>
      <c r="I122" s="516">
        <v>21.744577031466619</v>
      </c>
      <c r="J122" s="517">
        <v>3.8875011186259253E-3</v>
      </c>
    </row>
    <row r="123" spans="2:10" x14ac:dyDescent="0.2">
      <c r="B123" s="514"/>
      <c r="C123" s="515">
        <v>120</v>
      </c>
      <c r="D123" s="164">
        <v>6.0208325799550544E-2</v>
      </c>
      <c r="E123" s="164">
        <v>0.42315287659943163</v>
      </c>
      <c r="F123" s="164">
        <v>0.38103269792193806</v>
      </c>
      <c r="G123" s="164">
        <v>7.2771408992410394E-4</v>
      </c>
      <c r="H123" s="164">
        <v>2.5635322875873917E-2</v>
      </c>
      <c r="I123" s="516">
        <v>62.036008668193965</v>
      </c>
      <c r="J123" s="517">
        <v>5.432500118324312E-3</v>
      </c>
    </row>
    <row r="124" spans="2:10" x14ac:dyDescent="0.2">
      <c r="B124" s="514"/>
      <c r="C124" s="515">
        <v>175</v>
      </c>
      <c r="D124" s="164">
        <v>7.2055988825414002E-2</v>
      </c>
      <c r="E124" s="164">
        <v>0.56682893320152039</v>
      </c>
      <c r="F124" s="164">
        <v>0.4439328140071655</v>
      </c>
      <c r="G124" s="164">
        <v>1.0793992635352689E-3</v>
      </c>
      <c r="H124" s="164">
        <v>2.370035601703184E-2</v>
      </c>
      <c r="I124" s="516">
        <v>95.931968635527099</v>
      </c>
      <c r="J124" s="517">
        <v>6.5014961557005261E-3</v>
      </c>
    </row>
    <row r="125" spans="2:10" x14ac:dyDescent="0.2">
      <c r="B125" s="514"/>
      <c r="C125" s="515">
        <v>250</v>
      </c>
      <c r="D125" s="164">
        <v>7.910020015709833E-2</v>
      </c>
      <c r="E125" s="164">
        <v>0.28037489277708233</v>
      </c>
      <c r="F125" s="164">
        <v>0.53178321903104875</v>
      </c>
      <c r="G125" s="164">
        <v>1.5255501803984831E-3</v>
      </c>
      <c r="H125" s="164">
        <v>1.7285629624788294E-2</v>
      </c>
      <c r="I125" s="163">
        <v>135.58379298588321</v>
      </c>
      <c r="J125" s="517">
        <v>7.1370844853956813E-3</v>
      </c>
    </row>
    <row r="126" spans="2:10" x14ac:dyDescent="0.2">
      <c r="B126" s="514"/>
      <c r="C126" s="515">
        <v>500</v>
      </c>
      <c r="D126" s="164">
        <v>0.15059633427004226</v>
      </c>
      <c r="E126" s="164">
        <v>0.52171515800928303</v>
      </c>
      <c r="F126" s="164">
        <v>0.92763581435458498</v>
      </c>
      <c r="G126" s="164">
        <v>2.6051034602651165E-3</v>
      </c>
      <c r="H126" s="164">
        <v>3.2580592802646073E-2</v>
      </c>
      <c r="I126" s="163">
        <v>265.4118101075062</v>
      </c>
      <c r="J126" s="517">
        <v>1.3588065671212754E-2</v>
      </c>
    </row>
    <row r="127" spans="2:10" x14ac:dyDescent="0.2">
      <c r="B127" s="514"/>
      <c r="C127" s="515">
        <v>750</v>
      </c>
      <c r="D127" s="164">
        <v>0.24900728445995776</v>
      </c>
      <c r="E127" s="164">
        <v>0.85988708672662395</v>
      </c>
      <c r="F127" s="164">
        <v>1.5657432044279349</v>
      </c>
      <c r="G127" s="164">
        <v>4.3984362436784675E-3</v>
      </c>
      <c r="H127" s="164">
        <v>5.4339052757645737E-2</v>
      </c>
      <c r="I127" s="163">
        <v>437.44975982292658</v>
      </c>
      <c r="J127" s="517">
        <v>2.2467523275317224E-2</v>
      </c>
    </row>
    <row r="128" spans="2:10" x14ac:dyDescent="0.2">
      <c r="B128" s="514"/>
      <c r="C128" s="515">
        <v>1000</v>
      </c>
      <c r="D128" s="164">
        <v>0.34672322845028858</v>
      </c>
      <c r="E128" s="164">
        <v>1.1855371015600957</v>
      </c>
      <c r="F128" s="164">
        <v>3.8627689768975788</v>
      </c>
      <c r="G128" s="164">
        <v>5.6266552075780888E-3</v>
      </c>
      <c r="H128" s="164">
        <v>9.6924666398973097E-2</v>
      </c>
      <c r="I128" s="163">
        <v>559.60296658263746</v>
      </c>
      <c r="J128" s="517">
        <v>3.1284277228692266E-2</v>
      </c>
    </row>
    <row r="129" spans="2:10" x14ac:dyDescent="0.2">
      <c r="B129" s="518" t="s">
        <v>537</v>
      </c>
      <c r="C129" s="519"/>
      <c r="D129" s="520">
        <v>9.8296125754087707E-2</v>
      </c>
      <c r="E129" s="520">
        <v>0.45173387031626011</v>
      </c>
      <c r="F129" s="520">
        <v>0.66606224489811461</v>
      </c>
      <c r="G129" s="520">
        <v>1.6001047662629177E-3</v>
      </c>
      <c r="H129" s="520">
        <v>2.6200971080897854E-2</v>
      </c>
      <c r="I129" s="523">
        <v>152.23991419528377</v>
      </c>
      <c r="J129" s="522">
        <v>8.869101338358833E-3</v>
      </c>
    </row>
    <row r="130" spans="2:10" x14ac:dyDescent="0.2">
      <c r="B130" s="514" t="s">
        <v>538</v>
      </c>
      <c r="C130" s="515">
        <v>50</v>
      </c>
      <c r="D130" s="164">
        <v>5.9475943680520095E-2</v>
      </c>
      <c r="E130" s="164">
        <v>0.30485996632113338</v>
      </c>
      <c r="F130" s="164">
        <v>0.24247107222000611</v>
      </c>
      <c r="G130" s="164">
        <v>3.9215026617462197E-4</v>
      </c>
      <c r="H130" s="164">
        <v>1.4093910563237323E-2</v>
      </c>
      <c r="I130" s="516">
        <v>30.334564225903506</v>
      </c>
      <c r="J130" s="517">
        <v>5.3664180672689079E-3</v>
      </c>
    </row>
    <row r="131" spans="2:10" x14ac:dyDescent="0.2">
      <c r="B131" s="514"/>
      <c r="C131" s="515">
        <v>120</v>
      </c>
      <c r="D131" s="164">
        <v>5.8257079768557825E-2</v>
      </c>
      <c r="E131" s="164">
        <v>0.41170961972367809</v>
      </c>
      <c r="F131" s="164">
        <v>0.37201117811848294</v>
      </c>
      <c r="G131" s="164">
        <v>7.1167998347993941E-4</v>
      </c>
      <c r="H131" s="164">
        <v>2.5044941348913847E-2</v>
      </c>
      <c r="I131" s="516">
        <v>60.669116625572208</v>
      </c>
      <c r="J131" s="517">
        <v>5.2564432496072806E-3</v>
      </c>
    </row>
    <row r="132" spans="2:10" x14ac:dyDescent="0.2">
      <c r="B132" s="514"/>
      <c r="C132" s="515">
        <v>175</v>
      </c>
      <c r="D132" s="164">
        <v>9.0682200034836805E-2</v>
      </c>
      <c r="E132" s="164">
        <v>0.71755777444585223</v>
      </c>
      <c r="F132" s="164">
        <v>0.56420306032216594</v>
      </c>
      <c r="G132" s="164">
        <v>1.3735883187912796E-3</v>
      </c>
      <c r="H132" s="164">
        <v>3.0137415902685094E-2</v>
      </c>
      <c r="I132" s="163">
        <v>122.07810672719737</v>
      </c>
      <c r="J132" s="517">
        <v>8.1821096944844351E-3</v>
      </c>
    </row>
    <row r="133" spans="2:10" x14ac:dyDescent="0.2">
      <c r="B133" s="514"/>
      <c r="C133" s="515">
        <v>250</v>
      </c>
      <c r="D133" s="164">
        <v>8.3601825234052823E-2</v>
      </c>
      <c r="E133" s="164">
        <v>0.29835555849362111</v>
      </c>
      <c r="F133" s="164">
        <v>0.56835111606854094</v>
      </c>
      <c r="G133" s="164">
        <v>1.6316564120259307E-3</v>
      </c>
      <c r="H133" s="164">
        <v>1.8467901654712779E-2</v>
      </c>
      <c r="I133" s="163">
        <v>145.01401424673142</v>
      </c>
      <c r="J133" s="517">
        <v>7.543257388336333E-3</v>
      </c>
    </row>
    <row r="134" spans="2:10" x14ac:dyDescent="0.2">
      <c r="B134" s="514"/>
      <c r="C134" s="515">
        <v>500</v>
      </c>
      <c r="D134" s="164">
        <v>0.1074082110866703</v>
      </c>
      <c r="E134" s="164">
        <v>0.37517065531917859</v>
      </c>
      <c r="F134" s="164">
        <v>0.66919389895760362</v>
      </c>
      <c r="G134" s="164">
        <v>1.8808689509428227E-3</v>
      </c>
      <c r="H134" s="164">
        <v>2.3496581050437733E-2</v>
      </c>
      <c r="I134" s="163">
        <v>191.62563123157122</v>
      </c>
      <c r="J134" s="517">
        <v>9.691272904946667E-3</v>
      </c>
    </row>
    <row r="135" spans="2:10" x14ac:dyDescent="0.2">
      <c r="B135" s="514"/>
      <c r="C135" s="515">
        <v>9999</v>
      </c>
      <c r="D135" s="164">
        <v>0.49100418289231768</v>
      </c>
      <c r="E135" s="164">
        <v>1.5647471304128513</v>
      </c>
      <c r="F135" s="164">
        <v>5.1081975910446946</v>
      </c>
      <c r="G135" s="164">
        <v>7.2765622672466054E-3</v>
      </c>
      <c r="H135" s="164">
        <v>0.12795548394089115</v>
      </c>
      <c r="I135" s="163">
        <v>741.34703864136031</v>
      </c>
      <c r="J135" s="517">
        <v>4.4302525863725711E-2</v>
      </c>
    </row>
    <row r="136" spans="2:10" x14ac:dyDescent="0.2">
      <c r="B136" s="518" t="s">
        <v>539</v>
      </c>
      <c r="C136" s="519"/>
      <c r="D136" s="520">
        <v>9.2437941324671313E-2</v>
      </c>
      <c r="E136" s="520">
        <v>0.44287164923921968</v>
      </c>
      <c r="F136" s="520">
        <v>0.6500332134080804</v>
      </c>
      <c r="G136" s="520">
        <v>1.5432206079695916E-3</v>
      </c>
      <c r="H136" s="520">
        <v>2.5200258399449976E-2</v>
      </c>
      <c r="I136" s="523">
        <v>141.19407197804051</v>
      </c>
      <c r="J136" s="522">
        <v>8.3405270591166598E-3</v>
      </c>
    </row>
    <row r="137" spans="2:10" x14ac:dyDescent="0.2">
      <c r="B137" s="514" t="s">
        <v>540</v>
      </c>
      <c r="C137" s="515">
        <v>25</v>
      </c>
      <c r="D137" s="164">
        <v>2.2542575286472438E-2</v>
      </c>
      <c r="E137" s="164">
        <v>7.6832130623002093E-2</v>
      </c>
      <c r="F137" s="164">
        <v>0.14268723122456714</v>
      </c>
      <c r="G137" s="164">
        <v>2.3675627015950069E-4</v>
      </c>
      <c r="H137" s="164">
        <v>5.5079387431039043E-3</v>
      </c>
      <c r="I137" s="516">
        <v>18.659704287872717</v>
      </c>
      <c r="J137" s="517">
        <v>2.0339796509516723E-3</v>
      </c>
    </row>
    <row r="138" spans="2:10" x14ac:dyDescent="0.2">
      <c r="B138" s="514"/>
      <c r="C138" s="515">
        <v>50</v>
      </c>
      <c r="D138" s="164">
        <v>8.3442637109689063E-2</v>
      </c>
      <c r="E138" s="164">
        <v>0.30552009835262683</v>
      </c>
      <c r="F138" s="164">
        <v>0.23978279454674431</v>
      </c>
      <c r="G138" s="164">
        <v>3.6183505768404392E-4</v>
      </c>
      <c r="H138" s="164">
        <v>1.8368021047282256E-2</v>
      </c>
      <c r="I138" s="516">
        <v>27.989557919170732</v>
      </c>
      <c r="J138" s="517">
        <v>7.5288945414714618E-3</v>
      </c>
    </row>
    <row r="139" spans="2:10" x14ac:dyDescent="0.2">
      <c r="B139" s="514"/>
      <c r="C139" s="515">
        <v>120</v>
      </c>
      <c r="D139" s="164">
        <v>9.1008877559226917E-2</v>
      </c>
      <c r="E139" s="164">
        <v>0.48052331194306769</v>
      </c>
      <c r="F139" s="164">
        <v>0.54712329501993107</v>
      </c>
      <c r="G139" s="164">
        <v>8.1170922760195939E-4</v>
      </c>
      <c r="H139" s="164">
        <v>4.2791319717909004E-2</v>
      </c>
      <c r="I139" s="516">
        <v>69.196420962043518</v>
      </c>
      <c r="J139" s="517">
        <v>8.211584879448874E-3</v>
      </c>
    </row>
    <row r="140" spans="2:10" x14ac:dyDescent="0.2">
      <c r="B140" s="514"/>
      <c r="C140" s="515">
        <v>175</v>
      </c>
      <c r="D140" s="164">
        <v>0.12173629242828898</v>
      </c>
      <c r="E140" s="164">
        <v>0.75993196204137425</v>
      </c>
      <c r="F140" s="164">
        <v>0.81867429864313523</v>
      </c>
      <c r="G140" s="164">
        <v>1.4434316077254522E-3</v>
      </c>
      <c r="H140" s="164">
        <v>4.5897926230493546E-2</v>
      </c>
      <c r="I140" s="163">
        <v>128.2854723278152</v>
      </c>
      <c r="J140" s="517">
        <v>1.0984068926045327E-2</v>
      </c>
    </row>
    <row r="141" spans="2:10" x14ac:dyDescent="0.2">
      <c r="B141" s="514"/>
      <c r="C141" s="515">
        <v>250</v>
      </c>
      <c r="D141" s="164">
        <v>0.1411233726122777</v>
      </c>
      <c r="E141" s="164">
        <v>0.47125565908142902</v>
      </c>
      <c r="F141" s="164">
        <v>1.1106252727104715</v>
      </c>
      <c r="G141" s="164">
        <v>2.187018416691945E-3</v>
      </c>
      <c r="H141" s="164">
        <v>4.0739575328565203E-2</v>
      </c>
      <c r="I141" s="163">
        <v>194.37199222044424</v>
      </c>
      <c r="J141" s="517">
        <v>1.2733338042162666E-2</v>
      </c>
    </row>
    <row r="142" spans="2:10" x14ac:dyDescent="0.2">
      <c r="B142" s="514"/>
      <c r="C142" s="515">
        <v>500</v>
      </c>
      <c r="D142" s="164">
        <v>0.15945196299408348</v>
      </c>
      <c r="E142" s="164">
        <v>0.63053385524400529</v>
      </c>
      <c r="F142" s="164">
        <v>1.1959077361162653</v>
      </c>
      <c r="G142" s="164">
        <v>2.2893886888677253E-3</v>
      </c>
      <c r="H142" s="164">
        <v>4.4988171977976645E-2</v>
      </c>
      <c r="I142" s="163">
        <v>233.24633750281922</v>
      </c>
      <c r="J142" s="517">
        <v>1.4387093798589837E-2</v>
      </c>
    </row>
    <row r="143" spans="2:10" x14ac:dyDescent="0.2">
      <c r="B143" s="518" t="s">
        <v>541</v>
      </c>
      <c r="C143" s="519"/>
      <c r="D143" s="520">
        <v>9.886481784784712E-2</v>
      </c>
      <c r="E143" s="520">
        <v>0.49199777738066641</v>
      </c>
      <c r="F143" s="520">
        <v>0.5449718376493019</v>
      </c>
      <c r="G143" s="520">
        <v>8.9492317725901513E-4</v>
      </c>
      <c r="H143" s="520">
        <v>3.5466487374039173E-2</v>
      </c>
      <c r="I143" s="521">
        <v>77.933167754728089</v>
      </c>
      <c r="J143" s="522">
        <v>8.9204133153291624E-3</v>
      </c>
    </row>
    <row r="144" spans="2:10" x14ac:dyDescent="0.2">
      <c r="B144" s="514" t="s">
        <v>542</v>
      </c>
      <c r="C144" s="515">
        <v>25</v>
      </c>
      <c r="D144" s="164">
        <v>1.5234078639092132E-2</v>
      </c>
      <c r="E144" s="164">
        <v>5.1995939024981508E-2</v>
      </c>
      <c r="F144" s="164">
        <v>9.6267154779563088E-2</v>
      </c>
      <c r="G144" s="164">
        <v>1.6022417639593168E-4</v>
      </c>
      <c r="H144" s="164">
        <v>3.5951825650199281E-3</v>
      </c>
      <c r="I144" s="516">
        <v>12.627904574685251</v>
      </c>
      <c r="J144" s="517">
        <v>1.3745461258924409E-3</v>
      </c>
    </row>
    <row r="145" spans="2:10" x14ac:dyDescent="0.2">
      <c r="B145" s="514"/>
      <c r="C145" s="515">
        <v>50</v>
      </c>
      <c r="D145" s="164">
        <v>7.0226545521285835E-2</v>
      </c>
      <c r="E145" s="164">
        <v>0.2577224965243487</v>
      </c>
      <c r="F145" s="164">
        <v>0.20434587778894314</v>
      </c>
      <c r="G145" s="164">
        <v>3.0931060665523763E-4</v>
      </c>
      <c r="H145" s="164">
        <v>1.5665316408534295E-2</v>
      </c>
      <c r="I145" s="516">
        <v>23.926557983286095</v>
      </c>
      <c r="J145" s="517">
        <v>6.3364274263242341E-3</v>
      </c>
    </row>
    <row r="146" spans="2:10" x14ac:dyDescent="0.2">
      <c r="B146" s="514"/>
      <c r="C146" s="515">
        <v>120</v>
      </c>
      <c r="D146" s="164">
        <v>7.0791560583568808E-2</v>
      </c>
      <c r="E146" s="164">
        <v>0.37624168701797139</v>
      </c>
      <c r="F146" s="164">
        <v>0.42799780492794465</v>
      </c>
      <c r="G146" s="164">
        <v>6.3930579784994839E-4</v>
      </c>
      <c r="H146" s="164">
        <v>3.3719287467512842E-2</v>
      </c>
      <c r="I146" s="516">
        <v>54.499384662220642</v>
      </c>
      <c r="J146" s="517">
        <v>6.3874089853107243E-3</v>
      </c>
    </row>
    <row r="147" spans="2:10" x14ac:dyDescent="0.2">
      <c r="B147" s="514"/>
      <c r="C147" s="515">
        <v>175</v>
      </c>
      <c r="D147" s="164">
        <v>9.4427130938123729E-2</v>
      </c>
      <c r="E147" s="164">
        <v>0.5945185559364432</v>
      </c>
      <c r="F147" s="164">
        <v>0.6402947970463857</v>
      </c>
      <c r="G147" s="164">
        <v>1.1366846404269881E-3</v>
      </c>
      <c r="H147" s="164">
        <v>3.5970873931527376E-2</v>
      </c>
      <c r="I147" s="163">
        <v>101.02323377489428</v>
      </c>
      <c r="J147" s="517">
        <v>8.5200082841543449E-3</v>
      </c>
    </row>
    <row r="148" spans="2:10" x14ac:dyDescent="0.2">
      <c r="B148" s="514"/>
      <c r="C148" s="515">
        <v>250</v>
      </c>
      <c r="D148" s="164">
        <v>8.6361580779308889E-2</v>
      </c>
      <c r="E148" s="164">
        <v>0.28943066842214549</v>
      </c>
      <c r="F148" s="164">
        <v>0.69278586749846682</v>
      </c>
      <c r="G148" s="164">
        <v>1.3759869279705394E-3</v>
      </c>
      <c r="H148" s="164">
        <v>2.4902110482363852E-2</v>
      </c>
      <c r="I148" s="163">
        <v>122.29129100270185</v>
      </c>
      <c r="J148" s="517">
        <v>7.7922684467853264E-3</v>
      </c>
    </row>
    <row r="149" spans="2:10" x14ac:dyDescent="0.2">
      <c r="B149" s="518" t="s">
        <v>543</v>
      </c>
      <c r="C149" s="519"/>
      <c r="D149" s="520">
        <v>7.5701498333410805E-2</v>
      </c>
      <c r="E149" s="520">
        <v>0.40844574657578864</v>
      </c>
      <c r="F149" s="520">
        <v>0.48065836313420846</v>
      </c>
      <c r="G149" s="520">
        <v>7.9299526819331609E-4</v>
      </c>
      <c r="H149" s="520">
        <v>3.1542905519783525E-2</v>
      </c>
      <c r="I149" s="521">
        <v>68.939118920239537</v>
      </c>
      <c r="J149" s="522">
        <v>6.8304247628271936E-3</v>
      </c>
    </row>
    <row r="150" spans="2:10" x14ac:dyDescent="0.2">
      <c r="B150" s="514" t="s">
        <v>544</v>
      </c>
      <c r="C150" s="515">
        <v>15</v>
      </c>
      <c r="D150" s="164">
        <v>5.0214950711911796E-3</v>
      </c>
      <c r="E150" s="164">
        <v>2.6339779584359464E-2</v>
      </c>
      <c r="F150" s="164">
        <v>3.1446512537734457E-2</v>
      </c>
      <c r="G150" s="164">
        <v>6.7126593061536221E-5</v>
      </c>
      <c r="H150" s="164">
        <v>1.228785056875333E-3</v>
      </c>
      <c r="I150" s="516">
        <v>4.3138036927462764</v>
      </c>
      <c r="J150" s="517">
        <v>4.5308145038899566E-4</v>
      </c>
    </row>
    <row r="151" spans="2:10" x14ac:dyDescent="0.2">
      <c r="B151" s="518" t="s">
        <v>545</v>
      </c>
      <c r="C151" s="519"/>
      <c r="D151" s="520">
        <v>5.0214950711911796E-3</v>
      </c>
      <c r="E151" s="520">
        <v>2.6339779584359464E-2</v>
      </c>
      <c r="F151" s="520">
        <v>3.1446512537734457E-2</v>
      </c>
      <c r="G151" s="520">
        <v>6.7126593061536221E-5</v>
      </c>
      <c r="H151" s="520">
        <v>1.228785056875333E-3</v>
      </c>
      <c r="I151" s="521">
        <v>4.3138036927462764</v>
      </c>
      <c r="J151" s="522">
        <v>4.5308145038899566E-4</v>
      </c>
    </row>
    <row r="152" spans="2:10" x14ac:dyDescent="0.2">
      <c r="B152" s="514" t="s">
        <v>546</v>
      </c>
      <c r="C152" s="515">
        <v>15</v>
      </c>
      <c r="D152" s="164">
        <v>5.5771619198879538E-3</v>
      </c>
      <c r="E152" s="164">
        <v>3.0549890957770481E-2</v>
      </c>
      <c r="F152" s="164">
        <v>3.8976283244884773E-2</v>
      </c>
      <c r="G152" s="164">
        <v>7.6102817377774837E-5</v>
      </c>
      <c r="H152" s="164">
        <v>1.8420058816914092E-3</v>
      </c>
      <c r="I152" s="516">
        <v>4.8906481482290571</v>
      </c>
      <c r="J152" s="517">
        <v>5.0321835125429935E-4</v>
      </c>
    </row>
    <row r="153" spans="2:10" x14ac:dyDescent="0.2">
      <c r="B153" s="514"/>
      <c r="C153" s="515">
        <v>25</v>
      </c>
      <c r="D153" s="164">
        <v>9.0863191768852831E-3</v>
      </c>
      <c r="E153" s="164">
        <v>3.1179692914121596E-2</v>
      </c>
      <c r="F153" s="164">
        <v>5.7164491686640978E-2</v>
      </c>
      <c r="G153" s="164">
        <v>9.0692930130977073E-5</v>
      </c>
      <c r="H153" s="164">
        <v>2.5987400008164957E-3</v>
      </c>
      <c r="I153" s="516">
        <v>7.1478711519103912</v>
      </c>
      <c r="J153" s="517">
        <v>8.1984397381833869E-4</v>
      </c>
    </row>
    <row r="154" spans="2:10" x14ac:dyDescent="0.2">
      <c r="B154" s="514"/>
      <c r="C154" s="515">
        <v>50</v>
      </c>
      <c r="D154" s="164">
        <v>1.2796771950297506E-2</v>
      </c>
      <c r="E154" s="164">
        <v>8.5614826348827347E-2</v>
      </c>
      <c r="F154" s="164">
        <v>9.8641223132672318E-2</v>
      </c>
      <c r="G154" s="164">
        <v>1.8480825107934117E-4</v>
      </c>
      <c r="H154" s="164">
        <v>4.0962725523827114E-3</v>
      </c>
      <c r="I154" s="516">
        <v>14.29574202903401</v>
      </c>
      <c r="J154" s="517">
        <v>1.1546321684353564E-3</v>
      </c>
    </row>
    <row r="155" spans="2:10" x14ac:dyDescent="0.2">
      <c r="B155" s="514"/>
      <c r="C155" s="515">
        <v>120</v>
      </c>
      <c r="D155" s="164">
        <v>1.2818457871326617E-2</v>
      </c>
      <c r="E155" s="164">
        <v>0.13674631929662598</v>
      </c>
      <c r="F155" s="164">
        <v>0.12933411951302437</v>
      </c>
      <c r="G155" s="164">
        <v>2.8243607408282338E-4</v>
      </c>
      <c r="H155" s="164">
        <v>6.4810546517803866E-3</v>
      </c>
      <c r="I155" s="516">
        <v>24.077043190319003</v>
      </c>
      <c r="J155" s="517">
        <v>1.1565889296465592E-3</v>
      </c>
    </row>
    <row r="156" spans="2:10" x14ac:dyDescent="0.2">
      <c r="B156" s="518" t="s">
        <v>547</v>
      </c>
      <c r="C156" s="519"/>
      <c r="D156" s="520">
        <v>8.5115426849539776E-3</v>
      </c>
      <c r="E156" s="520">
        <v>5.485451130489008E-2</v>
      </c>
      <c r="F156" s="520">
        <v>6.4976131072009891E-2</v>
      </c>
      <c r="G156" s="520">
        <v>1.2539797340215691E-4</v>
      </c>
      <c r="H156" s="520">
        <v>2.9568207644164292E-3</v>
      </c>
      <c r="I156" s="521">
        <v>9.4135475061363252</v>
      </c>
      <c r="J156" s="522">
        <v>7.6798282216215894E-4</v>
      </c>
    </row>
    <row r="157" spans="2:10" x14ac:dyDescent="0.2">
      <c r="B157" s="514" t="s">
        <v>548</v>
      </c>
      <c r="C157" s="515">
        <v>15</v>
      </c>
      <c r="D157" s="164">
        <v>9.5931165156986856E-3</v>
      </c>
      <c r="E157" s="164">
        <v>4.6373168919573042E-2</v>
      </c>
      <c r="F157" s="164">
        <v>5.9520334782239968E-2</v>
      </c>
      <c r="G157" s="164">
        <v>1.1552014178847078E-4</v>
      </c>
      <c r="H157" s="164">
        <v>2.9950030938114785E-3</v>
      </c>
      <c r="I157" s="516">
        <v>7.423752384750073</v>
      </c>
      <c r="J157" s="517">
        <v>8.6557148461134995E-4</v>
      </c>
    </row>
    <row r="158" spans="2:10" x14ac:dyDescent="0.2">
      <c r="B158" s="514"/>
      <c r="C158" s="515">
        <v>25</v>
      </c>
      <c r="D158" s="164">
        <v>2.6488483934466175E-2</v>
      </c>
      <c r="E158" s="164">
        <v>8.5005693705608745E-2</v>
      </c>
      <c r="F158" s="164">
        <v>0.1558484946176048</v>
      </c>
      <c r="G158" s="164">
        <v>2.4725757333557977E-4</v>
      </c>
      <c r="H158" s="164">
        <v>7.3157275353590507E-3</v>
      </c>
      <c r="I158" s="516">
        <v>19.48735438971147</v>
      </c>
      <c r="J158" s="517">
        <v>2.3900129697414945E-3</v>
      </c>
    </row>
    <row r="159" spans="2:10" x14ac:dyDescent="0.2">
      <c r="B159" s="514"/>
      <c r="C159" s="515">
        <v>50</v>
      </c>
      <c r="D159" s="164">
        <v>4.6492173535925926E-2</v>
      </c>
      <c r="E159" s="164">
        <v>0.25464112034823438</v>
      </c>
      <c r="F159" s="164">
        <v>0.24972807833189081</v>
      </c>
      <c r="G159" s="164">
        <v>4.4386393432230395E-4</v>
      </c>
      <c r="H159" s="164">
        <v>1.259745820421034E-2</v>
      </c>
      <c r="I159" s="516">
        <v>34.334861041792713</v>
      </c>
      <c r="J159" s="517">
        <v>4.1949151840640761E-3</v>
      </c>
    </row>
    <row r="160" spans="2:10" x14ac:dyDescent="0.2">
      <c r="B160" s="514"/>
      <c r="C160" s="515">
        <v>120</v>
      </c>
      <c r="D160" s="164">
        <v>5.3661498025252719E-2</v>
      </c>
      <c r="E160" s="164">
        <v>0.47128251802198246</v>
      </c>
      <c r="F160" s="164">
        <v>0.44422015028101619</v>
      </c>
      <c r="G160" s="164">
        <v>9.1438696481360834E-4</v>
      </c>
      <c r="H160" s="164">
        <v>2.631639365717893E-2</v>
      </c>
      <c r="I160" s="516">
        <v>77.949431405774021</v>
      </c>
      <c r="J160" s="517">
        <v>4.8417911296390016E-3</v>
      </c>
    </row>
    <row r="161" spans="2:10" x14ac:dyDescent="0.2">
      <c r="B161" s="514"/>
      <c r="C161" s="515">
        <v>175</v>
      </c>
      <c r="D161" s="164">
        <v>7.1175563637305789E-2</v>
      </c>
      <c r="E161" s="164">
        <v>0.73362877248894975</v>
      </c>
      <c r="F161" s="164">
        <v>0.60074145700487347</v>
      </c>
      <c r="G161" s="164">
        <v>1.5766283782824924E-3</v>
      </c>
      <c r="H161" s="164">
        <v>2.7688475300479409E-2</v>
      </c>
      <c r="I161" s="163">
        <v>140.12338024710866</v>
      </c>
      <c r="J161" s="517">
        <v>6.4220559091660769E-3</v>
      </c>
    </row>
    <row r="162" spans="2:10" x14ac:dyDescent="0.2">
      <c r="B162" s="514"/>
      <c r="C162" s="515">
        <v>250</v>
      </c>
      <c r="D162" s="164">
        <v>7.596302574496025E-2</v>
      </c>
      <c r="E162" s="164">
        <v>0.36998291024393942</v>
      </c>
      <c r="F162" s="164">
        <v>0.73375213921205729</v>
      </c>
      <c r="G162" s="164">
        <v>2.2657505187474529E-3</v>
      </c>
      <c r="H162" s="164">
        <v>2.152536934515277E-2</v>
      </c>
      <c r="I162" s="163">
        <v>201.36932166774275</v>
      </c>
      <c r="J162" s="517">
        <v>6.8540222560522432E-3</v>
      </c>
    </row>
    <row r="163" spans="2:10" x14ac:dyDescent="0.2">
      <c r="B163" s="514"/>
      <c r="C163" s="515">
        <v>500</v>
      </c>
      <c r="D163" s="164">
        <v>0.12412921616426985</v>
      </c>
      <c r="E163" s="164">
        <v>0.61891933332876836</v>
      </c>
      <c r="F163" s="164">
        <v>1.1296926874256115</v>
      </c>
      <c r="G163" s="164">
        <v>3.3882963872710159E-3</v>
      </c>
      <c r="H163" s="164">
        <v>3.554515082371032E-2</v>
      </c>
      <c r="I163" s="163">
        <v>345.20454800190942</v>
      </c>
      <c r="J163" s="517">
        <v>1.1199979452376149E-2</v>
      </c>
    </row>
    <row r="164" spans="2:10" x14ac:dyDescent="0.2">
      <c r="B164" s="514"/>
      <c r="C164" s="515">
        <v>750</v>
      </c>
      <c r="D164" s="164">
        <v>0.20750111462941248</v>
      </c>
      <c r="E164" s="164">
        <v>1.0232131600059229</v>
      </c>
      <c r="F164" s="164">
        <v>1.9114496470786864</v>
      </c>
      <c r="G164" s="164">
        <v>5.7382422043261508E-3</v>
      </c>
      <c r="H164" s="164">
        <v>5.94425475474624E-2</v>
      </c>
      <c r="I164" s="163">
        <v>570.70092753052006</v>
      </c>
      <c r="J164" s="517">
        <v>1.8722489749642308E-2</v>
      </c>
    </row>
    <row r="165" spans="2:10" x14ac:dyDescent="0.2">
      <c r="B165" s="514"/>
      <c r="C165" s="515">
        <v>9999</v>
      </c>
      <c r="D165" s="164">
        <v>0.61273788388571171</v>
      </c>
      <c r="E165" s="164">
        <v>2.6255083454918724</v>
      </c>
      <c r="F165" s="164">
        <v>8.7489191451216506</v>
      </c>
      <c r="G165" s="164">
        <v>1.3622494680504638E-2</v>
      </c>
      <c r="H165" s="164">
        <v>0.19608925615743603</v>
      </c>
      <c r="I165" s="524">
        <v>1354.8351213565354</v>
      </c>
      <c r="J165" s="517">
        <v>5.5286374655076194E-2</v>
      </c>
    </row>
    <row r="166" spans="2:10" x14ac:dyDescent="0.2">
      <c r="B166" s="518" t="s">
        <v>549</v>
      </c>
      <c r="C166" s="519"/>
      <c r="D166" s="520">
        <v>3.758579672097756E-2</v>
      </c>
      <c r="E166" s="520">
        <v>0.26740058319979404</v>
      </c>
      <c r="F166" s="520">
        <v>0.28540263936890903</v>
      </c>
      <c r="G166" s="520">
        <v>5.9045669598274144E-4</v>
      </c>
      <c r="H166" s="520">
        <v>1.4674135815069385E-2</v>
      </c>
      <c r="I166" s="521">
        <v>49.606653151528768</v>
      </c>
      <c r="J166" s="522">
        <v>3.3913063404078622E-3</v>
      </c>
    </row>
    <row r="167" spans="2:10" x14ac:dyDescent="0.2">
      <c r="B167" s="514" t="s">
        <v>550</v>
      </c>
      <c r="C167" s="515">
        <v>15</v>
      </c>
      <c r="D167" s="164">
        <v>7.357072737508949E-3</v>
      </c>
      <c r="E167" s="164">
        <v>3.8590830350548389E-2</v>
      </c>
      <c r="F167" s="164">
        <v>4.6072780873362605E-2</v>
      </c>
      <c r="G167" s="164">
        <v>9.8348224230616606E-5</v>
      </c>
      <c r="H167" s="164">
        <v>1.8003124570573745E-3</v>
      </c>
      <c r="I167" s="516">
        <v>6.3202206657730828</v>
      </c>
      <c r="J167" s="517">
        <v>6.6381655695392863E-4</v>
      </c>
    </row>
    <row r="168" spans="2:10" x14ac:dyDescent="0.2">
      <c r="B168" s="514"/>
      <c r="C168" s="515">
        <v>25</v>
      </c>
      <c r="D168" s="164">
        <v>1.6096388755072008E-2</v>
      </c>
      <c r="E168" s="164">
        <v>5.4939116803627071E-2</v>
      </c>
      <c r="F168" s="164">
        <v>0.10171628584153909</v>
      </c>
      <c r="G168" s="164">
        <v>1.6929349066177371E-4</v>
      </c>
      <c r="H168" s="164">
        <v>3.7986842464536267E-3</v>
      </c>
      <c r="I168" s="516">
        <v>13.342695674498392</v>
      </c>
      <c r="J168" s="517">
        <v>1.4523511067426834E-3</v>
      </c>
    </row>
    <row r="169" spans="2:10" x14ac:dyDescent="0.2">
      <c r="B169" s="514"/>
      <c r="C169" s="515">
        <v>50</v>
      </c>
      <c r="D169" s="164">
        <v>5.4293249282124686E-2</v>
      </c>
      <c r="E169" s="164">
        <v>0.24359319398874554</v>
      </c>
      <c r="F169" s="164">
        <v>0.20387921924746388</v>
      </c>
      <c r="G169" s="164">
        <v>3.3589709767778788E-4</v>
      </c>
      <c r="H169" s="164">
        <v>1.2771198174524346E-2</v>
      </c>
      <c r="I169" s="516">
        <v>25.983140190132534</v>
      </c>
      <c r="J169" s="517">
        <v>4.8987930092023752E-3</v>
      </c>
    </row>
    <row r="170" spans="2:10" x14ac:dyDescent="0.2">
      <c r="B170" s="514"/>
      <c r="C170" s="515">
        <v>120</v>
      </c>
      <c r="D170" s="164">
        <v>5.7577928633947055E-2</v>
      </c>
      <c r="E170" s="164">
        <v>0.38732507309138114</v>
      </c>
      <c r="F170" s="164">
        <v>0.37989749176994209</v>
      </c>
      <c r="G170" s="164">
        <v>6.9196833956478867E-4</v>
      </c>
      <c r="H170" s="164">
        <v>2.7020257817785442E-2</v>
      </c>
      <c r="I170" s="516">
        <v>58.988752232898214</v>
      </c>
      <c r="J170" s="517">
        <v>5.195162380142981E-3</v>
      </c>
    </row>
    <row r="171" spans="2:10" x14ac:dyDescent="0.2">
      <c r="B171" s="514"/>
      <c r="C171" s="515">
        <v>175</v>
      </c>
      <c r="D171" s="164">
        <v>7.7410791205361359E-2</v>
      </c>
      <c r="E171" s="164">
        <v>0.61139379338766198</v>
      </c>
      <c r="F171" s="164">
        <v>0.53308727944171019</v>
      </c>
      <c r="G171" s="164">
        <v>1.2168285146539294E-3</v>
      </c>
      <c r="H171" s="164">
        <v>2.8561497071567712E-2</v>
      </c>
      <c r="I171" s="163">
        <v>108.14602721793798</v>
      </c>
      <c r="J171" s="517">
        <v>6.9846509773923747E-3</v>
      </c>
    </row>
    <row r="172" spans="2:10" x14ac:dyDescent="0.2">
      <c r="B172" s="514"/>
      <c r="C172" s="515">
        <v>250</v>
      </c>
      <c r="D172" s="164">
        <v>8.4182614086600133E-2</v>
      </c>
      <c r="E172" s="164">
        <v>0.3200705350280611</v>
      </c>
      <c r="F172" s="164">
        <v>0.658094331660252</v>
      </c>
      <c r="G172" s="164">
        <v>1.7225233568523399E-3</v>
      </c>
      <c r="H172" s="164">
        <v>2.2332176312918565E-2</v>
      </c>
      <c r="I172" s="163">
        <v>153.08982237295896</v>
      </c>
      <c r="J172" s="517">
        <v>7.5956615609982479E-3</v>
      </c>
    </row>
    <row r="173" spans="2:10" x14ac:dyDescent="0.2">
      <c r="B173" s="514"/>
      <c r="C173" s="515">
        <v>500</v>
      </c>
      <c r="D173" s="164">
        <v>0.11511356123272347</v>
      </c>
      <c r="E173" s="164">
        <v>0.46070792100619062</v>
      </c>
      <c r="F173" s="164">
        <v>0.8353763373206059</v>
      </c>
      <c r="G173" s="164">
        <v>2.150548471545334E-3</v>
      </c>
      <c r="H173" s="164">
        <v>2.9931154209008673E-2</v>
      </c>
      <c r="I173" s="163">
        <v>219.1009295531957</v>
      </c>
      <c r="J173" s="517">
        <v>1.0386510997568099E-2</v>
      </c>
    </row>
    <row r="174" spans="2:10" x14ac:dyDescent="0.2">
      <c r="B174" s="518" t="s">
        <v>551</v>
      </c>
      <c r="C174" s="519"/>
      <c r="D174" s="520">
        <v>5.8414851020957427E-2</v>
      </c>
      <c r="E174" s="520">
        <v>0.38367387053648011</v>
      </c>
      <c r="F174" s="520">
        <v>0.37932683333484696</v>
      </c>
      <c r="G174" s="520">
        <v>7.6956637597093392E-4</v>
      </c>
      <c r="H174" s="520">
        <v>2.3231162801945406E-2</v>
      </c>
      <c r="I174" s="521">
        <v>67.040167455757114</v>
      </c>
      <c r="J174" s="522">
        <v>5.2706772066280138E-3</v>
      </c>
    </row>
    <row r="175" spans="2:10" x14ac:dyDescent="0.2">
      <c r="B175" s="514" t="s">
        <v>164</v>
      </c>
      <c r="C175" s="515">
        <v>50</v>
      </c>
      <c r="D175" s="164">
        <v>5.2033526451014819E-2</v>
      </c>
      <c r="E175" s="164">
        <v>0.31714607922991556</v>
      </c>
      <c r="F175" s="164">
        <v>0.25561410352618247</v>
      </c>
      <c r="G175" s="164">
        <v>4.3770391119303054E-4</v>
      </c>
      <c r="H175" s="164">
        <v>1.2240250437345132E-2</v>
      </c>
      <c r="I175" s="516">
        <v>33.858351698465185</v>
      </c>
      <c r="J175" s="517">
        <v>4.6949015611859471E-3</v>
      </c>
    </row>
    <row r="176" spans="2:10" x14ac:dyDescent="0.2">
      <c r="B176" s="514"/>
      <c r="C176" s="515">
        <v>120</v>
      </c>
      <c r="D176" s="164">
        <v>4.9490624207536277E-2</v>
      </c>
      <c r="E176" s="164">
        <v>0.41422609043537245</v>
      </c>
      <c r="F176" s="164">
        <v>0.3325899587811828</v>
      </c>
      <c r="G176" s="164">
        <v>7.3256832593133992E-4</v>
      </c>
      <c r="H176" s="164">
        <v>1.9670527580505706E-2</v>
      </c>
      <c r="I176" s="516">
        <v>62.449808738065919</v>
      </c>
      <c r="J176" s="517">
        <v>4.465460163817562E-3</v>
      </c>
    </row>
    <row r="177" spans="2:10" x14ac:dyDescent="0.2">
      <c r="B177" s="514"/>
      <c r="C177" s="515">
        <v>175</v>
      </c>
      <c r="D177" s="164">
        <v>7.875174054067427E-2</v>
      </c>
      <c r="E177" s="164">
        <v>0.72294650844602237</v>
      </c>
      <c r="F177" s="164">
        <v>0.47104587808870163</v>
      </c>
      <c r="G177" s="164">
        <v>1.4053355356548954E-3</v>
      </c>
      <c r="H177" s="164">
        <v>2.4531252896264608E-2</v>
      </c>
      <c r="I177" s="163">
        <v>124.89965203543558</v>
      </c>
      <c r="J177" s="517">
        <v>7.1056426400837643E-3</v>
      </c>
    </row>
    <row r="178" spans="2:10" x14ac:dyDescent="0.2">
      <c r="B178" s="514"/>
      <c r="C178" s="515">
        <v>250</v>
      </c>
      <c r="D178" s="164">
        <v>8.8062389127259652E-2</v>
      </c>
      <c r="E178" s="164">
        <v>0.3441735162282189</v>
      </c>
      <c r="F178" s="164">
        <v>0.53775960139519463</v>
      </c>
      <c r="G178" s="164">
        <v>1.9217534791322944E-3</v>
      </c>
      <c r="H178" s="164">
        <v>1.8221327922139662E-2</v>
      </c>
      <c r="I178" s="163">
        <v>170.79649043426906</v>
      </c>
      <c r="J178" s="517">
        <v>7.9457285426872831E-3</v>
      </c>
    </row>
    <row r="179" spans="2:10" x14ac:dyDescent="0.2">
      <c r="B179" s="514"/>
      <c r="C179" s="515">
        <v>500</v>
      </c>
      <c r="D179" s="164">
        <v>0.12963893786203035</v>
      </c>
      <c r="E179" s="164">
        <v>0.49361308421382477</v>
      </c>
      <c r="F179" s="164">
        <v>0.72866490756253177</v>
      </c>
      <c r="G179" s="164">
        <v>2.518328057110877E-3</v>
      </c>
      <c r="H179" s="164">
        <v>2.6506895314827219E-2</v>
      </c>
      <c r="I179" s="163">
        <v>256.5710296455581</v>
      </c>
      <c r="J179" s="517">
        <v>1.1697112586244575E-2</v>
      </c>
    </row>
    <row r="180" spans="2:10" x14ac:dyDescent="0.2">
      <c r="B180" s="518" t="s">
        <v>552</v>
      </c>
      <c r="C180" s="519"/>
      <c r="D180" s="520">
        <v>5.3327686543292813E-2</v>
      </c>
      <c r="E180" s="520">
        <v>0.44643891656810913</v>
      </c>
      <c r="F180" s="520">
        <v>0.34935263230863151</v>
      </c>
      <c r="G180" s="520">
        <v>8.1606491225842106E-4</v>
      </c>
      <c r="H180" s="520">
        <v>2.0092052814603682E-2</v>
      </c>
      <c r="I180" s="521">
        <v>70.280773784576255</v>
      </c>
      <c r="J180" s="522">
        <v>4.8116720038046063E-3</v>
      </c>
    </row>
    <row r="181" spans="2:10" x14ac:dyDescent="0.2">
      <c r="B181" s="514" t="s">
        <v>553</v>
      </c>
      <c r="C181" s="515">
        <v>175</v>
      </c>
      <c r="D181" s="164">
        <v>0.15094661228099721</v>
      </c>
      <c r="E181" s="164">
        <v>0.81239430336990415</v>
      </c>
      <c r="F181" s="164">
        <v>0.99622238578258682</v>
      </c>
      <c r="G181" s="164">
        <v>1.456835970145974E-3</v>
      </c>
      <c r="H181" s="164">
        <v>5.6129028786534065E-2</v>
      </c>
      <c r="I181" s="163">
        <v>129.47679211771768</v>
      </c>
      <c r="J181" s="517">
        <v>1.3619674406452677E-2</v>
      </c>
    </row>
    <row r="182" spans="2:10" x14ac:dyDescent="0.2">
      <c r="B182" s="514"/>
      <c r="C182" s="515">
        <v>250</v>
      </c>
      <c r="D182" s="164">
        <v>0.1701121102383257</v>
      </c>
      <c r="E182" s="164">
        <v>0.52789628513291242</v>
      </c>
      <c r="F182" s="164">
        <v>1.2897818688976026</v>
      </c>
      <c r="G182" s="164">
        <v>2.0645450712022686E-3</v>
      </c>
      <c r="H182" s="164">
        <v>5.156381177311798E-2</v>
      </c>
      <c r="I182" s="163">
        <v>183.48710790956389</v>
      </c>
      <c r="J182" s="517">
        <v>1.5348943444368662E-2</v>
      </c>
    </row>
    <row r="183" spans="2:10" x14ac:dyDescent="0.2">
      <c r="B183" s="514"/>
      <c r="C183" s="515">
        <v>500</v>
      </c>
      <c r="D183" s="164">
        <v>0.22910852256671893</v>
      </c>
      <c r="E183" s="164">
        <v>0.92764212887282871</v>
      </c>
      <c r="F183" s="164">
        <v>1.686770321414427</v>
      </c>
      <c r="G183" s="164">
        <v>2.5998101519380768E-3</v>
      </c>
      <c r="H183" s="164">
        <v>6.7326299017990129E-2</v>
      </c>
      <c r="I183" s="163">
        <v>264.87248137307603</v>
      </c>
      <c r="J183" s="517">
        <v>2.0672093441887248E-2</v>
      </c>
    </row>
    <row r="184" spans="2:10" x14ac:dyDescent="0.2">
      <c r="B184" s="514"/>
      <c r="C184" s="515">
        <v>750</v>
      </c>
      <c r="D184" s="164">
        <v>0.34607663505425756</v>
      </c>
      <c r="E184" s="164">
        <v>1.393400534470232</v>
      </c>
      <c r="F184" s="164">
        <v>2.5948494463860889</v>
      </c>
      <c r="G184" s="164">
        <v>4.0097089516578106E-3</v>
      </c>
      <c r="H184" s="164">
        <v>0.10237736320604106</v>
      </c>
      <c r="I184" s="163">
        <v>398.78844601181567</v>
      </c>
      <c r="J184" s="517">
        <v>3.1225939367702994E-2</v>
      </c>
    </row>
    <row r="185" spans="2:10" x14ac:dyDescent="0.2">
      <c r="B185" s="514"/>
      <c r="C185" s="515">
        <v>1000</v>
      </c>
      <c r="D185" s="164">
        <v>0.54382744596537813</v>
      </c>
      <c r="E185" s="164">
        <v>2.2499811377596775</v>
      </c>
      <c r="F185" s="164">
        <v>5.531107653711687</v>
      </c>
      <c r="G185" s="164">
        <v>5.9513285010231141E-3</v>
      </c>
      <c r="H185" s="164">
        <v>0.16723929639820884</v>
      </c>
      <c r="I185" s="163">
        <v>591.89394649377857</v>
      </c>
      <c r="J185" s="517">
        <v>4.9068677254760378E-2</v>
      </c>
    </row>
    <row r="186" spans="2:10" x14ac:dyDescent="0.2">
      <c r="B186" s="518" t="s">
        <v>554</v>
      </c>
      <c r="C186" s="519"/>
      <c r="D186" s="520">
        <v>0.2117519422814414</v>
      </c>
      <c r="E186" s="520">
        <v>0.80059863072960347</v>
      </c>
      <c r="F186" s="520">
        <v>1.577273682059001</v>
      </c>
      <c r="G186" s="520">
        <v>2.4515082992433335E-3</v>
      </c>
      <c r="H186" s="520">
        <v>6.3036016327392905E-2</v>
      </c>
      <c r="I186" s="523">
        <v>239.08422555208105</v>
      </c>
      <c r="J186" s="522">
        <v>1.9106037760107913E-2</v>
      </c>
    </row>
    <row r="187" spans="2:10" x14ac:dyDescent="0.2">
      <c r="B187" s="514" t="s">
        <v>555</v>
      </c>
      <c r="C187" s="515">
        <v>25</v>
      </c>
      <c r="D187" s="164">
        <v>2.0423038844339644E-2</v>
      </c>
      <c r="E187" s="164">
        <v>6.9706592203907847E-2</v>
      </c>
      <c r="F187" s="164">
        <v>0.12905728601815011</v>
      </c>
      <c r="G187" s="164">
        <v>2.1479904273663216E-4</v>
      </c>
      <c r="H187" s="164">
        <v>4.8222657807982568E-3</v>
      </c>
      <c r="I187" s="516">
        <v>16.92916712111829</v>
      </c>
      <c r="J187" s="517">
        <v>1.8427383416105903E-3</v>
      </c>
    </row>
    <row r="188" spans="2:10" x14ac:dyDescent="0.2">
      <c r="B188" s="514"/>
      <c r="C188" s="515">
        <v>50</v>
      </c>
      <c r="D188" s="164">
        <v>6.1453777687975109E-2</v>
      </c>
      <c r="E188" s="164">
        <v>0.30801695941409785</v>
      </c>
      <c r="F188" s="164">
        <v>0.24238452086601697</v>
      </c>
      <c r="G188" s="164">
        <v>4.0268743693823005E-4</v>
      </c>
      <c r="H188" s="164">
        <v>1.3676770334198198E-2</v>
      </c>
      <c r="I188" s="516">
        <v>31.149673859911459</v>
      </c>
      <c r="J188" s="517">
        <v>5.5448751628212256E-3</v>
      </c>
    </row>
    <row r="189" spans="2:10" x14ac:dyDescent="0.2">
      <c r="B189" s="514"/>
      <c r="C189" s="515">
        <v>120</v>
      </c>
      <c r="D189" s="164">
        <v>5.625477027946621E-2</v>
      </c>
      <c r="E189" s="164">
        <v>0.39766879087435864</v>
      </c>
      <c r="F189" s="164">
        <v>0.35289825524882784</v>
      </c>
      <c r="G189" s="164">
        <v>6.9108557140033007E-4</v>
      </c>
      <c r="H189" s="164">
        <v>2.3692057853337545E-2</v>
      </c>
      <c r="I189" s="516">
        <v>58.91350482958574</v>
      </c>
      <c r="J189" s="517">
        <v>5.075776224453629E-3</v>
      </c>
    </row>
    <row r="190" spans="2:10" x14ac:dyDescent="0.2">
      <c r="B190" s="514"/>
      <c r="C190" s="515">
        <v>175</v>
      </c>
      <c r="D190" s="164">
        <v>7.6662931149323599E-2</v>
      </c>
      <c r="E190" s="164">
        <v>0.62152908073098068</v>
      </c>
      <c r="F190" s="164">
        <v>0.47130032846777486</v>
      </c>
      <c r="G190" s="164">
        <v>1.1962280241842422E-3</v>
      </c>
      <c r="H190" s="164">
        <v>2.5286333719600842E-2</v>
      </c>
      <c r="I190" s="163">
        <v>106.31517006669206</v>
      </c>
      <c r="J190" s="517">
        <v>6.9171751850577263E-3</v>
      </c>
    </row>
    <row r="191" spans="2:10" x14ac:dyDescent="0.2">
      <c r="B191" s="514"/>
      <c r="C191" s="515">
        <v>250</v>
      </c>
      <c r="D191" s="164">
        <v>8.4809338750527735E-2</v>
      </c>
      <c r="E191" s="164">
        <v>0.31589228651483875</v>
      </c>
      <c r="F191" s="164">
        <v>0.56553029446466985</v>
      </c>
      <c r="G191" s="164">
        <v>1.6762430885479793E-3</v>
      </c>
      <c r="H191" s="164">
        <v>1.9416986383123464E-2</v>
      </c>
      <c r="I191" s="163">
        <v>148.97665813539152</v>
      </c>
      <c r="J191" s="517">
        <v>7.6522122922095251E-3</v>
      </c>
    </row>
    <row r="192" spans="2:10" x14ac:dyDescent="0.2">
      <c r="B192" s="514"/>
      <c r="C192" s="515">
        <v>500</v>
      </c>
      <c r="D192" s="164">
        <v>0.13023315153105339</v>
      </c>
      <c r="E192" s="164">
        <v>0.50158130865054984</v>
      </c>
      <c r="F192" s="164">
        <v>0.803193985800565</v>
      </c>
      <c r="G192" s="164">
        <v>2.3263145990084369E-3</v>
      </c>
      <c r="H192" s="164">
        <v>2.9113649338666791E-2</v>
      </c>
      <c r="I192" s="163">
        <v>237.00840059169946</v>
      </c>
      <c r="J192" s="517">
        <v>1.1750726874850747E-2</v>
      </c>
    </row>
    <row r="193" spans="2:10" x14ac:dyDescent="0.2">
      <c r="B193" s="514"/>
      <c r="C193" s="515">
        <v>750</v>
      </c>
      <c r="D193" s="164">
        <v>0.26799250342213915</v>
      </c>
      <c r="E193" s="164">
        <v>1.0270539767789395</v>
      </c>
      <c r="F193" s="164">
        <v>1.6958051413179838</v>
      </c>
      <c r="G193" s="164">
        <v>4.8818552953554329E-3</v>
      </c>
      <c r="H193" s="164">
        <v>6.0614317146113587E-2</v>
      </c>
      <c r="I193" s="163">
        <v>485.52840324124526</v>
      </c>
      <c r="J193" s="517">
        <v>2.4180533713512992E-2</v>
      </c>
    </row>
    <row r="194" spans="2:10" x14ac:dyDescent="0.2">
      <c r="B194" s="514"/>
      <c r="C194" s="515">
        <v>1000</v>
      </c>
      <c r="D194" s="164">
        <v>0.34840009666738753</v>
      </c>
      <c r="E194" s="164">
        <v>1.3165560153864424</v>
      </c>
      <c r="F194" s="164">
        <v>4.0039820466553753</v>
      </c>
      <c r="G194" s="164">
        <v>5.9712528195160954E-3</v>
      </c>
      <c r="H194" s="164">
        <v>9.8299289279942151E-2</v>
      </c>
      <c r="I194" s="163">
        <v>593.87527599220687</v>
      </c>
      <c r="J194" s="517">
        <v>3.1435576304503499E-2</v>
      </c>
    </row>
    <row r="195" spans="2:10" x14ac:dyDescent="0.2">
      <c r="B195" s="518" t="s">
        <v>556</v>
      </c>
      <c r="C195" s="519"/>
      <c r="D195" s="520">
        <v>7.5299210540885328E-2</v>
      </c>
      <c r="E195" s="520">
        <v>0.44063219841909584</v>
      </c>
      <c r="F195" s="520">
        <v>0.47469273458538414</v>
      </c>
      <c r="G195" s="520">
        <v>1.2006237347135774E-3</v>
      </c>
      <c r="H195" s="520">
        <v>2.3489428173200964E-2</v>
      </c>
      <c r="I195" s="523">
        <v>108.61087203388736</v>
      </c>
      <c r="J195" s="522">
        <v>6.7941270564697825E-3</v>
      </c>
    </row>
    <row r="196" spans="2:10" x14ac:dyDescent="0.2">
      <c r="B196" s="514" t="s">
        <v>557</v>
      </c>
      <c r="C196" s="515">
        <v>120</v>
      </c>
      <c r="D196" s="164">
        <v>0.12177569541953326</v>
      </c>
      <c r="E196" s="164">
        <v>0.66121894513726021</v>
      </c>
      <c r="F196" s="164">
        <v>0.71697815426303768</v>
      </c>
      <c r="G196" s="164">
        <v>1.1015006083642898E-3</v>
      </c>
      <c r="H196" s="164">
        <v>5.5119851803996825E-2</v>
      </c>
      <c r="I196" s="516">
        <v>93.900438952917085</v>
      </c>
      <c r="J196" s="517">
        <v>1.0987623731401091E-2</v>
      </c>
    </row>
    <row r="197" spans="2:10" x14ac:dyDescent="0.2">
      <c r="B197" s="514"/>
      <c r="C197" s="515">
        <v>175</v>
      </c>
      <c r="D197" s="164">
        <v>0.13999178696150483</v>
      </c>
      <c r="E197" s="164">
        <v>0.89205564751870414</v>
      </c>
      <c r="F197" s="164">
        <v>0.90197595773268335</v>
      </c>
      <c r="G197" s="164">
        <v>1.6660846433405267E-3</v>
      </c>
      <c r="H197" s="164">
        <v>5.0454721026551755E-2</v>
      </c>
      <c r="I197" s="163">
        <v>148.07383563310313</v>
      </c>
      <c r="J197" s="517">
        <v>1.2631237249085228E-2</v>
      </c>
    </row>
    <row r="198" spans="2:10" x14ac:dyDescent="0.2">
      <c r="B198" s="514"/>
      <c r="C198" s="515">
        <v>250</v>
      </c>
      <c r="D198" s="164">
        <v>0.15221647753538545</v>
      </c>
      <c r="E198" s="164">
        <v>0.50441947803654918</v>
      </c>
      <c r="F198" s="164">
        <v>1.1343781938985702</v>
      </c>
      <c r="G198" s="164">
        <v>2.3568996029828763E-3</v>
      </c>
      <c r="H198" s="164">
        <v>4.1222552322590894E-2</v>
      </c>
      <c r="I198" s="163">
        <v>209.4702375654627</v>
      </c>
      <c r="J198" s="517">
        <v>1.3734248524269788E-2</v>
      </c>
    </row>
    <row r="199" spans="2:10" x14ac:dyDescent="0.2">
      <c r="B199" s="514"/>
      <c r="C199" s="515">
        <v>500</v>
      </c>
      <c r="D199" s="164">
        <v>0.22114810409609095</v>
      </c>
      <c r="E199" s="164">
        <v>0.84546012457949182</v>
      </c>
      <c r="F199" s="164">
        <v>1.5614722373250061</v>
      </c>
      <c r="G199" s="164">
        <v>3.154926820014955E-3</v>
      </c>
      <c r="H199" s="164">
        <v>5.841279598018613E-2</v>
      </c>
      <c r="I199" s="163">
        <v>321.42849079555151</v>
      </c>
      <c r="J199" s="517">
        <v>1.9953838118355136E-2</v>
      </c>
    </row>
    <row r="200" spans="2:10" x14ac:dyDescent="0.2">
      <c r="B200" s="514"/>
      <c r="C200" s="515">
        <v>750</v>
      </c>
      <c r="D200" s="164">
        <v>0.3839058495499274</v>
      </c>
      <c r="E200" s="164">
        <v>1.4587626702305894</v>
      </c>
      <c r="F200" s="164">
        <v>2.773423013060516</v>
      </c>
      <c r="G200" s="164">
        <v>5.5831556964299348E-3</v>
      </c>
      <c r="H200" s="164">
        <v>0.10239337449808095</v>
      </c>
      <c r="I200" s="163">
        <v>555.27686365548527</v>
      </c>
      <c r="J200" s="517">
        <v>3.4639216880840561E-2</v>
      </c>
    </row>
    <row r="201" spans="2:10" x14ac:dyDescent="0.2">
      <c r="B201" s="518" t="s">
        <v>558</v>
      </c>
      <c r="C201" s="519"/>
      <c r="D201" s="520">
        <v>0.19138607417270659</v>
      </c>
      <c r="E201" s="520">
        <v>0.79382518091657717</v>
      </c>
      <c r="F201" s="520">
        <v>1.3434409244077932</v>
      </c>
      <c r="G201" s="520">
        <v>2.6870516166574853E-3</v>
      </c>
      <c r="H201" s="520">
        <v>5.4065027595878508E-2</v>
      </c>
      <c r="I201" s="523">
        <v>262.48517864671351</v>
      </c>
      <c r="J201" s="522">
        <v>1.7268458834572935E-2</v>
      </c>
    </row>
    <row r="202" spans="2:10" x14ac:dyDescent="0.2">
      <c r="B202" s="514" t="s">
        <v>559</v>
      </c>
      <c r="C202" s="515">
        <v>15</v>
      </c>
      <c r="D202" s="164">
        <v>7.1819053326675122E-3</v>
      </c>
      <c r="E202" s="164">
        <v>3.76720134369459E-2</v>
      </c>
      <c r="F202" s="164">
        <v>4.4975818460546997E-2</v>
      </c>
      <c r="G202" s="164">
        <v>9.6006626585351071E-5</v>
      </c>
      <c r="H202" s="164">
        <v>1.7574483638617537E-3</v>
      </c>
      <c r="I202" s="516">
        <v>6.1697419807654175</v>
      </c>
      <c r="J202" s="517">
        <v>6.4801175698490281E-4</v>
      </c>
    </row>
    <row r="203" spans="2:10" x14ac:dyDescent="0.2">
      <c r="B203" s="514"/>
      <c r="C203" s="515">
        <v>50</v>
      </c>
      <c r="D203" s="164">
        <v>5.0227276594175849E-2</v>
      </c>
      <c r="E203" s="164">
        <v>0.28326995472463462</v>
      </c>
      <c r="F203" s="164">
        <v>0.26314648236841992</v>
      </c>
      <c r="G203" s="164">
        <v>4.6785658920760182E-4</v>
      </c>
      <c r="H203" s="164">
        <v>1.3119619720504367E-2</v>
      </c>
      <c r="I203" s="516">
        <v>36.190790727111946</v>
      </c>
      <c r="J203" s="517">
        <v>4.5319270077688054E-3</v>
      </c>
    </row>
    <row r="204" spans="2:10" x14ac:dyDescent="0.2">
      <c r="B204" s="514"/>
      <c r="C204" s="515">
        <v>120</v>
      </c>
      <c r="D204" s="164">
        <v>5.5758282015693487E-2</v>
      </c>
      <c r="E204" s="164">
        <v>0.4945649541868582</v>
      </c>
      <c r="F204" s="164">
        <v>0.4423863377386108</v>
      </c>
      <c r="G204" s="164">
        <v>9.4086516402986699E-4</v>
      </c>
      <c r="H204" s="164">
        <v>2.640579631950319E-2</v>
      </c>
      <c r="I204" s="516">
        <v>80.206644573964752</v>
      </c>
      <c r="J204" s="517">
        <v>5.0309806382592172E-3</v>
      </c>
    </row>
    <row r="205" spans="2:10" x14ac:dyDescent="0.2">
      <c r="B205" s="514"/>
      <c r="C205" s="515">
        <v>175</v>
      </c>
      <c r="D205" s="164">
        <v>8.1112407292202593E-2</v>
      </c>
      <c r="E205" s="164">
        <v>0.8275780809433011</v>
      </c>
      <c r="F205" s="164">
        <v>0.62793742520585183</v>
      </c>
      <c r="G205" s="164">
        <v>1.7388907312164514E-3</v>
      </c>
      <c r="H205" s="164">
        <v>3.0158137071078304E-2</v>
      </c>
      <c r="I205" s="163">
        <v>154.54451060045875</v>
      </c>
      <c r="J205" s="517">
        <v>7.3186424014102082E-3</v>
      </c>
    </row>
    <row r="206" spans="2:10" x14ac:dyDescent="0.2">
      <c r="B206" s="514"/>
      <c r="C206" s="515">
        <v>250</v>
      </c>
      <c r="D206" s="164">
        <v>0.10221397762186292</v>
      </c>
      <c r="E206" s="164">
        <v>0.47647822975454435</v>
      </c>
      <c r="F206" s="164">
        <v>0.87367312571118705</v>
      </c>
      <c r="G206" s="164">
        <v>2.8724720062281834E-3</v>
      </c>
      <c r="H206" s="164">
        <v>2.6597831002417169E-2</v>
      </c>
      <c r="I206" s="163">
        <v>255.29193227131688</v>
      </c>
      <c r="J206" s="517">
        <v>9.2226036319676876E-3</v>
      </c>
    </row>
    <row r="207" spans="2:10" x14ac:dyDescent="0.2">
      <c r="B207" s="518" t="s">
        <v>560</v>
      </c>
      <c r="C207" s="519"/>
      <c r="D207" s="520">
        <v>1.2931552626181999E-2</v>
      </c>
      <c r="E207" s="520">
        <v>9.1188105470914424E-2</v>
      </c>
      <c r="F207" s="520">
        <v>9.1224555458407214E-2</v>
      </c>
      <c r="G207" s="520">
        <v>2.1415178576811316E-4</v>
      </c>
      <c r="H207" s="520">
        <v>4.1837302551012197E-3</v>
      </c>
      <c r="I207" s="521">
        <v>16.69826029924678</v>
      </c>
      <c r="J207" s="522">
        <v>1.1667932327129021E-3</v>
      </c>
    </row>
    <row r="208" spans="2:10" x14ac:dyDescent="0.2">
      <c r="B208" s="514" t="s">
        <v>156</v>
      </c>
      <c r="C208" s="515">
        <v>25</v>
      </c>
      <c r="D208" s="164">
        <v>1.7116911519699064E-2</v>
      </c>
      <c r="E208" s="164">
        <v>5.7467148941523924E-2</v>
      </c>
      <c r="F208" s="164">
        <v>0.10697688510797133</v>
      </c>
      <c r="G208" s="164">
        <v>1.750214479061181E-4</v>
      </c>
      <c r="H208" s="164">
        <v>4.3510263268603929E-3</v>
      </c>
      <c r="I208" s="516">
        <v>13.794138557918428</v>
      </c>
      <c r="J208" s="517">
        <v>1.5444315517199791E-3</v>
      </c>
    </row>
    <row r="209" spans="2:10" x14ac:dyDescent="0.2">
      <c r="B209" s="514"/>
      <c r="C209" s="515">
        <v>50</v>
      </c>
      <c r="D209" s="164">
        <v>2.2997456128846298E-2</v>
      </c>
      <c r="E209" s="164">
        <v>0.2006067710254229</v>
      </c>
      <c r="F209" s="164">
        <v>0.16548506068696145</v>
      </c>
      <c r="G209" s="164">
        <v>3.2989894237595523E-4</v>
      </c>
      <c r="H209" s="164">
        <v>4.3199288987692706E-3</v>
      </c>
      <c r="I209" s="516">
        <v>25.519150770246078</v>
      </c>
      <c r="J209" s="517">
        <v>2.075023596652533E-3</v>
      </c>
    </row>
    <row r="210" spans="2:10" x14ac:dyDescent="0.2">
      <c r="B210" s="514"/>
      <c r="C210" s="515">
        <v>120</v>
      </c>
      <c r="D210" s="164">
        <v>2.1771433417180255E-2</v>
      </c>
      <c r="E210" s="164">
        <v>0.26726977333633734</v>
      </c>
      <c r="F210" s="164">
        <v>0.16471236506419762</v>
      </c>
      <c r="G210" s="164">
        <v>5.0161831962324086E-4</v>
      </c>
      <c r="H210" s="164">
        <v>6.4177382777779145E-3</v>
      </c>
      <c r="I210" s="516">
        <v>42.761835299293395</v>
      </c>
      <c r="J210" s="517">
        <v>1.9644016801779606E-3</v>
      </c>
    </row>
    <row r="211" spans="2:10" x14ac:dyDescent="0.2">
      <c r="B211" s="518" t="s">
        <v>561</v>
      </c>
      <c r="C211" s="519"/>
      <c r="D211" s="520">
        <v>2.2213957427920504E-2</v>
      </c>
      <c r="E211" s="520">
        <v>0.21251608220930868</v>
      </c>
      <c r="F211" s="520">
        <v>0.16135754810447356</v>
      </c>
      <c r="G211" s="520">
        <v>3.7475548714235814E-4</v>
      </c>
      <c r="H211" s="520">
        <v>4.9954362246928041E-3</v>
      </c>
      <c r="I211" s="521">
        <v>30.277009712805043</v>
      </c>
      <c r="J211" s="522">
        <v>2.0043298167135189E-3</v>
      </c>
    </row>
    <row r="212" spans="2:10" x14ac:dyDescent="0.2">
      <c r="B212" s="514" t="s">
        <v>562</v>
      </c>
      <c r="C212" s="515">
        <v>50</v>
      </c>
      <c r="D212" s="164">
        <v>2.6495113710303698E-2</v>
      </c>
      <c r="E212" s="164">
        <v>0.11911987606100309</v>
      </c>
      <c r="F212" s="164">
        <v>0.1068832917972815</v>
      </c>
      <c r="G212" s="164">
        <v>1.8237657628669595E-4</v>
      </c>
      <c r="H212" s="164">
        <v>6.3298914084735569E-3</v>
      </c>
      <c r="I212" s="516">
        <v>14.107641840536644</v>
      </c>
      <c r="J212" s="517">
        <v>2.3906117368276175E-3</v>
      </c>
    </row>
    <row r="213" spans="2:10" x14ac:dyDescent="0.2">
      <c r="B213" s="514"/>
      <c r="C213" s="515">
        <v>120</v>
      </c>
      <c r="D213" s="164">
        <v>5.6959391818315726E-2</v>
      </c>
      <c r="E213" s="164">
        <v>0.40277098111916626</v>
      </c>
      <c r="F213" s="164">
        <v>0.40352220841950276</v>
      </c>
      <c r="G213" s="164">
        <v>7.4801413296648534E-4</v>
      </c>
      <c r="H213" s="164">
        <v>2.7142990723126838E-2</v>
      </c>
      <c r="I213" s="516">
        <v>63.766544251066215</v>
      </c>
      <c r="J213" s="517">
        <v>5.1393541026395007E-3</v>
      </c>
    </row>
    <row r="214" spans="2:10" x14ac:dyDescent="0.2">
      <c r="B214" s="514"/>
      <c r="C214" s="515">
        <v>175</v>
      </c>
      <c r="D214" s="164">
        <v>5.5024934898790595E-2</v>
      </c>
      <c r="E214" s="164">
        <v>0.46634830701088431</v>
      </c>
      <c r="F214" s="164">
        <v>0.41675405620155642</v>
      </c>
      <c r="G214" s="164">
        <v>9.6510979427881613E-4</v>
      </c>
      <c r="H214" s="164">
        <v>2.1022356170827535E-2</v>
      </c>
      <c r="I214" s="516">
        <v>85.774463251775444</v>
      </c>
      <c r="J214" s="517">
        <v>4.9648116173614002E-3</v>
      </c>
    </row>
    <row r="215" spans="2:10" x14ac:dyDescent="0.2">
      <c r="B215" s="514"/>
      <c r="C215" s="515">
        <v>250</v>
      </c>
      <c r="D215" s="164">
        <v>6.5238693879696108E-2</v>
      </c>
      <c r="E215" s="164">
        <v>0.27542291763014237</v>
      </c>
      <c r="F215" s="164">
        <v>0.57192545123658134</v>
      </c>
      <c r="G215" s="164">
        <v>1.5175082955965361E-3</v>
      </c>
      <c r="H215" s="164">
        <v>1.8816549623281692E-2</v>
      </c>
      <c r="I215" s="163">
        <v>134.869072029926</v>
      </c>
      <c r="J215" s="517">
        <v>5.8863832945631319E-3</v>
      </c>
    </row>
    <row r="216" spans="2:10" x14ac:dyDescent="0.2">
      <c r="B216" s="514"/>
      <c r="C216" s="515">
        <v>500</v>
      </c>
      <c r="D216" s="164">
        <v>0.10078187600939109</v>
      </c>
      <c r="E216" s="164">
        <v>0.47282915887738014</v>
      </c>
      <c r="F216" s="164">
        <v>0.83996846747293308</v>
      </c>
      <c r="G216" s="164">
        <v>2.1712261451670095E-3</v>
      </c>
      <c r="H216" s="164">
        <v>2.8791152754843976E-2</v>
      </c>
      <c r="I216" s="163">
        <v>221.20781415034932</v>
      </c>
      <c r="J216" s="517">
        <v>9.0933864008115768E-3</v>
      </c>
    </row>
    <row r="217" spans="2:10" x14ac:dyDescent="0.2">
      <c r="B217" s="514"/>
      <c r="C217" s="515">
        <v>750</v>
      </c>
      <c r="D217" s="164">
        <v>0.1599325680096606</v>
      </c>
      <c r="E217" s="164">
        <v>0.74132721532387369</v>
      </c>
      <c r="F217" s="164">
        <v>1.3593173743202904</v>
      </c>
      <c r="G217" s="164">
        <v>3.4894717845131182E-3</v>
      </c>
      <c r="H217" s="164">
        <v>4.5940967876084447E-2</v>
      </c>
      <c r="I217" s="163">
        <v>347.0479207098511</v>
      </c>
      <c r="J217" s="517">
        <v>1.4430460875829791E-2</v>
      </c>
    </row>
    <row r="218" spans="2:10" x14ac:dyDescent="0.2">
      <c r="B218" s="518" t="s">
        <v>563</v>
      </c>
      <c r="C218" s="519"/>
      <c r="D218" s="520">
        <v>8.2284973765872113E-2</v>
      </c>
      <c r="E218" s="520">
        <v>0.39529158747601389</v>
      </c>
      <c r="F218" s="520">
        <v>0.6593470839121619</v>
      </c>
      <c r="G218" s="520">
        <v>1.6672224775153134E-3</v>
      </c>
      <c r="H218" s="520">
        <v>2.3924673961131855E-2</v>
      </c>
      <c r="I218" s="523">
        <v>165.96349980511482</v>
      </c>
      <c r="J218" s="522">
        <v>7.4244410222214707E-3</v>
      </c>
    </row>
    <row r="219" spans="2:10" x14ac:dyDescent="0.2">
      <c r="B219" s="514" t="s">
        <v>564</v>
      </c>
      <c r="C219" s="515">
        <v>15</v>
      </c>
      <c r="D219" s="164">
        <v>1.2380693983866277E-2</v>
      </c>
      <c r="E219" s="164">
        <v>7.2893828572396957E-2</v>
      </c>
      <c r="F219" s="164">
        <v>8.7026407115678175E-2</v>
      </c>
      <c r="G219" s="164">
        <v>1.857689700030468E-4</v>
      </c>
      <c r="H219" s="164">
        <v>3.4005910390350878E-3</v>
      </c>
      <c r="I219" s="516">
        <v>11.938199395131905</v>
      </c>
      <c r="J219" s="517">
        <v>1.1170901895804092E-3</v>
      </c>
    </row>
    <row r="220" spans="2:10" x14ac:dyDescent="0.2">
      <c r="B220" s="514"/>
      <c r="C220" s="515">
        <v>25</v>
      </c>
      <c r="D220" s="164">
        <v>2.366047804739526E-2</v>
      </c>
      <c r="E220" s="164">
        <v>8.0756377605224916E-2</v>
      </c>
      <c r="F220" s="164">
        <v>0.14951527902363687</v>
      </c>
      <c r="G220" s="164">
        <v>2.488486993386403E-4</v>
      </c>
      <c r="H220" s="164">
        <v>5.5866854645002812E-3</v>
      </c>
      <c r="I220" s="516">
        <v>19.612758688279911</v>
      </c>
      <c r="J220" s="517">
        <v>2.1348468529340504E-3</v>
      </c>
    </row>
    <row r="221" spans="2:10" x14ac:dyDescent="0.2">
      <c r="B221" s="514"/>
      <c r="C221" s="515">
        <v>50</v>
      </c>
      <c r="D221" s="164">
        <v>4.2966242760537267E-2</v>
      </c>
      <c r="E221" s="164">
        <v>0.28983357299639728</v>
      </c>
      <c r="F221" s="164">
        <v>0.23650060217992025</v>
      </c>
      <c r="G221" s="164">
        <v>4.0787512172263434E-4</v>
      </c>
      <c r="H221" s="164">
        <v>9.7830025561399421E-3</v>
      </c>
      <c r="I221" s="516">
        <v>31.550953441159646</v>
      </c>
      <c r="J221" s="517">
        <v>3.8767738901784809E-3</v>
      </c>
    </row>
    <row r="222" spans="2:10" x14ac:dyDescent="0.2">
      <c r="B222" s="514"/>
      <c r="C222" s="515">
        <v>120</v>
      </c>
      <c r="D222" s="164">
        <v>5.5510816431680862E-2</v>
      </c>
      <c r="E222" s="164">
        <v>0.4959246277446715</v>
      </c>
      <c r="F222" s="164">
        <v>0.3693718128891354</v>
      </c>
      <c r="G222" s="164">
        <v>8.8025877805070977E-4</v>
      </c>
      <c r="H222" s="164">
        <v>2.1011585716730681E-2</v>
      </c>
      <c r="I222" s="516">
        <v>75.040114179628446</v>
      </c>
      <c r="J222" s="517">
        <v>5.0086515341831389E-3</v>
      </c>
    </row>
    <row r="223" spans="2:10" x14ac:dyDescent="0.2">
      <c r="B223" s="514"/>
      <c r="C223" s="515">
        <v>175</v>
      </c>
      <c r="D223" s="164">
        <v>8.4483613834758678E-2</v>
      </c>
      <c r="E223" s="164">
        <v>0.80431225990569422</v>
      </c>
      <c r="F223" s="164">
        <v>0.48688761636019506</v>
      </c>
      <c r="G223" s="164">
        <v>1.5639295246053539E-3</v>
      </c>
      <c r="H223" s="164">
        <v>2.532050523618987E-2</v>
      </c>
      <c r="I223" s="163">
        <v>138.99475880334444</v>
      </c>
      <c r="J223" s="517">
        <v>7.6228186674138299E-3</v>
      </c>
    </row>
    <row r="224" spans="2:10" x14ac:dyDescent="0.2">
      <c r="B224" s="514"/>
      <c r="C224" s="515">
        <v>250</v>
      </c>
      <c r="D224" s="164">
        <v>8.0274758442963223E-2</v>
      </c>
      <c r="E224" s="164">
        <v>0.31975616793748551</v>
      </c>
      <c r="F224" s="164">
        <v>0.45298384431495597</v>
      </c>
      <c r="G224" s="164">
        <v>1.8229852288526771E-3</v>
      </c>
      <c r="H224" s="164">
        <v>1.5167069108359034E-2</v>
      </c>
      <c r="I224" s="163">
        <v>162.01840412150855</v>
      </c>
      <c r="J224" s="517">
        <v>7.2430632246052165E-3</v>
      </c>
    </row>
    <row r="225" spans="2:10" x14ac:dyDescent="0.2">
      <c r="B225" s="518" t="s">
        <v>565</v>
      </c>
      <c r="C225" s="519"/>
      <c r="D225" s="520">
        <v>5.8431149206438077E-2</v>
      </c>
      <c r="E225" s="520">
        <v>0.49158390899887827</v>
      </c>
      <c r="F225" s="520">
        <v>0.35631710018209323</v>
      </c>
      <c r="G225" s="520">
        <v>9.1561448708083663E-4</v>
      </c>
      <c r="H225" s="520">
        <v>1.8349971622456374E-2</v>
      </c>
      <c r="I225" s="521">
        <v>78.543289667115403</v>
      </c>
      <c r="J225" s="522">
        <v>5.2721478633201797E-3</v>
      </c>
    </row>
    <row r="226" spans="2:10" x14ac:dyDescent="0.2">
      <c r="B226" s="514" t="s">
        <v>566</v>
      </c>
      <c r="C226" s="515">
        <v>25</v>
      </c>
      <c r="D226" s="164">
        <v>1.9137150512637889E-2</v>
      </c>
      <c r="E226" s="164">
        <v>6.5317653661153857E-2</v>
      </c>
      <c r="F226" s="164">
        <v>0.12093146966115785</v>
      </c>
      <c r="G226" s="164">
        <v>2.0127469885057429E-4</v>
      </c>
      <c r="H226" s="164">
        <v>4.5520623617968659E-3</v>
      </c>
      <c r="I226" s="516">
        <v>15.863257000658042</v>
      </c>
      <c r="J226" s="517">
        <v>1.726714557581949E-3</v>
      </c>
    </row>
    <row r="227" spans="2:10" x14ac:dyDescent="0.2">
      <c r="B227" s="514"/>
      <c r="C227" s="515">
        <v>50</v>
      </c>
      <c r="D227" s="164">
        <v>4.0744538967523086E-2</v>
      </c>
      <c r="E227" s="164">
        <v>0.27603942988655411</v>
      </c>
      <c r="F227" s="164">
        <v>0.21785389164071614</v>
      </c>
      <c r="G227" s="164">
        <v>3.9231223257854515E-4</v>
      </c>
      <c r="H227" s="164">
        <v>8.7163373732229363E-3</v>
      </c>
      <c r="I227" s="516">
        <v>30.347102474692637</v>
      </c>
      <c r="J227" s="517">
        <v>3.6763139609052977E-3</v>
      </c>
    </row>
    <row r="228" spans="2:10" x14ac:dyDescent="0.2">
      <c r="B228" s="514"/>
      <c r="C228" s="515">
        <v>120</v>
      </c>
      <c r="D228" s="164">
        <v>3.6598055644846521E-2</v>
      </c>
      <c r="E228" s="164">
        <v>0.3402263572532182</v>
      </c>
      <c r="F228" s="164">
        <v>0.24663674942379371</v>
      </c>
      <c r="G228" s="164">
        <v>6.067960010895494E-4</v>
      </c>
      <c r="H228" s="164">
        <v>1.2882572463832913E-2</v>
      </c>
      <c r="I228" s="516">
        <v>51.728000527055023</v>
      </c>
      <c r="J228" s="517">
        <v>3.3021844501677604E-3</v>
      </c>
    </row>
    <row r="229" spans="2:10" x14ac:dyDescent="0.2">
      <c r="B229" s="514"/>
      <c r="C229" s="515">
        <v>175</v>
      </c>
      <c r="D229" s="164">
        <v>5.7135848794312556E-2</v>
      </c>
      <c r="E229" s="164">
        <v>0.58414498920504943</v>
      </c>
      <c r="F229" s="164">
        <v>0.32199546101823856</v>
      </c>
      <c r="G229" s="164">
        <v>1.1407765476615227E-3</v>
      </c>
      <c r="H229" s="164">
        <v>1.5870222340711126E-2</v>
      </c>
      <c r="I229" s="163">
        <v>101.38691221407427</v>
      </c>
      <c r="J229" s="517">
        <v>5.1552762947269272E-3</v>
      </c>
    </row>
    <row r="230" spans="2:10" x14ac:dyDescent="0.2">
      <c r="B230" s="514"/>
      <c r="C230" s="515">
        <v>250</v>
      </c>
      <c r="D230" s="164">
        <v>8.1273183924308198E-2</v>
      </c>
      <c r="E230" s="164">
        <v>0.34448365517309593</v>
      </c>
      <c r="F230" s="164">
        <v>0.44274938807298958</v>
      </c>
      <c r="G230" s="164">
        <v>1.9323358420790279E-3</v>
      </c>
      <c r="H230" s="164">
        <v>1.5101325427716366E-2</v>
      </c>
      <c r="I230" s="163">
        <v>171.73701097499</v>
      </c>
      <c r="J230" s="517">
        <v>7.3331495759948176E-3</v>
      </c>
    </row>
    <row r="231" spans="2:10" x14ac:dyDescent="0.2">
      <c r="B231" s="514"/>
      <c r="C231" s="515">
        <v>500</v>
      </c>
      <c r="D231" s="164">
        <v>0.16055540777654834</v>
      </c>
      <c r="E231" s="164">
        <v>0.66420217808036264</v>
      </c>
      <c r="F231" s="164">
        <v>0.81324919595366874</v>
      </c>
      <c r="G231" s="164">
        <v>3.8801932456026646E-3</v>
      </c>
      <c r="H231" s="164">
        <v>2.9358712883086068E-2</v>
      </c>
      <c r="I231" s="163">
        <v>344.85340728585294</v>
      </c>
      <c r="J231" s="517">
        <v>1.4486657421517942E-2</v>
      </c>
    </row>
    <row r="232" spans="2:10" x14ac:dyDescent="0.2">
      <c r="B232" s="514"/>
      <c r="C232" s="515">
        <v>750</v>
      </c>
      <c r="D232" s="164">
        <v>0.24086482386452648</v>
      </c>
      <c r="E232" s="164">
        <v>0.99591864842487887</v>
      </c>
      <c r="F232" s="164">
        <v>1.2387205493479523</v>
      </c>
      <c r="G232" s="164">
        <v>5.8202907515643365E-3</v>
      </c>
      <c r="H232" s="164">
        <v>4.4297161499536615E-2</v>
      </c>
      <c r="I232" s="163">
        <v>517.28021808069911</v>
      </c>
      <c r="J232" s="517">
        <v>2.1732854647511089E-2</v>
      </c>
    </row>
    <row r="233" spans="2:10" x14ac:dyDescent="0.2">
      <c r="B233" s="518" t="s">
        <v>567</v>
      </c>
      <c r="C233" s="519"/>
      <c r="D233" s="520">
        <v>4.3635589525228766E-2</v>
      </c>
      <c r="E233" s="520">
        <v>0.36164894686496174</v>
      </c>
      <c r="F233" s="520">
        <v>0.27442486339852729</v>
      </c>
      <c r="G233" s="520">
        <v>7.7505128888555373E-4</v>
      </c>
      <c r="H233" s="520">
        <v>1.3433034756073242E-2</v>
      </c>
      <c r="I233" s="521">
        <v>66.798849906131736</v>
      </c>
      <c r="J233" s="522">
        <v>3.937169789050946E-3</v>
      </c>
    </row>
    <row r="234" spans="2:10" x14ac:dyDescent="0.2">
      <c r="B234" s="514" t="s">
        <v>568</v>
      </c>
      <c r="C234" s="515">
        <v>15</v>
      </c>
      <c r="D234" s="164">
        <v>9.8532220773210662E-3</v>
      </c>
      <c r="E234" s="164">
        <v>5.1684162883515301E-2</v>
      </c>
      <c r="F234" s="164">
        <v>6.1704631862386519E-2</v>
      </c>
      <c r="G234" s="164">
        <v>1.3171640038341198E-4</v>
      </c>
      <c r="H234" s="164">
        <v>2.4111327446225302E-3</v>
      </c>
      <c r="I234" s="516">
        <v>8.4645822737075012</v>
      </c>
      <c r="J234" s="517">
        <v>8.8904044889439996E-4</v>
      </c>
    </row>
    <row r="235" spans="2:10" x14ac:dyDescent="0.2">
      <c r="B235" s="514"/>
      <c r="C235" s="515">
        <v>25</v>
      </c>
      <c r="D235" s="164">
        <v>3.9711479691751699E-2</v>
      </c>
      <c r="E235" s="164">
        <v>0.13554061779189011</v>
      </c>
      <c r="F235" s="164">
        <v>0.2509447265758023</v>
      </c>
      <c r="G235" s="164">
        <v>4.1766488305853004E-4</v>
      </c>
      <c r="H235" s="164">
        <v>9.3766268673386322E-3</v>
      </c>
      <c r="I235" s="516">
        <v>32.917825885236503</v>
      </c>
      <c r="J235" s="517">
        <v>3.5831034387355564E-3</v>
      </c>
    </row>
    <row r="236" spans="2:10" x14ac:dyDescent="0.2">
      <c r="B236" s="514"/>
      <c r="C236" s="515">
        <v>50</v>
      </c>
      <c r="D236" s="164">
        <v>9.9038082219215798E-2</v>
      </c>
      <c r="E236" s="164">
        <v>0.34946290996413759</v>
      </c>
      <c r="F236" s="164">
        <v>0.28037733336859777</v>
      </c>
      <c r="G236" s="164">
        <v>4.2554523760729239E-4</v>
      </c>
      <c r="H236" s="164">
        <v>2.18429417354929E-2</v>
      </c>
      <c r="I236" s="516">
        <v>32.91782724884812</v>
      </c>
      <c r="J236" s="517">
        <v>8.9360463664105161E-3</v>
      </c>
    </row>
    <row r="237" spans="2:10" x14ac:dyDescent="0.2">
      <c r="B237" s="514"/>
      <c r="C237" s="515">
        <v>120</v>
      </c>
      <c r="D237" s="164">
        <v>8.4917410369159313E-2</v>
      </c>
      <c r="E237" s="164">
        <v>0.44433452056091322</v>
      </c>
      <c r="F237" s="164">
        <v>0.52228893370347884</v>
      </c>
      <c r="G237" s="164">
        <v>7.6125311489875006E-4</v>
      </c>
      <c r="H237" s="164">
        <v>4.0758851142946258E-2</v>
      </c>
      <c r="I237" s="516">
        <v>64.895146605609312</v>
      </c>
      <c r="J237" s="517">
        <v>7.6619608855308186E-3</v>
      </c>
    </row>
    <row r="238" spans="2:10" x14ac:dyDescent="0.2">
      <c r="B238" s="514"/>
      <c r="C238" s="515">
        <v>175</v>
      </c>
      <c r="D238" s="164">
        <v>0.1346064374149944</v>
      </c>
      <c r="E238" s="164">
        <v>0.83927669638313507</v>
      </c>
      <c r="F238" s="164">
        <v>0.94121381727719922</v>
      </c>
      <c r="G238" s="164">
        <v>1.6190982025415651E-3</v>
      </c>
      <c r="H238" s="164">
        <v>5.2114050005712523E-2</v>
      </c>
      <c r="I238" s="163">
        <v>143.89791546372658</v>
      </c>
      <c r="J238" s="517">
        <v>1.2145323801462989E-2</v>
      </c>
    </row>
    <row r="239" spans="2:10" x14ac:dyDescent="0.2">
      <c r="B239" s="514"/>
      <c r="C239" s="515">
        <v>250</v>
      </c>
      <c r="D239" s="164">
        <v>0.15996218322803071</v>
      </c>
      <c r="E239" s="164">
        <v>0.54722234498505729</v>
      </c>
      <c r="F239" s="164">
        <v>1.3119899176515828</v>
      </c>
      <c r="G239" s="164">
        <v>2.5080154497499375E-3</v>
      </c>
      <c r="H239" s="164">
        <v>4.8729789039185581E-2</v>
      </c>
      <c r="I239" s="163">
        <v>222.90071093928069</v>
      </c>
      <c r="J239" s="517">
        <v>1.443313031516022E-2</v>
      </c>
    </row>
    <row r="240" spans="2:10" x14ac:dyDescent="0.2">
      <c r="B240" s="514"/>
      <c r="C240" s="515">
        <v>500</v>
      </c>
      <c r="D240" s="164">
        <v>0.20917689684357596</v>
      </c>
      <c r="E240" s="164">
        <v>0.87099198430863145</v>
      </c>
      <c r="F240" s="164">
        <v>1.6487254525262873</v>
      </c>
      <c r="G240" s="164">
        <v>3.0555953549997322E-3</v>
      </c>
      <c r="H240" s="164">
        <v>6.2325143207187815E-2</v>
      </c>
      <c r="I240" s="163">
        <v>311.30860047318191</v>
      </c>
      <c r="J240" s="517">
        <v>1.8873691497481932E-2</v>
      </c>
    </row>
    <row r="241" spans="2:10" x14ac:dyDescent="0.2">
      <c r="B241" s="514"/>
      <c r="C241" s="515">
        <v>750</v>
      </c>
      <c r="D241" s="164">
        <v>0.39640311730915428</v>
      </c>
      <c r="E241" s="164">
        <v>1.6394963578285024</v>
      </c>
      <c r="F241" s="164">
        <v>3.1893501877473298</v>
      </c>
      <c r="G241" s="164">
        <v>5.9008953227972314E-3</v>
      </c>
      <c r="H241" s="164">
        <v>0.11906260053642048</v>
      </c>
      <c r="I241" s="163">
        <v>586.87778890467905</v>
      </c>
      <c r="J241" s="517">
        <v>3.5766805689656837E-2</v>
      </c>
    </row>
    <row r="242" spans="2:10" x14ac:dyDescent="0.2">
      <c r="B242" s="518" t="s">
        <v>569</v>
      </c>
      <c r="C242" s="519"/>
      <c r="D242" s="520">
        <v>9.3317633983495754E-2</v>
      </c>
      <c r="E242" s="520">
        <v>0.42698973929656536</v>
      </c>
      <c r="F242" s="520">
        <v>0.4575179649003876</v>
      </c>
      <c r="G242" s="520">
        <v>6.9603176609821021E-4</v>
      </c>
      <c r="H242" s="520">
        <v>3.360828050393818E-2</v>
      </c>
      <c r="I242" s="521">
        <v>58.713049533034791</v>
      </c>
      <c r="J242" s="522">
        <v>8.4198996459102591E-3</v>
      </c>
    </row>
    <row r="243" spans="2:10" x14ac:dyDescent="0.2">
      <c r="B243" s="514" t="s">
        <v>570</v>
      </c>
      <c r="C243" s="515">
        <v>15</v>
      </c>
      <c r="D243" s="164">
        <v>8.0212715391193776E-3</v>
      </c>
      <c r="E243" s="164">
        <v>3.8774865274591862E-2</v>
      </c>
      <c r="F243" s="164">
        <v>4.9767848811248017E-2</v>
      </c>
      <c r="G243" s="164">
        <v>9.6592026253609583E-5</v>
      </c>
      <c r="H243" s="164">
        <v>2.5042685456763553E-3</v>
      </c>
      <c r="I243" s="516">
        <v>6.2073624649488712</v>
      </c>
      <c r="J243" s="517">
        <v>7.2374652878166412E-4</v>
      </c>
    </row>
    <row r="244" spans="2:10" x14ac:dyDescent="0.2">
      <c r="B244" s="514"/>
      <c r="C244" s="515">
        <v>25</v>
      </c>
      <c r="D244" s="164">
        <v>1.5340818748613623E-2</v>
      </c>
      <c r="E244" s="164">
        <v>4.9231085880568591E-2</v>
      </c>
      <c r="F244" s="164">
        <v>9.0259718870172492E-2</v>
      </c>
      <c r="G244" s="164">
        <v>1.4319937962204134E-4</v>
      </c>
      <c r="H244" s="164">
        <v>4.2369062805374703E-3</v>
      </c>
      <c r="I244" s="516">
        <v>11.286110117051827</v>
      </c>
      <c r="J244" s="517">
        <v>1.3841771446886008E-3</v>
      </c>
    </row>
    <row r="245" spans="2:10" x14ac:dyDescent="0.2">
      <c r="B245" s="514"/>
      <c r="C245" s="515">
        <v>50</v>
      </c>
      <c r="D245" s="164">
        <v>4.3522317910764087E-2</v>
      </c>
      <c r="E245" s="164">
        <v>0.22194313963555218</v>
      </c>
      <c r="F245" s="164">
        <v>0.19681242483447378</v>
      </c>
      <c r="G245" s="164">
        <v>3.3557285951453579E-4</v>
      </c>
      <c r="H245" s="164">
        <v>1.1040712569897795E-2</v>
      </c>
      <c r="I245" s="516">
        <v>25.958060896820871</v>
      </c>
      <c r="J245" s="517">
        <v>3.9269487816525582E-3</v>
      </c>
    </row>
    <row r="246" spans="2:10" x14ac:dyDescent="0.2">
      <c r="B246" s="514"/>
      <c r="C246" s="515">
        <v>120</v>
      </c>
      <c r="D246" s="164">
        <v>3.2060218387669093E-2</v>
      </c>
      <c r="E246" s="164">
        <v>0.25084040891055148</v>
      </c>
      <c r="F246" s="164">
        <v>0.23440333132473665</v>
      </c>
      <c r="G246" s="164">
        <v>4.6337157388851513E-4</v>
      </c>
      <c r="H246" s="164">
        <v>1.5257229894287737E-2</v>
      </c>
      <c r="I246" s="516">
        <v>39.501389947412129</v>
      </c>
      <c r="J246" s="517">
        <v>2.8927429962383108E-3</v>
      </c>
    </row>
    <row r="247" spans="2:10" x14ac:dyDescent="0.2">
      <c r="B247" s="514"/>
      <c r="C247" s="515">
        <v>175</v>
      </c>
      <c r="D247" s="164">
        <v>6.0023482530642214E-2</v>
      </c>
      <c r="E247" s="164">
        <v>0.53962068307379296</v>
      </c>
      <c r="F247" s="164">
        <v>0.43933956017632786</v>
      </c>
      <c r="G247" s="164">
        <v>1.1047967657460717E-3</v>
      </c>
      <c r="H247" s="164">
        <v>2.2285459877330226E-2</v>
      </c>
      <c r="I247" s="516">
        <v>98.189162375878084</v>
      </c>
      <c r="J247" s="517">
        <v>5.4158226727091955E-3</v>
      </c>
    </row>
    <row r="248" spans="2:10" x14ac:dyDescent="0.2">
      <c r="B248" s="514"/>
      <c r="C248" s="515">
        <v>250</v>
      </c>
      <c r="D248" s="164">
        <v>5.5080161969580106E-2</v>
      </c>
      <c r="E248" s="164">
        <v>0.22943802346676082</v>
      </c>
      <c r="F248" s="164">
        <v>0.45363252526561731</v>
      </c>
      <c r="G248" s="164">
        <v>1.3397249148414971E-3</v>
      </c>
      <c r="H248" s="164">
        <v>1.4167116373302686E-2</v>
      </c>
      <c r="I248" s="163">
        <v>119.06847056694384</v>
      </c>
      <c r="J248" s="517">
        <v>4.9697942894388501E-3</v>
      </c>
    </row>
    <row r="249" spans="2:10" x14ac:dyDescent="0.2">
      <c r="B249" s="514"/>
      <c r="C249" s="515">
        <v>500</v>
      </c>
      <c r="D249" s="164">
        <v>7.4802893233278725E-2</v>
      </c>
      <c r="E249" s="164">
        <v>0.31173701713935181</v>
      </c>
      <c r="F249" s="164">
        <v>0.5689868113272003</v>
      </c>
      <c r="G249" s="164">
        <v>1.6450366745091663E-3</v>
      </c>
      <c r="H249" s="164">
        <v>1.9174912814532648E-2</v>
      </c>
      <c r="I249" s="163">
        <v>167.59879958810396</v>
      </c>
      <c r="J249" s="517">
        <v>6.7493437522696464E-3</v>
      </c>
    </row>
    <row r="250" spans="2:10" ht="10.8" thickBot="1" x14ac:dyDescent="0.25">
      <c r="B250" s="525" t="s">
        <v>571</v>
      </c>
      <c r="C250" s="526"/>
      <c r="D250" s="527">
        <v>3.1000149083589921E-2</v>
      </c>
      <c r="E250" s="527">
        <v>0.18163045416393292</v>
      </c>
      <c r="F250" s="527">
        <v>0.17349716982505475</v>
      </c>
      <c r="G250" s="527">
        <v>3.1746435690231277E-4</v>
      </c>
      <c r="H250" s="527">
        <v>1.0223683878885148E-2</v>
      </c>
      <c r="I250" s="528">
        <v>25.60267743375034</v>
      </c>
      <c r="J250" s="529">
        <v>2.7970939185102714E-3</v>
      </c>
    </row>
  </sheetData>
  <mergeCells count="1">
    <mergeCell ref="C3:C4"/>
  </mergeCells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topLeftCell="A16" workbookViewId="0">
      <selection activeCell="A39" sqref="A39:C44"/>
    </sheetView>
  </sheetViews>
  <sheetFormatPr defaultRowHeight="13.2" x14ac:dyDescent="0.25"/>
  <cols>
    <col min="1" max="1" width="28.6640625" customWidth="1"/>
    <col min="4" max="6" width="9.33203125" bestFit="1" customWidth="1"/>
    <col min="7" max="7" width="12.44140625" bestFit="1" customWidth="1"/>
    <col min="8" max="13" width="9.33203125" bestFit="1" customWidth="1"/>
    <col min="14" max="14" width="12.44140625" bestFit="1" customWidth="1"/>
    <col min="15" max="20" width="9.33203125" bestFit="1" customWidth="1"/>
    <col min="21" max="21" width="12.44140625" bestFit="1" customWidth="1"/>
    <col min="22" max="27" width="9.33203125" bestFit="1" customWidth="1"/>
    <col min="28" max="28" width="12.44140625" bestFit="1" customWidth="1"/>
    <col min="29" max="34" width="9.33203125" bestFit="1" customWidth="1"/>
    <col min="35" max="35" width="12.44140625" bestFit="1" customWidth="1"/>
    <col min="36" max="41" width="9.33203125" bestFit="1" customWidth="1"/>
    <col min="42" max="42" width="12.44140625" bestFit="1" customWidth="1"/>
    <col min="43" max="45" width="9.33203125" bestFit="1" customWidth="1"/>
  </cols>
  <sheetData>
    <row r="1" spans="1:45" ht="13.8" thickBot="1" x14ac:dyDescent="0.3">
      <c r="D1">
        <v>2015</v>
      </c>
      <c r="K1">
        <v>2016</v>
      </c>
      <c r="R1">
        <v>2017</v>
      </c>
      <c r="Y1">
        <v>2018</v>
      </c>
      <c r="AF1">
        <v>2019</v>
      </c>
      <c r="AM1">
        <v>2020</v>
      </c>
    </row>
    <row r="2" spans="1:45" ht="13.8" thickBot="1" x14ac:dyDescent="0.3">
      <c r="A2" s="97" t="s">
        <v>502</v>
      </c>
      <c r="B2" t="s">
        <v>572</v>
      </c>
      <c r="C2" s="97" t="s">
        <v>5</v>
      </c>
      <c r="D2" s="511" t="s">
        <v>68</v>
      </c>
      <c r="E2" s="511" t="s">
        <v>66</v>
      </c>
      <c r="F2" s="511" t="s">
        <v>362</v>
      </c>
      <c r="G2" s="511" t="s">
        <v>359</v>
      </c>
      <c r="H2" s="511" t="s">
        <v>360</v>
      </c>
      <c r="I2" s="512" t="s">
        <v>72</v>
      </c>
      <c r="J2" s="513" t="s">
        <v>73</v>
      </c>
      <c r="K2" s="511" t="s">
        <v>68</v>
      </c>
      <c r="L2" s="511" t="s">
        <v>66</v>
      </c>
      <c r="M2" s="511" t="s">
        <v>362</v>
      </c>
      <c r="N2" s="511" t="s">
        <v>359</v>
      </c>
      <c r="O2" s="511" t="s">
        <v>360</v>
      </c>
      <c r="P2" s="512" t="s">
        <v>72</v>
      </c>
      <c r="Q2" s="513" t="s">
        <v>73</v>
      </c>
      <c r="R2" s="511" t="s">
        <v>68</v>
      </c>
      <c r="S2" s="511" t="s">
        <v>66</v>
      </c>
      <c r="T2" s="511" t="s">
        <v>362</v>
      </c>
      <c r="U2" s="511" t="s">
        <v>359</v>
      </c>
      <c r="V2" s="511" t="s">
        <v>360</v>
      </c>
      <c r="W2" s="512" t="s">
        <v>72</v>
      </c>
      <c r="X2" s="513" t="s">
        <v>73</v>
      </c>
      <c r="Y2" s="511" t="s">
        <v>68</v>
      </c>
      <c r="Z2" s="511" t="s">
        <v>66</v>
      </c>
      <c r="AA2" s="511" t="s">
        <v>362</v>
      </c>
      <c r="AB2" s="511" t="s">
        <v>359</v>
      </c>
      <c r="AC2" s="511" t="s">
        <v>360</v>
      </c>
      <c r="AD2" s="512" t="s">
        <v>72</v>
      </c>
      <c r="AE2" s="513" t="s">
        <v>73</v>
      </c>
      <c r="AF2" s="511" t="s">
        <v>68</v>
      </c>
      <c r="AG2" s="511" t="s">
        <v>66</v>
      </c>
      <c r="AH2" s="511" t="s">
        <v>362</v>
      </c>
      <c r="AI2" s="511" t="s">
        <v>359</v>
      </c>
      <c r="AJ2" s="511" t="s">
        <v>360</v>
      </c>
      <c r="AK2" s="512" t="s">
        <v>72</v>
      </c>
      <c r="AL2" s="513" t="s">
        <v>73</v>
      </c>
      <c r="AM2" s="511" t="s">
        <v>68</v>
      </c>
      <c r="AN2" s="511" t="s">
        <v>66</v>
      </c>
      <c r="AO2" s="511" t="s">
        <v>362</v>
      </c>
      <c r="AP2" s="511" t="s">
        <v>359</v>
      </c>
      <c r="AQ2" s="511" t="s">
        <v>360</v>
      </c>
      <c r="AR2" s="512" t="s">
        <v>72</v>
      </c>
      <c r="AS2" s="513" t="s">
        <v>73</v>
      </c>
    </row>
    <row r="3" spans="1:45" x14ac:dyDescent="0.25">
      <c r="A3" s="27" t="s">
        <v>193</v>
      </c>
      <c r="B3" s="25">
        <v>350</v>
      </c>
      <c r="C3" s="134">
        <v>0.4</v>
      </c>
      <c r="D3">
        <f>'2015'!$D183</f>
        <v>0.29315759791753021</v>
      </c>
      <c r="E3">
        <f>'2015'!$E183</f>
        <v>1.2456296642744205</v>
      </c>
      <c r="F3">
        <f>'2015'!$F183</f>
        <v>2.3950732284381036</v>
      </c>
      <c r="G3">
        <f>'2015'!$G183</f>
        <v>2.5998102444893035E-3</v>
      </c>
      <c r="H3">
        <f>'2015'!$H183</f>
        <v>9.8518465977709344E-2</v>
      </c>
      <c r="I3" s="7">
        <f>'2015'!$I183</f>
        <v>264.8725636721183</v>
      </c>
      <c r="J3">
        <f>'2015'!$J183</f>
        <v>2.6451144743432839E-2</v>
      </c>
      <c r="K3">
        <f>'2016'!$D183</f>
        <v>0.27937428148624566</v>
      </c>
      <c r="L3">
        <f>'2016'!$E183</f>
        <v>1.1678145818175554</v>
      </c>
      <c r="M3">
        <f>'2016'!$F183</f>
        <v>2.2383978363033092</v>
      </c>
      <c r="N3">
        <f>'2016'!$G183</f>
        <v>2.5998104036399888E-3</v>
      </c>
      <c r="O3">
        <f>'2016'!$H183</f>
        <v>9.1519466186646026E-2</v>
      </c>
      <c r="P3" s="7">
        <f>'2016'!$I183</f>
        <v>264.87256951539769</v>
      </c>
      <c r="Q3">
        <f>'2016'!$J183</f>
        <v>2.5207486969571574E-2</v>
      </c>
      <c r="R3">
        <f>'2017'!$D183</f>
        <v>0.26601143268871463</v>
      </c>
      <c r="S3">
        <f>'2017'!$E183</f>
        <v>1.0972341949718112</v>
      </c>
      <c r="T3">
        <f>'2017'!$F183</f>
        <v>2.0893206825921542</v>
      </c>
      <c r="U3">
        <f>'2017'!$G183</f>
        <v>2.5998100409794032E-3</v>
      </c>
      <c r="V3">
        <f>'2017'!$H183</f>
        <v>8.4909604900136715E-2</v>
      </c>
      <c r="W3" s="7">
        <f>'2017'!$I183</f>
        <v>264.87250666353776</v>
      </c>
      <c r="X3">
        <f>'2017'!$J183</f>
        <v>2.4001780874155543E-2</v>
      </c>
      <c r="Y3">
        <f>'2018'!$D183</f>
        <v>0.25306555588459217</v>
      </c>
      <c r="Z3">
        <f>'2018'!$E183</f>
        <v>1.0337614848680345</v>
      </c>
      <c r="AA3">
        <f>'2018'!$F183</f>
        <v>1.9476307345240327</v>
      </c>
      <c r="AB3">
        <f>'2018'!$G183</f>
        <v>2.5998107214987693E-3</v>
      </c>
      <c r="AC3">
        <f>'2018'!$H183</f>
        <v>7.8678442800975884E-2</v>
      </c>
      <c r="AD3" s="7">
        <f>'2018'!$I183</f>
        <v>264.87253998784388</v>
      </c>
      <c r="AE3">
        <f>'2018'!$J183</f>
        <v>2.2833695420172207E-2</v>
      </c>
      <c r="AF3">
        <f>'2019'!$D183</f>
        <v>0.24070461605820123</v>
      </c>
      <c r="AG3">
        <f>'2019'!$E183</f>
        <v>0.97731060008901516</v>
      </c>
      <c r="AH3">
        <f>'2019'!$F183</f>
        <v>1.8134184505922295</v>
      </c>
      <c r="AI3">
        <f>'2019'!$G183</f>
        <v>2.599810147793907E-3</v>
      </c>
      <c r="AJ3">
        <f>'2019'!$H183</f>
        <v>7.2819730655317133E-2</v>
      </c>
      <c r="AK3" s="7">
        <f>'2019'!$I183</f>
        <v>264.87254421657707</v>
      </c>
      <c r="AL3">
        <f>'2019'!$J183</f>
        <v>2.1718388632719882E-2</v>
      </c>
      <c r="AM3">
        <f>'2020'!$D183</f>
        <v>0.22910852256671893</v>
      </c>
      <c r="AN3">
        <f>'2020'!$E183</f>
        <v>0.92764212887282871</v>
      </c>
      <c r="AO3">
        <f>'2020'!$F183</f>
        <v>1.686770321414427</v>
      </c>
      <c r="AP3">
        <f>'2020'!$G183</f>
        <v>2.5998101519380768E-3</v>
      </c>
      <c r="AQ3">
        <f>'2020'!$H183</f>
        <v>6.7326299017990129E-2</v>
      </c>
      <c r="AR3" s="7">
        <f>'2020'!$I183</f>
        <v>264.87248137307603</v>
      </c>
      <c r="AS3">
        <f>'2020'!$J183</f>
        <v>2.0672093441887248E-2</v>
      </c>
    </row>
    <row r="4" spans="1:45" x14ac:dyDescent="0.25">
      <c r="A4" s="27" t="s">
        <v>194</v>
      </c>
      <c r="B4" s="25">
        <v>350</v>
      </c>
      <c r="C4" s="134">
        <v>0.41</v>
      </c>
      <c r="D4">
        <f>'2015'!$D98</f>
        <v>0.16661913310145687</v>
      </c>
      <c r="E4">
        <f>'2015'!$E98</f>
        <v>0.57390991091506671</v>
      </c>
      <c r="F4">
        <f>'2015'!$F98</f>
        <v>1.3760221326888009</v>
      </c>
      <c r="G4">
        <f>'2015'!$G98</f>
        <v>2.2524633622208845E-3</v>
      </c>
      <c r="H4">
        <f>'2015'!$H98</f>
        <v>4.9562380477206534E-2</v>
      </c>
      <c r="I4" s="7">
        <f>'2015'!$I98</f>
        <v>229.48430404511782</v>
      </c>
      <c r="J4">
        <f>'2015'!$J98</f>
        <v>1.5033778692192376E-2</v>
      </c>
      <c r="K4">
        <f>'2016'!$D98</f>
        <v>0.15786834601199012</v>
      </c>
      <c r="L4">
        <f>'2016'!$E98</f>
        <v>0.55245741687522776</v>
      </c>
      <c r="M4">
        <f>'2016'!$F98</f>
        <v>1.2393951315389484</v>
      </c>
      <c r="N4">
        <f>'2016'!$G98</f>
        <v>2.2524634107676184E-3</v>
      </c>
      <c r="O4">
        <f>'2016'!$H98</f>
        <v>4.4590117894040812E-2</v>
      </c>
      <c r="P4" s="7">
        <f>'2016'!$I98</f>
        <v>229.48431544436346</v>
      </c>
      <c r="Q4">
        <f>'2016'!$J98</f>
        <v>1.4244206783455365E-2</v>
      </c>
      <c r="R4">
        <f>'2017'!$D98</f>
        <v>0.14967028015779141</v>
      </c>
      <c r="S4">
        <f>'2017'!$E98</f>
        <v>0.53440970097619811</v>
      </c>
      <c r="T4">
        <f>'2017'!$F98</f>
        <v>1.1138559719809973</v>
      </c>
      <c r="U4">
        <f>'2017'!$G98</f>
        <v>2.252463434596794E-3</v>
      </c>
      <c r="V4">
        <f>'2017'!$H98</f>
        <v>4.0049079920742602E-2</v>
      </c>
      <c r="W4" s="7">
        <f>'2017'!$I98</f>
        <v>229.48428583366018</v>
      </c>
      <c r="X4">
        <f>'2017'!$J98</f>
        <v>1.3504507514594796E-2</v>
      </c>
      <c r="Y4">
        <f>'2018'!$D98</f>
        <v>0.14204672893087397</v>
      </c>
      <c r="Z4">
        <f>'2018'!$E98</f>
        <v>0.51944988295495698</v>
      </c>
      <c r="AA4">
        <f>'2018'!$F98</f>
        <v>0.99889717266806777</v>
      </c>
      <c r="AB4">
        <f>'2018'!$G98</f>
        <v>2.2524626963553339E-3</v>
      </c>
      <c r="AC4">
        <f>'2018'!$H98</f>
        <v>3.5928558524679917E-2</v>
      </c>
      <c r="AD4" s="7">
        <f>'2018'!$I98</f>
        <v>229.48424083111456</v>
      </c>
      <c r="AE4">
        <f>'2018'!$J98</f>
        <v>1.2816646598928946E-2</v>
      </c>
      <c r="AF4">
        <f>'2019'!$D98</f>
        <v>0.13497662216668563</v>
      </c>
      <c r="AG4">
        <f>'2019'!$E98</f>
        <v>0.50723179424901166</v>
      </c>
      <c r="AH4">
        <f>'2019'!$F98</f>
        <v>0.89396436967446358</v>
      </c>
      <c r="AI4">
        <f>'2019'!$G98</f>
        <v>2.2524636529229324E-3</v>
      </c>
      <c r="AJ4">
        <f>'2019'!$H98</f>
        <v>3.2203400298214523E-2</v>
      </c>
      <c r="AK4" s="7">
        <f>'2019'!$I98</f>
        <v>229.48421950990104</v>
      </c>
      <c r="AL4">
        <f>'2019'!$J98</f>
        <v>1.2178721396469788E-2</v>
      </c>
      <c r="AM4">
        <f>'2020'!$D98</f>
        <v>0.12835931067285147</v>
      </c>
      <c r="AN4">
        <f>'2020'!$E98</f>
        <v>0.49664143228882163</v>
      </c>
      <c r="AO4">
        <f>'2020'!$F98</f>
        <v>0.7981531903749931</v>
      </c>
      <c r="AP4">
        <f>'2020'!$G98</f>
        <v>2.2524632483109158E-3</v>
      </c>
      <c r="AQ4">
        <f>'2020'!$H98</f>
        <v>2.883331148683629E-2</v>
      </c>
      <c r="AR4" s="7">
        <f>'2020'!$I98</f>
        <v>229.48426254447057</v>
      </c>
      <c r="AS4">
        <f>'2020'!$J98</f>
        <v>1.1581652574076154E-2</v>
      </c>
    </row>
    <row r="5" spans="1:45" x14ac:dyDescent="0.25">
      <c r="A5" s="27" t="s">
        <v>195</v>
      </c>
      <c r="B5" s="25">
        <v>350</v>
      </c>
      <c r="C5" s="134">
        <v>0.48</v>
      </c>
      <c r="D5">
        <f>'2015'!$D199</f>
        <v>0.28827307864317453</v>
      </c>
      <c r="E5">
        <f>'2015'!$E199</f>
        <v>1.0688117631027829</v>
      </c>
      <c r="F5">
        <f>'2015'!$F199</f>
        <v>2.4104144917273165</v>
      </c>
      <c r="G5">
        <f>'2015'!$G199</f>
        <v>3.1549252143876689E-3</v>
      </c>
      <c r="H5">
        <f>'2015'!$H199</f>
        <v>9.2957043118266802E-2</v>
      </c>
      <c r="I5" s="7">
        <f>'2015'!$I199</f>
        <v>321.42846035935588</v>
      </c>
      <c r="J5">
        <f>'2015'!$J199</f>
        <v>2.6010420981454316E-2</v>
      </c>
      <c r="K5">
        <f>'2016'!$D199</f>
        <v>0.27361983606105278</v>
      </c>
      <c r="L5">
        <f>'2016'!$E199</f>
        <v>1.0106838740781028</v>
      </c>
      <c r="M5">
        <f>'2016'!$F199</f>
        <v>2.2183128982162637</v>
      </c>
      <c r="N5">
        <f>'2016'!$G199</f>
        <v>3.1549257046389317E-3</v>
      </c>
      <c r="O5">
        <f>'2016'!$H199</f>
        <v>8.5097368649182215E-2</v>
      </c>
      <c r="P5" s="7">
        <f>'2016'!$I199</f>
        <v>321.42846751610921</v>
      </c>
      <c r="Q5">
        <f>'2016'!$J199</f>
        <v>2.4688277766915231E-2</v>
      </c>
      <c r="R5">
        <f>'2017'!$D199</f>
        <v>0.25944498947339795</v>
      </c>
      <c r="S5">
        <f>'2017'!$E199</f>
        <v>0.96023283250935576</v>
      </c>
      <c r="T5">
        <f>'2017'!$F199</f>
        <v>2.0375224804299736</v>
      </c>
      <c r="U5">
        <f>'2017'!$G199</f>
        <v>3.1549252848218547E-3</v>
      </c>
      <c r="V5">
        <f>'2017'!$H199</f>
        <v>7.7674022556579334E-2</v>
      </c>
      <c r="W5" s="7">
        <f>'2017'!$I199</f>
        <v>321.42849811261823</v>
      </c>
      <c r="X5">
        <f>'2017'!$J199</f>
        <v>2.3409296751328711E-2</v>
      </c>
      <c r="Y5">
        <f>'2018'!$D199</f>
        <v>0.24583210594718735</v>
      </c>
      <c r="Z5">
        <f>'2018'!$E199</f>
        <v>0.91647056880524502</v>
      </c>
      <c r="AA5">
        <f>'2018'!$F199</f>
        <v>1.8678152310064</v>
      </c>
      <c r="AB5">
        <f>'2018'!$G199</f>
        <v>3.1549262583779004E-3</v>
      </c>
      <c r="AC5">
        <f>'2018'!$H199</f>
        <v>7.0698102807775914E-2</v>
      </c>
      <c r="AD5" s="7">
        <f>'2018'!$I199</f>
        <v>321.42848144577874</v>
      </c>
      <c r="AE5">
        <f>'2018'!$J199</f>
        <v>2.2181037455302012E-2</v>
      </c>
      <c r="AF5">
        <f>'2019'!$D199</f>
        <v>0.23302916931528106</v>
      </c>
      <c r="AG5">
        <f>'2019'!$E199</f>
        <v>0.87847336939265785</v>
      </c>
      <c r="AH5">
        <f>'2019'!$F199</f>
        <v>1.7092103132521892</v>
      </c>
      <c r="AI5">
        <f>'2019'!$G199</f>
        <v>3.1549256422564666E-3</v>
      </c>
      <c r="AJ5">
        <f>'2019'!$H199</f>
        <v>6.4266680843534207E-2</v>
      </c>
      <c r="AK5" s="7">
        <f>'2019'!$I199</f>
        <v>321.42843554242222</v>
      </c>
      <c r="AL5">
        <f>'2019'!$J199</f>
        <v>2.1025852051004948E-2</v>
      </c>
      <c r="AM5">
        <f>'2020'!$D199</f>
        <v>0.22114810409609095</v>
      </c>
      <c r="AN5">
        <f>'2020'!$E199</f>
        <v>0.84546012457949182</v>
      </c>
      <c r="AO5">
        <f>'2020'!$F199</f>
        <v>1.5614722373250061</v>
      </c>
      <c r="AP5">
        <f>'2020'!$G199</f>
        <v>3.154926820014955E-3</v>
      </c>
      <c r="AQ5">
        <f>'2020'!$H199</f>
        <v>5.841279598018613E-2</v>
      </c>
      <c r="AR5" s="7">
        <f>'2020'!$I199</f>
        <v>321.42849079555151</v>
      </c>
      <c r="AS5">
        <f>'2020'!$J199</f>
        <v>1.9953838118355136E-2</v>
      </c>
    </row>
    <row r="6" spans="1:45" x14ac:dyDescent="0.25">
      <c r="A6" s="27" t="s">
        <v>196</v>
      </c>
      <c r="B6" s="25">
        <v>250</v>
      </c>
      <c r="C6" s="134">
        <v>0.38</v>
      </c>
      <c r="D6">
        <f>'2015'!$D172</f>
        <v>0.11066058167204838</v>
      </c>
      <c r="E6">
        <f>'2015'!$E172</f>
        <v>0.357512171951539</v>
      </c>
      <c r="F6">
        <f>'2015'!$F172</f>
        <v>1.0947831674448847</v>
      </c>
      <c r="G6">
        <f>'2015'!$G172</f>
        <v>1.7225234988951081E-3</v>
      </c>
      <c r="H6">
        <f>'2015'!$H172</f>
        <v>3.6815646848800836E-2</v>
      </c>
      <c r="I6" s="7">
        <f>'2015'!$I172</f>
        <v>153.0897857268109</v>
      </c>
      <c r="J6">
        <f>'2015'!$J172</f>
        <v>9.9847277011502044E-3</v>
      </c>
      <c r="K6">
        <f>'2016'!$D172</f>
        <v>0.10421407891555058</v>
      </c>
      <c r="L6">
        <f>'2016'!$E172</f>
        <v>0.34634027743296963</v>
      </c>
      <c r="M6">
        <f>'2016'!$F172</f>
        <v>0.99610727887460127</v>
      </c>
      <c r="N6">
        <f>'2016'!$G172</f>
        <v>1.7225238017196767E-3</v>
      </c>
      <c r="O6">
        <f>'2016'!$H172</f>
        <v>3.3325948190671834E-2</v>
      </c>
      <c r="P6" s="7">
        <f>'2016'!$I172</f>
        <v>153.08990422247768</v>
      </c>
      <c r="Q6">
        <f>'2016'!$J172</f>
        <v>9.4030671029605162E-3</v>
      </c>
      <c r="R6">
        <f>'2017'!$D172</f>
        <v>9.849550183268832E-2</v>
      </c>
      <c r="S6">
        <f>'2017'!$E172</f>
        <v>0.33754806256205427</v>
      </c>
      <c r="T6">
        <f>'2017'!$F172</f>
        <v>0.9034811688601726</v>
      </c>
      <c r="U6">
        <f>'2017'!$G172</f>
        <v>1.7225228533016813E-3</v>
      </c>
      <c r="V6">
        <f>'2017'!$H172</f>
        <v>3.0197330409474903E-2</v>
      </c>
      <c r="W6" s="7">
        <f>'2017'!$I172</f>
        <v>153.08978374428989</v>
      </c>
      <c r="X6">
        <f>'2017'!$J172</f>
        <v>8.8870914540412384E-3</v>
      </c>
      <c r="Y6">
        <f>'2018'!$D172</f>
        <v>9.3362312531121844E-2</v>
      </c>
      <c r="Z6">
        <f>'2018'!$E172</f>
        <v>0.33060835376697673</v>
      </c>
      <c r="AA6">
        <f>'2018'!$F172</f>
        <v>0.8164186599942973</v>
      </c>
      <c r="AB6">
        <f>'2018'!$G172</f>
        <v>1.7225228680334771E-3</v>
      </c>
      <c r="AC6">
        <f>'2018'!$H172</f>
        <v>2.7364011985605993E-2</v>
      </c>
      <c r="AD6" s="7">
        <f>'2018'!$I172</f>
        <v>153.0898468576824</v>
      </c>
      <c r="AE6">
        <f>'2018'!$J172</f>
        <v>8.4239312734354869E-3</v>
      </c>
      <c r="AF6">
        <f>'2019'!$D172</f>
        <v>8.8631994199622879E-2</v>
      </c>
      <c r="AG6">
        <f>'2019'!$E172</f>
        <v>0.32492846010849963</v>
      </c>
      <c r="AH6">
        <f>'2019'!$F172</f>
        <v>0.73465442815694493</v>
      </c>
      <c r="AI6">
        <f>'2019'!$G172</f>
        <v>1.7225238768631813E-3</v>
      </c>
      <c r="AJ6">
        <f>'2019'!$H172</f>
        <v>2.4758009337080954E-2</v>
      </c>
      <c r="AK6" s="7">
        <f>'2019'!$I172</f>
        <v>153.08987122896906</v>
      </c>
      <c r="AL6">
        <f>'2019'!$J172</f>
        <v>7.9971216054625441E-3</v>
      </c>
      <c r="AM6">
        <f>'2020'!$D172</f>
        <v>8.4182614086600133E-2</v>
      </c>
      <c r="AN6">
        <f>'2020'!$E172</f>
        <v>0.3200705350280611</v>
      </c>
      <c r="AO6">
        <f>'2020'!$F172</f>
        <v>0.658094331660252</v>
      </c>
      <c r="AP6">
        <f>'2020'!$G172</f>
        <v>1.7225233568523399E-3</v>
      </c>
      <c r="AQ6">
        <f>'2020'!$H172</f>
        <v>2.2332176312918565E-2</v>
      </c>
      <c r="AR6" s="7">
        <f>'2020'!$I172</f>
        <v>153.08982237295896</v>
      </c>
      <c r="AS6">
        <f>'2020'!$J172</f>
        <v>7.5956615609982479E-3</v>
      </c>
    </row>
    <row r="7" spans="1:45" x14ac:dyDescent="0.25">
      <c r="A7" s="27" t="s">
        <v>197</v>
      </c>
      <c r="B7" s="134">
        <v>200</v>
      </c>
      <c r="C7" s="134">
        <v>0.36</v>
      </c>
      <c r="D7">
        <f>'2015'!$D191</f>
        <v>0.1118496084386869</v>
      </c>
      <c r="E7">
        <f>'2015'!$E191</f>
        <v>0.34437998349702598</v>
      </c>
      <c r="F7">
        <f>'2015'!$F191</f>
        <v>0.98902740422423208</v>
      </c>
      <c r="G7">
        <f>'2015'!$G191</f>
        <v>1.676243123421701E-3</v>
      </c>
      <c r="H7">
        <f>'2015'!$H191</f>
        <v>3.3685773612412907E-2</v>
      </c>
      <c r="I7" s="7">
        <f>'2015'!$I191</f>
        <v>148.97664453593197</v>
      </c>
      <c r="J7">
        <f>'2015'!$J191</f>
        <v>1.0092011106863865E-2</v>
      </c>
      <c r="K7">
        <f>'2016'!$D191</f>
        <v>0.10563966943103599</v>
      </c>
      <c r="L7">
        <f>'2016'!$E191</f>
        <v>0.33567623418699366</v>
      </c>
      <c r="M7">
        <f>'2016'!$F191</f>
        <v>0.8897147826659817</v>
      </c>
      <c r="N7">
        <f>'2016'!$G191</f>
        <v>1.6762428138747331E-3</v>
      </c>
      <c r="O7">
        <f>'2016'!$H191</f>
        <v>3.024588610473709E-2</v>
      </c>
      <c r="P7" s="7">
        <f>'2016'!$I191</f>
        <v>148.97666793125595</v>
      </c>
      <c r="Q7">
        <f>'2016'!$J191</f>
        <v>9.5316980170715351E-3</v>
      </c>
      <c r="R7">
        <f>'2017'!$D191</f>
        <v>9.9952747313268628E-2</v>
      </c>
      <c r="S7">
        <f>'2017'!$E191</f>
        <v>0.32904725351344399</v>
      </c>
      <c r="T7">
        <f>'2017'!$F191</f>
        <v>0.79841895508735716</v>
      </c>
      <c r="U7">
        <f>'2017'!$G191</f>
        <v>1.6762431040541262E-3</v>
      </c>
      <c r="V7">
        <f>'2017'!$H191</f>
        <v>2.7167656516135858E-2</v>
      </c>
      <c r="W7" s="7">
        <f>'2017'!$I191</f>
        <v>148.97664558315503</v>
      </c>
      <c r="X7">
        <f>'2017'!$J191</f>
        <v>9.0185753542049527E-3</v>
      </c>
      <c r="Y7">
        <f>'2018'!$D191</f>
        <v>9.4600970491392308E-2</v>
      </c>
      <c r="Z7">
        <f>'2018'!$E191</f>
        <v>0.32371083064071982</v>
      </c>
      <c r="AA7">
        <f>'2018'!$F191</f>
        <v>0.71418275667912545</v>
      </c>
      <c r="AB7">
        <f>'2018'!$G191</f>
        <v>1.6762429502385828E-3</v>
      </c>
      <c r="AC7">
        <f>'2018'!$H191</f>
        <v>2.4351421420554582E-2</v>
      </c>
      <c r="AD7" s="7">
        <f>'2018'!$I191</f>
        <v>148.97670143852574</v>
      </c>
      <c r="AE7">
        <f>'2018'!$J191</f>
        <v>8.5356955520187617E-3</v>
      </c>
      <c r="AF7">
        <f>'2019'!$D191</f>
        <v>8.9553460441848684E-2</v>
      </c>
      <c r="AG7">
        <f>'2019'!$E191</f>
        <v>0.31942309989476003</v>
      </c>
      <c r="AH7">
        <f>'2019'!$F191</f>
        <v>0.63663648059637379</v>
      </c>
      <c r="AI7">
        <f>'2019'!$G191</f>
        <v>1.6762437114831023E-3</v>
      </c>
      <c r="AJ7">
        <f>'2019'!$H191</f>
        <v>2.1771108164742248E-2</v>
      </c>
      <c r="AK7" s="7">
        <f>'2019'!$I191</f>
        <v>148.97671844641377</v>
      </c>
      <c r="AL7">
        <f>'2019'!$J191</f>
        <v>8.0802618506061671E-3</v>
      </c>
      <c r="AM7">
        <f>'2020'!$D191</f>
        <v>8.4809338750527735E-2</v>
      </c>
      <c r="AN7">
        <f>'2020'!$E191</f>
        <v>0.31589228651483875</v>
      </c>
      <c r="AO7">
        <f>'2020'!$F191</f>
        <v>0.56553029446466985</v>
      </c>
      <c r="AP7">
        <f>'2020'!$G191</f>
        <v>1.6762430885479793E-3</v>
      </c>
      <c r="AQ7">
        <f>'2020'!$H191</f>
        <v>1.9416986383123464E-2</v>
      </c>
      <c r="AR7" s="7">
        <f>'2020'!$I191</f>
        <v>148.97665813539152</v>
      </c>
      <c r="AS7">
        <f>'2020'!$J191</f>
        <v>7.6522122922095251E-3</v>
      </c>
    </row>
    <row r="8" spans="1:45" x14ac:dyDescent="0.25">
      <c r="A8" s="27" t="s">
        <v>199</v>
      </c>
      <c r="B8" s="25">
        <v>175</v>
      </c>
      <c r="C8" s="134">
        <v>0.38</v>
      </c>
      <c r="D8">
        <f>'2015'!$D108</f>
        <v>0.12515266972462641</v>
      </c>
      <c r="E8">
        <f>'2015'!$E108</f>
        <v>0.37018045112299897</v>
      </c>
      <c r="F8">
        <f>'2015'!$F108</f>
        <v>0.98177634452702278</v>
      </c>
      <c r="G8">
        <f>'2015'!$G108</f>
        <v>1.8739213528134147E-3</v>
      </c>
      <c r="H8">
        <f>'2015'!$H108</f>
        <v>3.2769564138102551E-2</v>
      </c>
      <c r="I8" s="7">
        <f>'2015'!$I108</f>
        <v>166.54539483446186</v>
      </c>
      <c r="J8">
        <f>'2015'!$J108</f>
        <v>1.1292325418869483E-2</v>
      </c>
      <c r="K8">
        <f>'2016'!$D108</f>
        <v>0.11792220738547983</v>
      </c>
      <c r="L8">
        <f>'2016'!$E108</f>
        <v>0.36512193352152528</v>
      </c>
      <c r="M8">
        <f>'2016'!$F108</f>
        <v>0.86781464282266541</v>
      </c>
      <c r="N8">
        <f>'2016'!$G108</f>
        <v>1.8739217498104396E-3</v>
      </c>
      <c r="O8">
        <f>'2016'!$H108</f>
        <v>2.9041712295589866E-2</v>
      </c>
      <c r="P8" s="7">
        <f>'2016'!$I108</f>
        <v>166.54541562452522</v>
      </c>
      <c r="Q8">
        <f>'2016'!$J108</f>
        <v>1.063993297769634E-2</v>
      </c>
      <c r="R8">
        <f>'2017'!$D108</f>
        <v>0.11087757550731449</v>
      </c>
      <c r="S8">
        <f>'2017'!$E108</f>
        <v>0.36084059419635078</v>
      </c>
      <c r="T8">
        <f>'2017'!$F108</f>
        <v>0.76252068294710729</v>
      </c>
      <c r="U8">
        <f>'2017'!$G108</f>
        <v>1.8739208211501423E-3</v>
      </c>
      <c r="V8">
        <f>'2017'!$H108</f>
        <v>2.5639490365790139E-2</v>
      </c>
      <c r="W8" s="7">
        <f>'2017'!$I108</f>
        <v>166.54536773790227</v>
      </c>
      <c r="X8">
        <f>'2017'!$J108</f>
        <v>1.0004303079381925E-2</v>
      </c>
      <c r="Y8">
        <f>'2018'!$D108</f>
        <v>0.1041767465113491</v>
      </c>
      <c r="Z8">
        <f>'2018'!$E108</f>
        <v>0.35715448415065187</v>
      </c>
      <c r="AA8">
        <f>'2018'!$F108</f>
        <v>0.66603800397589519</v>
      </c>
      <c r="AB8">
        <f>'2018'!$G108</f>
        <v>1.873921930245647E-3</v>
      </c>
      <c r="AC8">
        <f>'2018'!$H108</f>
        <v>2.2542352700611085E-2</v>
      </c>
      <c r="AD8" s="7">
        <f>'2018'!$I108</f>
        <v>166.54543379579488</v>
      </c>
      <c r="AE8">
        <f>'2018'!$J108</f>
        <v>9.3996999235005617E-3</v>
      </c>
      <c r="AF8">
        <f>'2019'!$D108</f>
        <v>9.8126501853339099E-2</v>
      </c>
      <c r="AG8">
        <f>'2019'!$E108</f>
        <v>0.35404986242713693</v>
      </c>
      <c r="AH8">
        <f>'2019'!$F108</f>
        <v>0.57972575059472697</v>
      </c>
      <c r="AI8">
        <f>'2019'!$G108</f>
        <v>1.8739219985869813E-3</v>
      </c>
      <c r="AJ8">
        <f>'2019'!$H108</f>
        <v>1.9765910620015432E-2</v>
      </c>
      <c r="AK8" s="7">
        <f>'2019'!$I108</f>
        <v>166.54541132463186</v>
      </c>
      <c r="AL8">
        <f>'2019'!$J108</f>
        <v>8.8537970071824509E-3</v>
      </c>
      <c r="AM8">
        <f>'2020'!$D108</f>
        <v>9.2725246112278115E-2</v>
      </c>
      <c r="AN8">
        <f>'2020'!$E108</f>
        <v>0.35143421911519712</v>
      </c>
      <c r="AO8">
        <f>'2020'!$F108</f>
        <v>0.50424090389582876</v>
      </c>
      <c r="AP8">
        <f>'2020'!$G108</f>
        <v>1.8739212869985323E-3</v>
      </c>
      <c r="AQ8">
        <f>'2020'!$H108</f>
        <v>1.7307373778617977E-2</v>
      </c>
      <c r="AR8" s="7">
        <f>'2020'!$I108</f>
        <v>166.54540745667055</v>
      </c>
      <c r="AS8">
        <f>'2020'!$J108</f>
        <v>8.3664496800051249E-3</v>
      </c>
    </row>
    <row r="9" spans="1:45" x14ac:dyDescent="0.25">
      <c r="A9" s="27" t="s">
        <v>200</v>
      </c>
      <c r="B9" s="25">
        <v>235</v>
      </c>
      <c r="C9" s="134">
        <v>0.38</v>
      </c>
      <c r="D9">
        <f>'2015'!$D108</f>
        <v>0.12515266972462641</v>
      </c>
      <c r="E9">
        <f>'2015'!$E108</f>
        <v>0.37018045112299897</v>
      </c>
      <c r="F9">
        <f>'2015'!$F108</f>
        <v>0.98177634452702278</v>
      </c>
      <c r="G9">
        <f>'2015'!$G108</f>
        <v>1.8739213528134147E-3</v>
      </c>
      <c r="H9">
        <f>'2015'!$H108</f>
        <v>3.2769564138102551E-2</v>
      </c>
      <c r="I9" s="7">
        <f>'2015'!$I108</f>
        <v>166.54539483446186</v>
      </c>
      <c r="J9">
        <f>'2015'!$J108</f>
        <v>1.1292325418869483E-2</v>
      </c>
      <c r="K9">
        <f>'2016'!$D108</f>
        <v>0.11792220738547983</v>
      </c>
      <c r="L9">
        <f>'2016'!$E108</f>
        <v>0.36512193352152528</v>
      </c>
      <c r="M9">
        <f>'2016'!$F108</f>
        <v>0.86781464282266541</v>
      </c>
      <c r="N9">
        <f>'2016'!$G108</f>
        <v>1.8739217498104396E-3</v>
      </c>
      <c r="O9">
        <f>'2016'!$H108</f>
        <v>2.9041712295589866E-2</v>
      </c>
      <c r="P9" s="7">
        <f>'2016'!$I108</f>
        <v>166.54541562452522</v>
      </c>
      <c r="Q9">
        <f>'2016'!$J108</f>
        <v>1.063993297769634E-2</v>
      </c>
      <c r="R9">
        <f>'2017'!$D108</f>
        <v>0.11087757550731449</v>
      </c>
      <c r="S9">
        <f>'2017'!$E108</f>
        <v>0.36084059419635078</v>
      </c>
      <c r="T9">
        <f>'2017'!$F108</f>
        <v>0.76252068294710729</v>
      </c>
      <c r="U9">
        <f>'2017'!$G108</f>
        <v>1.8739208211501423E-3</v>
      </c>
      <c r="V9">
        <f>'2017'!$H108</f>
        <v>2.5639490365790139E-2</v>
      </c>
      <c r="W9" s="7">
        <f>'2017'!$I108</f>
        <v>166.54536773790227</v>
      </c>
      <c r="X9">
        <f>'2017'!$J108</f>
        <v>1.0004303079381925E-2</v>
      </c>
      <c r="Y9">
        <f>'2018'!$D108</f>
        <v>0.1041767465113491</v>
      </c>
      <c r="Z9">
        <f>'2018'!$E108</f>
        <v>0.35715448415065187</v>
      </c>
      <c r="AA9">
        <f>'2018'!$F108</f>
        <v>0.66603800397589519</v>
      </c>
      <c r="AB9">
        <f>'2018'!$G108</f>
        <v>1.873921930245647E-3</v>
      </c>
      <c r="AC9">
        <f>'2018'!$H108</f>
        <v>2.2542352700611085E-2</v>
      </c>
      <c r="AD9" s="7">
        <f>'2018'!$I108</f>
        <v>166.54543379579488</v>
      </c>
      <c r="AE9">
        <f>'2018'!$J108</f>
        <v>9.3996999235005617E-3</v>
      </c>
      <c r="AF9">
        <f>'2019'!$D108</f>
        <v>9.8126501853339099E-2</v>
      </c>
      <c r="AG9">
        <f>'2019'!$E108</f>
        <v>0.35404986242713693</v>
      </c>
      <c r="AH9">
        <f>'2019'!$F108</f>
        <v>0.57972575059472697</v>
      </c>
      <c r="AI9">
        <f>'2019'!$G108</f>
        <v>1.8739219985869813E-3</v>
      </c>
      <c r="AJ9">
        <f>'2019'!$H108</f>
        <v>1.9765910620015432E-2</v>
      </c>
      <c r="AK9" s="7">
        <f>'2019'!$I108</f>
        <v>166.54541132463186</v>
      </c>
      <c r="AL9">
        <f>'2019'!$J108</f>
        <v>8.8537970071824509E-3</v>
      </c>
      <c r="AM9">
        <f>'2020'!$D108</f>
        <v>9.2725246112278115E-2</v>
      </c>
      <c r="AN9">
        <f>'2020'!$E108</f>
        <v>0.35143421911519712</v>
      </c>
      <c r="AO9">
        <f>'2020'!$F108</f>
        <v>0.50424090389582876</v>
      </c>
      <c r="AP9">
        <f>'2020'!$G108</f>
        <v>1.8739212869985323E-3</v>
      </c>
      <c r="AQ9">
        <f>'2020'!$H108</f>
        <v>1.7307373778617977E-2</v>
      </c>
      <c r="AR9" s="7">
        <f>'2020'!$I108</f>
        <v>166.54540745667055</v>
      </c>
      <c r="AS9">
        <f>'2020'!$J108</f>
        <v>8.3664496800051249E-3</v>
      </c>
    </row>
    <row r="10" spans="1:45" x14ac:dyDescent="0.25">
      <c r="A10" s="27" t="s">
        <v>201</v>
      </c>
      <c r="B10" s="25">
        <v>300</v>
      </c>
      <c r="C10" s="134">
        <v>0.38</v>
      </c>
      <c r="D10">
        <f>'2015'!$D75</f>
        <v>0.15768786953222044</v>
      </c>
      <c r="E10">
        <f>'2015'!$E75</f>
        <v>0.49644589043132925</v>
      </c>
      <c r="F10">
        <f>'2015'!$F75</f>
        <v>1.1619255625584828</v>
      </c>
      <c r="G10">
        <f>'2015'!$G75</f>
        <v>2.2941891037024571E-3</v>
      </c>
      <c r="H10">
        <f>'2015'!$H75</f>
        <v>4.1330038782821148E-2</v>
      </c>
      <c r="I10" s="7">
        <f>'2015'!$I75</f>
        <v>233.73532966705815</v>
      </c>
      <c r="J10">
        <f>'2015'!$J75</f>
        <v>1.4227923455147638E-2</v>
      </c>
      <c r="K10">
        <f>'2016'!$D75</f>
        <v>0.14955077841248507</v>
      </c>
      <c r="L10">
        <f>'2016'!$E75</f>
        <v>0.48505267188754209</v>
      </c>
      <c r="M10">
        <f>'2016'!$F75</f>
        <v>1.0236210425618641</v>
      </c>
      <c r="N10">
        <f>'2016'!$G75</f>
        <v>2.2941887108755294E-3</v>
      </c>
      <c r="O10">
        <f>'2016'!$H75</f>
        <v>3.6614618148107118E-2</v>
      </c>
      <c r="P10" s="7">
        <f>'2016'!$I75</f>
        <v>233.73531392991876</v>
      </c>
      <c r="Q10">
        <f>'2016'!$J75</f>
        <v>1.3493728077234307E-2</v>
      </c>
      <c r="R10">
        <f>'2017'!$D75</f>
        <v>0.1415316092306603</v>
      </c>
      <c r="S10">
        <f>'2017'!$E75</f>
        <v>0.47617389363296547</v>
      </c>
      <c r="T10">
        <f>'2017'!$F75</f>
        <v>0.89879832533338255</v>
      </c>
      <c r="U10">
        <f>'2017'!$G75</f>
        <v>2.2941882966723329E-3</v>
      </c>
      <c r="V10">
        <f>'2017'!$H75</f>
        <v>3.2284153800841958E-2</v>
      </c>
      <c r="W10" s="7">
        <f>'2017'!$I75</f>
        <v>233.73535169013226</v>
      </c>
      <c r="X10">
        <f>'2017'!$J75</f>
        <v>1.2770166630775929E-2</v>
      </c>
      <c r="Y10">
        <f>'2018'!$D75</f>
        <v>0.13386641566610369</v>
      </c>
      <c r="Z10">
        <f>'2018'!$E75</f>
        <v>0.46889693641413166</v>
      </c>
      <c r="AA10">
        <f>'2018'!$F75</f>
        <v>0.78810957933497405</v>
      </c>
      <c r="AB10">
        <f>'2018'!$G75</f>
        <v>2.2941887362225512E-3</v>
      </c>
      <c r="AC10">
        <f>'2018'!$H75</f>
        <v>2.8425561073409961E-2</v>
      </c>
      <c r="AD10" s="7">
        <f>'2018'!$I75</f>
        <v>233.73535326026993</v>
      </c>
      <c r="AE10">
        <f>'2018'!$J75</f>
        <v>1.2078550367923749E-2</v>
      </c>
      <c r="AF10">
        <f>'2019'!$D75</f>
        <v>0.1265883693091156</v>
      </c>
      <c r="AG10">
        <f>'2019'!$E75</f>
        <v>0.46321509421270962</v>
      </c>
      <c r="AH10">
        <f>'2019'!$F75</f>
        <v>0.69000454505611353</v>
      </c>
      <c r="AI10">
        <f>'2019'!$G75</f>
        <v>2.2941889803797964E-3</v>
      </c>
      <c r="AJ10">
        <f>'2019'!$H75</f>
        <v>2.4992895938510611E-2</v>
      </c>
      <c r="AK10" s="7">
        <f>'2019'!$I75</f>
        <v>233.73530479202901</v>
      </c>
      <c r="AL10">
        <f>'2019'!$J75</f>
        <v>1.1421864606287866E-2</v>
      </c>
      <c r="AM10">
        <f>'2020'!$D75</f>
        <v>0.11982730712470238</v>
      </c>
      <c r="AN10">
        <f>'2020'!$E75</f>
        <v>0.45905106389925343</v>
      </c>
      <c r="AO10">
        <f>'2020'!$F75</f>
        <v>0.60277672158046691</v>
      </c>
      <c r="AP10">
        <f>'2020'!$G75</f>
        <v>2.2941896155419489E-3</v>
      </c>
      <c r="AQ10">
        <f>'2020'!$H75</f>
        <v>2.1910371909083362E-2</v>
      </c>
      <c r="AR10" s="7">
        <f>'2020'!$I75</f>
        <v>233.73539751528082</v>
      </c>
      <c r="AS10">
        <f>'2020'!$J75</f>
        <v>1.0811824504505494E-2</v>
      </c>
    </row>
    <row r="11" spans="1:45" x14ac:dyDescent="0.25">
      <c r="A11" s="27" t="s">
        <v>155</v>
      </c>
      <c r="B11" s="134">
        <v>82</v>
      </c>
      <c r="C11" s="134">
        <v>0.5</v>
      </c>
      <c r="D11">
        <f>'2015'!$D29</f>
        <v>3.7554327545905139E-2</v>
      </c>
      <c r="E11">
        <f>'2015'!$E29</f>
        <v>0.46759603502353658</v>
      </c>
      <c r="F11">
        <f>'2015'!$F29</f>
        <v>0.37357941800395966</v>
      </c>
      <c r="G11">
        <f>'2015'!$G29</f>
        <v>9.0467796015684726E-4</v>
      </c>
      <c r="H11">
        <f>'2015'!$H29</f>
        <v>1.6049035468020893E-2</v>
      </c>
      <c r="I11" s="7">
        <f>'2015'!$I29</f>
        <v>77.121767330485099</v>
      </c>
      <c r="J11">
        <f>'2015'!$J29</f>
        <v>3.3884664579035585E-3</v>
      </c>
      <c r="K11">
        <f>'2016'!$D29</f>
        <v>3.490161163394627E-2</v>
      </c>
      <c r="L11">
        <f>'2016'!$E29</f>
        <v>0.46707432326303477</v>
      </c>
      <c r="M11">
        <f>'2016'!$F29</f>
        <v>0.33078758885871434</v>
      </c>
      <c r="N11">
        <f>'2016'!$G29</f>
        <v>9.0467784425450159E-4</v>
      </c>
      <c r="O11">
        <f>'2016'!$H29</f>
        <v>1.2484572301372371E-2</v>
      </c>
      <c r="P11" s="7">
        <f>'2016'!$I29</f>
        <v>77.121750016602093</v>
      </c>
      <c r="Q11">
        <f>'2016'!$J29</f>
        <v>3.149115809265884E-3</v>
      </c>
      <c r="R11">
        <f>'2017'!$D29</f>
        <v>3.2643580987254436E-2</v>
      </c>
      <c r="S11">
        <f>'2017'!$E29</f>
        <v>0.46671313753880495</v>
      </c>
      <c r="T11">
        <f>'2017'!$F29</f>
        <v>0.29622178033475544</v>
      </c>
      <c r="U11">
        <f>'2017'!$G29</f>
        <v>9.0467810829659545E-4</v>
      </c>
      <c r="V11">
        <f>'2017'!$H29</f>
        <v>9.5438526840289119E-3</v>
      </c>
      <c r="W11" s="7">
        <f>'2017'!$I29</f>
        <v>77.121776116023071</v>
      </c>
      <c r="X11">
        <f>'2017'!$J29</f>
        <v>2.9453779842965266E-3</v>
      </c>
      <c r="Y11">
        <f>'2018'!$D29</f>
        <v>3.084874459027305E-2</v>
      </c>
      <c r="Z11">
        <f>'2018'!$E29</f>
        <v>0.46650216223168456</v>
      </c>
      <c r="AA11">
        <f>'2018'!$F29</f>
        <v>0.27100315469723518</v>
      </c>
      <c r="AB11">
        <f>'2018'!$G29</f>
        <v>9.0467818141783509E-4</v>
      </c>
      <c r="AC11">
        <f>'2018'!$H29</f>
        <v>7.2412596089498297E-3</v>
      </c>
      <c r="AD11" s="7">
        <f>'2018'!$I29</f>
        <v>77.121786625322102</v>
      </c>
      <c r="AE11">
        <f>'2018'!$J29</f>
        <v>2.7834325013313161E-3</v>
      </c>
      <c r="AF11">
        <f>'2019'!$D29</f>
        <v>2.9295071904132726E-2</v>
      </c>
      <c r="AG11">
        <f>'2019'!$E29</f>
        <v>0.46634195015325958</v>
      </c>
      <c r="AH11">
        <f>'2019'!$F29</f>
        <v>0.25006645228145524</v>
      </c>
      <c r="AI11">
        <f>'2019'!$G29</f>
        <v>9.046777577488526E-4</v>
      </c>
      <c r="AJ11">
        <f>'2019'!$H29</f>
        <v>5.3882020731461852E-3</v>
      </c>
      <c r="AK11" s="7">
        <f>'2019'!$I29</f>
        <v>77.121752202638532</v>
      </c>
      <c r="AL11">
        <f>'2019'!$J29</f>
        <v>2.6432463875258158E-3</v>
      </c>
      <c r="AM11">
        <f>'2020'!$D29</f>
        <v>2.7991404392950472E-2</v>
      </c>
      <c r="AN11">
        <f>'2020'!$E29</f>
        <v>0.4662215930715663</v>
      </c>
      <c r="AO11">
        <f>'2020'!$F29</f>
        <v>0.23291494276550281</v>
      </c>
      <c r="AP11">
        <f>'2020'!$G29</f>
        <v>9.0467776054069422E-4</v>
      </c>
      <c r="AQ11">
        <f>'2020'!$H29</f>
        <v>3.9698271204785477E-3</v>
      </c>
      <c r="AR11" s="7">
        <f>'2020'!$I29</f>
        <v>77.121793273199756</v>
      </c>
      <c r="AS11">
        <f>'2020'!$J29</f>
        <v>2.5256197261084475E-3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>
        <f>'2015'!$D45</f>
        <v>8.0027237012853872E-2</v>
      </c>
      <c r="E12">
        <f>'2015'!$E45</f>
        <v>0.35593197566240414</v>
      </c>
      <c r="F12">
        <f>'2015'!$F45</f>
        <v>0.48217047757724435</v>
      </c>
      <c r="G12">
        <f>'2015'!$G45</f>
        <v>5.8826133700071506E-4</v>
      </c>
      <c r="H12">
        <f>'2015'!$H45</f>
        <v>4.1503918717068114E-2</v>
      </c>
      <c r="I12" s="7">
        <f>'2015'!$I45</f>
        <v>50.147957636658056</v>
      </c>
      <c r="J12">
        <f>'2015'!$J45</f>
        <v>7.2207285788506471E-3</v>
      </c>
      <c r="K12">
        <f>'2016'!$D45</f>
        <v>7.4390309773906996E-2</v>
      </c>
      <c r="L12">
        <f>'2016'!$E45</f>
        <v>0.35331106418905761</v>
      </c>
      <c r="M12">
        <f>'2016'!$F45</f>
        <v>0.44761805151912359</v>
      </c>
      <c r="N12">
        <f>'2016'!$G45</f>
        <v>5.8826123668460656E-4</v>
      </c>
      <c r="O12">
        <f>'2016'!$H45</f>
        <v>3.7764132703622492E-2</v>
      </c>
      <c r="P12" s="7">
        <f>'2016'!$I45</f>
        <v>50.14796460866976</v>
      </c>
      <c r="Q12">
        <f>'2016'!$J45</f>
        <v>6.7121175739670268E-3</v>
      </c>
      <c r="R12">
        <f>'2017'!$D45</f>
        <v>6.900659501469876E-2</v>
      </c>
      <c r="S12">
        <f>'2017'!$E45</f>
        <v>0.35088164023479923</v>
      </c>
      <c r="T12">
        <f>'2017'!$F45</f>
        <v>0.41552817522913782</v>
      </c>
      <c r="U12">
        <f>'2017'!$G45</f>
        <v>5.8826136417032418E-4</v>
      </c>
      <c r="V12">
        <f>'2017'!$H45</f>
        <v>3.4142922377690628E-2</v>
      </c>
      <c r="W12" s="7">
        <f>'2017'!$I45</f>
        <v>50.147965783398881</v>
      </c>
      <c r="X12">
        <f>'2017'!$J45</f>
        <v>6.2263543562003903E-3</v>
      </c>
      <c r="Y12">
        <f>'2018'!$D45</f>
        <v>6.3870661682325913E-2</v>
      </c>
      <c r="Z12">
        <f>'2018'!$E45</f>
        <v>0.34863034604097226</v>
      </c>
      <c r="AA12">
        <f>'2018'!$F45</f>
        <v>0.38574957428306089</v>
      </c>
      <c r="AB12">
        <f>'2018'!$G45</f>
        <v>5.8826139268297324E-4</v>
      </c>
      <c r="AC12">
        <f>'2018'!$H45</f>
        <v>3.0641628967521616E-2</v>
      </c>
      <c r="AD12" s="7">
        <f>'2018'!$I45</f>
        <v>50.147969714257975</v>
      </c>
      <c r="AE12">
        <f>'2018'!$J45</f>
        <v>5.7629472413349841E-3</v>
      </c>
      <c r="AF12">
        <f>'2019'!$D45</f>
        <v>5.8935117227036926E-2</v>
      </c>
      <c r="AG12">
        <f>'2019'!$E45</f>
        <v>0.34652589552708729</v>
      </c>
      <c r="AH12">
        <f>'2019'!$F45</f>
        <v>0.35786316988922057</v>
      </c>
      <c r="AI12">
        <f>'2019'!$G45</f>
        <v>5.8826119369513683E-4</v>
      </c>
      <c r="AJ12">
        <f>'2019'!$H45</f>
        <v>2.7248001588616479E-2</v>
      </c>
      <c r="AK12" s="7">
        <f>'2019'!$I45</f>
        <v>50.147949925498153</v>
      </c>
      <c r="AL12">
        <f>'2019'!$J45</f>
        <v>5.3176226032023424E-3</v>
      </c>
      <c r="AM12">
        <f>'2020'!$D45</f>
        <v>5.4229845290754954E-2</v>
      </c>
      <c r="AN12">
        <f>'2020'!$E45</f>
        <v>0.34457880357964926</v>
      </c>
      <c r="AO12">
        <f>'2020'!$F45</f>
        <v>0.3316518785709619</v>
      </c>
      <c r="AP12">
        <f>'2020'!$G45</f>
        <v>5.8826128478513143E-4</v>
      </c>
      <c r="AQ12">
        <f>'2020'!$H45</f>
        <v>2.3994817474171037E-2</v>
      </c>
      <c r="AR12" s="7">
        <f>'2020'!$I45</f>
        <v>50.147962813164384</v>
      </c>
      <c r="AS12">
        <f>'2020'!$J45</f>
        <v>4.8930722914384411E-3</v>
      </c>
    </row>
    <row r="13" spans="1:45" x14ac:dyDescent="0.25">
      <c r="A13" s="531" t="s">
        <v>157</v>
      </c>
      <c r="B13" s="25">
        <v>235</v>
      </c>
      <c r="C13" s="134">
        <v>0.38</v>
      </c>
      <c r="D13">
        <f>'2015'!$D108</f>
        <v>0.12515266972462641</v>
      </c>
      <c r="E13">
        <f>'2015'!$E108</f>
        <v>0.37018045112299897</v>
      </c>
      <c r="F13">
        <f>'2015'!$F108</f>
        <v>0.98177634452702278</v>
      </c>
      <c r="G13">
        <f>'2015'!$G108</f>
        <v>1.8739213528134147E-3</v>
      </c>
      <c r="H13">
        <f>'2015'!$H108</f>
        <v>3.2769564138102551E-2</v>
      </c>
      <c r="I13" s="7">
        <f>'2015'!$I108</f>
        <v>166.54539483446186</v>
      </c>
      <c r="J13">
        <f>'2015'!$J108</f>
        <v>1.1292325418869483E-2</v>
      </c>
      <c r="K13">
        <f>'2016'!$D108</f>
        <v>0.11792220738547983</v>
      </c>
      <c r="L13">
        <f>'2016'!$E108</f>
        <v>0.36512193352152528</v>
      </c>
      <c r="M13">
        <f>'2016'!$F108</f>
        <v>0.86781464282266541</v>
      </c>
      <c r="N13">
        <f>'2016'!$G108</f>
        <v>1.8739217498104396E-3</v>
      </c>
      <c r="O13">
        <f>'2016'!$H108</f>
        <v>2.9041712295589866E-2</v>
      </c>
      <c r="P13" s="7">
        <f>'2016'!$I108</f>
        <v>166.54541562452522</v>
      </c>
      <c r="Q13">
        <f>'2016'!$J108</f>
        <v>1.063993297769634E-2</v>
      </c>
      <c r="R13">
        <f>'2017'!$D108</f>
        <v>0.11087757550731449</v>
      </c>
      <c r="S13">
        <f>'2017'!$E108</f>
        <v>0.36084059419635078</v>
      </c>
      <c r="T13">
        <f>'2017'!$F108</f>
        <v>0.76252068294710729</v>
      </c>
      <c r="U13">
        <f>'2017'!$G108</f>
        <v>1.8739208211501423E-3</v>
      </c>
      <c r="V13">
        <f>'2017'!$H108</f>
        <v>2.5639490365790139E-2</v>
      </c>
      <c r="W13" s="7">
        <f>'2017'!$I108</f>
        <v>166.54536773790227</v>
      </c>
      <c r="X13">
        <f>'2017'!$J108</f>
        <v>1.0004303079381925E-2</v>
      </c>
      <c r="Y13">
        <f>'2018'!$D108</f>
        <v>0.1041767465113491</v>
      </c>
      <c r="Z13">
        <f>'2018'!$E108</f>
        <v>0.35715448415065187</v>
      </c>
      <c r="AA13">
        <f>'2018'!$F108</f>
        <v>0.66603800397589519</v>
      </c>
      <c r="AB13">
        <f>'2018'!$G108</f>
        <v>1.873921930245647E-3</v>
      </c>
      <c r="AC13">
        <f>'2018'!$H108</f>
        <v>2.2542352700611085E-2</v>
      </c>
      <c r="AD13" s="7">
        <f>'2018'!$I108</f>
        <v>166.54543379579488</v>
      </c>
      <c r="AE13">
        <f>'2018'!$J108</f>
        <v>9.3996999235005617E-3</v>
      </c>
      <c r="AF13">
        <f>'2019'!$D108</f>
        <v>9.8126501853339099E-2</v>
      </c>
      <c r="AG13">
        <f>'2019'!$E108</f>
        <v>0.35404986242713693</v>
      </c>
      <c r="AH13">
        <f>'2019'!$F108</f>
        <v>0.57972575059472697</v>
      </c>
      <c r="AI13">
        <f>'2019'!$G108</f>
        <v>1.8739219985869813E-3</v>
      </c>
      <c r="AJ13">
        <f>'2019'!$H108</f>
        <v>1.9765910620015432E-2</v>
      </c>
      <c r="AK13" s="7">
        <f>'2019'!$I108</f>
        <v>166.54541132463186</v>
      </c>
      <c r="AL13">
        <f>'2019'!$J108</f>
        <v>8.8537970071824509E-3</v>
      </c>
      <c r="AM13">
        <f>'2020'!$D108</f>
        <v>9.2725246112278115E-2</v>
      </c>
      <c r="AN13">
        <f>'2020'!$E108</f>
        <v>0.35143421911519712</v>
      </c>
      <c r="AO13">
        <f>'2020'!$F108</f>
        <v>0.50424090389582876</v>
      </c>
      <c r="AP13">
        <f>'2020'!$G108</f>
        <v>1.8739212869985323E-3</v>
      </c>
      <c r="AQ13">
        <f>'2020'!$H108</f>
        <v>1.7307373778617977E-2</v>
      </c>
      <c r="AR13" s="7">
        <f>'2020'!$I108</f>
        <v>166.54540745667055</v>
      </c>
      <c r="AS13">
        <f>'2020'!$J108</f>
        <v>8.3664496800051249E-3</v>
      </c>
    </row>
    <row r="14" spans="1:45" x14ac:dyDescent="0.25">
      <c r="A14" s="530" t="s">
        <v>62</v>
      </c>
      <c r="B14" s="25">
        <v>85</v>
      </c>
      <c r="C14" s="134">
        <v>0.36</v>
      </c>
      <c r="D14">
        <f>'2015'!$D189</f>
        <v>8.3504486958246846E-2</v>
      </c>
      <c r="E14">
        <f>'2015'!$E189</f>
        <v>0.40897606651505103</v>
      </c>
      <c r="F14">
        <f>'2015'!$F189</f>
        <v>0.52261738770352861</v>
      </c>
      <c r="G14">
        <f>'2015'!$G189</f>
        <v>6.9108572612879135E-4</v>
      </c>
      <c r="H14">
        <f>'2015'!$H189</f>
        <v>4.3057497626182419E-2</v>
      </c>
      <c r="I14" s="7">
        <f>'2015'!$I189</f>
        <v>58.913512015277149</v>
      </c>
      <c r="J14">
        <f>'2015'!$J189</f>
        <v>7.5344751889799754E-3</v>
      </c>
      <c r="K14">
        <f>'2016'!$D189</f>
        <v>7.7253202863558038E-2</v>
      </c>
      <c r="L14">
        <f>'2016'!$E189</f>
        <v>0.40627242533948182</v>
      </c>
      <c r="M14">
        <f>'2016'!$F189</f>
        <v>0.48278125516535325</v>
      </c>
      <c r="N14">
        <f>'2016'!$G189</f>
        <v>6.9108553659227932E-4</v>
      </c>
      <c r="O14">
        <f>'2016'!$H189</f>
        <v>3.8687675504080588E-2</v>
      </c>
      <c r="P14" s="7">
        <f>'2016'!$I189</f>
        <v>58.913523330624749</v>
      </c>
      <c r="Q14">
        <f>'2016'!$J189</f>
        <v>6.9704339147860696E-3</v>
      </c>
      <c r="R14">
        <f>'2017'!$D189</f>
        <v>7.1409183992443698E-2</v>
      </c>
      <c r="S14">
        <f>'2017'!$E189</f>
        <v>0.40380552571731104</v>
      </c>
      <c r="T14">
        <f>'2017'!$F189</f>
        <v>0.44595129524323623</v>
      </c>
      <c r="U14">
        <f>'2017'!$G189</f>
        <v>6.9108569734204601E-4</v>
      </c>
      <c r="V14">
        <f>'2017'!$H189</f>
        <v>3.455998405862936E-2</v>
      </c>
      <c r="W14" s="7">
        <f>'2017'!$I189</f>
        <v>58.91351479134542</v>
      </c>
      <c r="X14">
        <f>'2017'!$J189</f>
        <v>6.4431355607304829E-3</v>
      </c>
      <c r="Y14">
        <f>'2018'!$D189</f>
        <v>6.5965893108681131E-2</v>
      </c>
      <c r="Z14">
        <f>'2018'!$E189</f>
        <v>0.40155795953738443</v>
      </c>
      <c r="AA14">
        <f>'2018'!$F189</f>
        <v>0.4121425061430668</v>
      </c>
      <c r="AB14">
        <f>'2018'!$G189</f>
        <v>6.9108543215850075E-4</v>
      </c>
      <c r="AC14">
        <f>'2018'!$H189</f>
        <v>3.0685215603659229E-2</v>
      </c>
      <c r="AD14" s="7">
        <f>'2018'!$I189</f>
        <v>58.913506914239804</v>
      </c>
      <c r="AE14">
        <f>'2018'!$J189</f>
        <v>5.9519955114860921E-3</v>
      </c>
      <c r="AF14">
        <f>'2019'!$D189</f>
        <v>6.091464993899836E-2</v>
      </c>
      <c r="AG14">
        <f>'2019'!$E189</f>
        <v>0.39951529489707505</v>
      </c>
      <c r="AH14">
        <f>'2019'!$F189</f>
        <v>0.38123163419209571</v>
      </c>
      <c r="AI14">
        <f>'2019'!$G189</f>
        <v>6.9108563338163027E-4</v>
      </c>
      <c r="AJ14">
        <f>'2019'!$H189</f>
        <v>2.705889650273936E-2</v>
      </c>
      <c r="AK14" s="7">
        <f>'2019'!$I189</f>
        <v>58.913511433127063</v>
      </c>
      <c r="AL14">
        <f>'2019'!$J189</f>
        <v>5.4962315456010581E-3</v>
      </c>
      <c r="AM14">
        <f>'2020'!$D189</f>
        <v>5.625477027946621E-2</v>
      </c>
      <c r="AN14">
        <f>'2020'!$E189</f>
        <v>0.39766879087435864</v>
      </c>
      <c r="AO14">
        <f>'2020'!$F189</f>
        <v>0.35289825524882784</v>
      </c>
      <c r="AP14">
        <f>'2020'!$G189</f>
        <v>6.9108557140033007E-4</v>
      </c>
      <c r="AQ14">
        <f>'2020'!$H189</f>
        <v>2.3692057853337545E-2</v>
      </c>
      <c r="AR14" s="7">
        <f>'2020'!$I189</f>
        <v>58.91350482958574</v>
      </c>
      <c r="AS14">
        <f>'2020'!$J189</f>
        <v>5.075776224453629E-3</v>
      </c>
    </row>
    <row r="15" spans="1:45" x14ac:dyDescent="0.25">
      <c r="A15" s="530" t="s">
        <v>61</v>
      </c>
      <c r="B15" s="25">
        <v>235</v>
      </c>
      <c r="C15" s="134">
        <v>0.38</v>
      </c>
      <c r="D15">
        <f>'2015'!$D108</f>
        <v>0.12515266972462641</v>
      </c>
      <c r="E15">
        <f>'2015'!$E108</f>
        <v>0.37018045112299897</v>
      </c>
      <c r="F15">
        <f>'2015'!$F108</f>
        <v>0.98177634452702278</v>
      </c>
      <c r="G15">
        <f>'2015'!$G108</f>
        <v>1.8739213528134147E-3</v>
      </c>
      <c r="H15">
        <f>'2015'!$H108</f>
        <v>3.2769564138102551E-2</v>
      </c>
      <c r="I15" s="7">
        <f>'2015'!$I108</f>
        <v>166.54539483446186</v>
      </c>
      <c r="J15">
        <f>'2015'!$J108</f>
        <v>1.1292325418869483E-2</v>
      </c>
      <c r="K15">
        <f>'2016'!$D108</f>
        <v>0.11792220738547983</v>
      </c>
      <c r="L15">
        <f>'2016'!$E108</f>
        <v>0.36512193352152528</v>
      </c>
      <c r="M15">
        <f>'2016'!$F108</f>
        <v>0.86781464282266541</v>
      </c>
      <c r="N15">
        <f>'2016'!$G108</f>
        <v>1.8739217498104396E-3</v>
      </c>
      <c r="O15">
        <f>'2016'!$H108</f>
        <v>2.9041712295589866E-2</v>
      </c>
      <c r="P15" s="7">
        <f>'2016'!$I108</f>
        <v>166.54541562452522</v>
      </c>
      <c r="Q15">
        <f>'2016'!$J108</f>
        <v>1.063993297769634E-2</v>
      </c>
      <c r="R15">
        <f>'2017'!$D108</f>
        <v>0.11087757550731449</v>
      </c>
      <c r="S15">
        <f>'2017'!$E108</f>
        <v>0.36084059419635078</v>
      </c>
      <c r="T15">
        <f>'2017'!$F108</f>
        <v>0.76252068294710729</v>
      </c>
      <c r="U15">
        <f>'2017'!$G108</f>
        <v>1.8739208211501423E-3</v>
      </c>
      <c r="V15">
        <f>'2017'!$H108</f>
        <v>2.5639490365790139E-2</v>
      </c>
      <c r="W15" s="7">
        <f>'2017'!$I108</f>
        <v>166.54536773790227</v>
      </c>
      <c r="X15">
        <f>'2017'!$J108</f>
        <v>1.0004303079381925E-2</v>
      </c>
      <c r="Y15">
        <f>'2018'!$D108</f>
        <v>0.1041767465113491</v>
      </c>
      <c r="Z15">
        <f>'2018'!$E108</f>
        <v>0.35715448415065187</v>
      </c>
      <c r="AA15">
        <f>'2018'!$F108</f>
        <v>0.66603800397589519</v>
      </c>
      <c r="AB15">
        <f>'2018'!$G108</f>
        <v>1.873921930245647E-3</v>
      </c>
      <c r="AC15">
        <f>'2018'!$H108</f>
        <v>2.2542352700611085E-2</v>
      </c>
      <c r="AD15" s="7">
        <f>'2018'!$I108</f>
        <v>166.54543379579488</v>
      </c>
      <c r="AE15">
        <f>'2018'!$J108</f>
        <v>9.3996999235005617E-3</v>
      </c>
      <c r="AF15">
        <f>'2019'!$D108</f>
        <v>9.8126501853339099E-2</v>
      </c>
      <c r="AG15">
        <f>'2019'!$E108</f>
        <v>0.35404986242713693</v>
      </c>
      <c r="AH15">
        <f>'2019'!$F108</f>
        <v>0.57972575059472697</v>
      </c>
      <c r="AI15">
        <f>'2019'!$G108</f>
        <v>1.8739219985869813E-3</v>
      </c>
      <c r="AJ15">
        <f>'2019'!$H108</f>
        <v>1.9765910620015432E-2</v>
      </c>
      <c r="AK15" s="7">
        <f>'2019'!$I108</f>
        <v>166.54541132463186</v>
      </c>
      <c r="AL15">
        <f>'2019'!$J108</f>
        <v>8.8537970071824509E-3</v>
      </c>
      <c r="AM15">
        <f>'2020'!$D108</f>
        <v>9.2725246112278115E-2</v>
      </c>
      <c r="AN15">
        <f>'2020'!$E108</f>
        <v>0.35143421911519712</v>
      </c>
      <c r="AO15">
        <f>'2020'!$F108</f>
        <v>0.50424090389582876</v>
      </c>
      <c r="AP15">
        <f>'2020'!$G108</f>
        <v>1.8739212869985323E-3</v>
      </c>
      <c r="AQ15">
        <f>'2020'!$H108</f>
        <v>1.7307373778617977E-2</v>
      </c>
      <c r="AR15" s="7">
        <f>'2020'!$I108</f>
        <v>166.54540745667055</v>
      </c>
      <c r="AS15">
        <f>'2020'!$J108</f>
        <v>8.3664496800051249E-3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>
        <f>'2015'!$D48</f>
        <v>0.13927497741570263</v>
      </c>
      <c r="E16">
        <f>'2015'!$E48</f>
        <v>0.46629212023341365</v>
      </c>
      <c r="F16">
        <f>'2015'!$F48</f>
        <v>1.1812143370299875</v>
      </c>
      <c r="G16">
        <f>'2015'!$G48</f>
        <v>1.7677534033125378E-3</v>
      </c>
      <c r="H16">
        <f>'2015'!$H48</f>
        <v>4.2634024677499098E-2</v>
      </c>
      <c r="I16" s="7">
        <f>'2015'!$I48</f>
        <v>180.10128501905464</v>
      </c>
      <c r="J16">
        <f>'2015'!$J48</f>
        <v>1.256655716560515E-2</v>
      </c>
      <c r="K16">
        <f>'2016'!$D48</f>
        <v>0.13249726882716423</v>
      </c>
      <c r="L16">
        <f>'2016'!$E48</f>
        <v>0.44311528808837403</v>
      </c>
      <c r="M16">
        <f>'2016'!$F48</f>
        <v>1.072339125462817</v>
      </c>
      <c r="N16">
        <f>'2016'!$G48</f>
        <v>1.7677532588218458E-3</v>
      </c>
      <c r="O16">
        <f>'2016'!$H48</f>
        <v>3.8704096471644717E-2</v>
      </c>
      <c r="P16" s="7">
        <f>'2016'!$I48</f>
        <v>180.10130637401463</v>
      </c>
      <c r="Q16">
        <f>'2016'!$J48</f>
        <v>1.1955016897318338E-2</v>
      </c>
      <c r="R16">
        <f>'2017'!$D48</f>
        <v>0.1262029361750332</v>
      </c>
      <c r="S16">
        <f>'2017'!$E48</f>
        <v>0.42426324533056692</v>
      </c>
      <c r="T16">
        <f>'2017'!$F48</f>
        <v>0.97036381774682245</v>
      </c>
      <c r="U16">
        <f>'2017'!$G48</f>
        <v>1.7677528907548289E-3</v>
      </c>
      <c r="V16">
        <f>'2017'!$H48</f>
        <v>3.5101108538860171E-2</v>
      </c>
      <c r="W16" s="7">
        <f>'2017'!$I48</f>
        <v>180.101275871506</v>
      </c>
      <c r="X16">
        <f>'2017'!$J48</f>
        <v>1.1387086879682689E-2</v>
      </c>
      <c r="Y16">
        <f>'2018'!$D48</f>
        <v>0.12016088121198615</v>
      </c>
      <c r="Z16">
        <f>'2018'!$E48</f>
        <v>0.40854464795009471</v>
      </c>
      <c r="AA16">
        <f>'2018'!$F48</f>
        <v>0.87484942252360398</v>
      </c>
      <c r="AB16">
        <f>'2018'!$G48</f>
        <v>1.7677529466161633E-3</v>
      </c>
      <c r="AC16">
        <f>'2018'!$H48</f>
        <v>3.1731744371793019E-2</v>
      </c>
      <c r="AD16" s="7">
        <f>'2018'!$I48</f>
        <v>180.10127182932982</v>
      </c>
      <c r="AE16">
        <f>'2018'!$J48</f>
        <v>1.0841920844072756E-2</v>
      </c>
      <c r="AF16">
        <f>'2019'!$D48</f>
        <v>0.11431066383588231</v>
      </c>
      <c r="AG16">
        <f>'2019'!$E48</f>
        <v>0.39514675611788858</v>
      </c>
      <c r="AH16">
        <f>'2019'!$F48</f>
        <v>0.7860819003758085</v>
      </c>
      <c r="AI16">
        <f>'2019'!$G48</f>
        <v>1.7677526386481268E-3</v>
      </c>
      <c r="AJ16">
        <f>'2019'!$H48</f>
        <v>2.8584012771701733E-2</v>
      </c>
      <c r="AK16" s="7">
        <f>'2019'!$I48</f>
        <v>180.10124840521706</v>
      </c>
      <c r="AL16">
        <f>'2019'!$J48</f>
        <v>1.031406718152144E-2</v>
      </c>
      <c r="AM16">
        <f>'2020'!$D48</f>
        <v>0.10874757725401102</v>
      </c>
      <c r="AN16">
        <f>'2020'!$E48</f>
        <v>0.38387834076362887</v>
      </c>
      <c r="AO16">
        <f>'2020'!$F48</f>
        <v>0.70467910551731039</v>
      </c>
      <c r="AP16">
        <f>'2020'!$G48</f>
        <v>1.7677530586477012E-3</v>
      </c>
      <c r="AQ16">
        <f>'2020'!$H48</f>
        <v>2.5705876401211337E-2</v>
      </c>
      <c r="AR16" s="7">
        <f>'2020'!$I48</f>
        <v>180.10126628693308</v>
      </c>
      <c r="AS16">
        <f>'2020'!$J48</f>
        <v>9.812119107308389E-3</v>
      </c>
    </row>
    <row r="17" spans="1:45" x14ac:dyDescent="0.25">
      <c r="A17" s="27" t="s">
        <v>205</v>
      </c>
      <c r="B17" s="25">
        <v>235</v>
      </c>
      <c r="C17" s="134">
        <v>0.38</v>
      </c>
      <c r="D17">
        <f>'2015'!$D108</f>
        <v>0.12515266972462641</v>
      </c>
      <c r="E17">
        <f>'2015'!$E108</f>
        <v>0.37018045112299897</v>
      </c>
      <c r="F17">
        <f>'2015'!$F108</f>
        <v>0.98177634452702278</v>
      </c>
      <c r="G17">
        <f>'2015'!$G108</f>
        <v>1.8739213528134147E-3</v>
      </c>
      <c r="H17">
        <f>'2015'!$H108</f>
        <v>3.2769564138102551E-2</v>
      </c>
      <c r="I17" s="7">
        <f>'2015'!$I108</f>
        <v>166.54539483446186</v>
      </c>
      <c r="J17">
        <f>'2015'!$J108</f>
        <v>1.1292325418869483E-2</v>
      </c>
      <c r="K17">
        <f>'2016'!$D108</f>
        <v>0.11792220738547983</v>
      </c>
      <c r="L17">
        <f>'2016'!$E108</f>
        <v>0.36512193352152528</v>
      </c>
      <c r="M17">
        <f>'2016'!$F108</f>
        <v>0.86781464282266541</v>
      </c>
      <c r="N17">
        <f>'2016'!$G108</f>
        <v>1.8739217498104396E-3</v>
      </c>
      <c r="O17">
        <f>'2016'!$H108</f>
        <v>2.9041712295589866E-2</v>
      </c>
      <c r="P17" s="7">
        <f>'2016'!$I108</f>
        <v>166.54541562452522</v>
      </c>
      <c r="Q17">
        <f>'2016'!$J108</f>
        <v>1.063993297769634E-2</v>
      </c>
      <c r="R17">
        <f>'2017'!$D108</f>
        <v>0.11087757550731449</v>
      </c>
      <c r="S17">
        <f>'2017'!$E108</f>
        <v>0.36084059419635078</v>
      </c>
      <c r="T17">
        <f>'2017'!$F108</f>
        <v>0.76252068294710729</v>
      </c>
      <c r="U17">
        <f>'2017'!$G108</f>
        <v>1.8739208211501423E-3</v>
      </c>
      <c r="V17">
        <f>'2017'!$H108</f>
        <v>2.5639490365790139E-2</v>
      </c>
      <c r="W17" s="7">
        <f>'2017'!$I108</f>
        <v>166.54536773790227</v>
      </c>
      <c r="X17">
        <f>'2017'!$J108</f>
        <v>1.0004303079381925E-2</v>
      </c>
      <c r="Y17">
        <f>'2018'!$D108</f>
        <v>0.1041767465113491</v>
      </c>
      <c r="Z17">
        <f>'2018'!$E108</f>
        <v>0.35715448415065187</v>
      </c>
      <c r="AA17">
        <f>'2018'!$F108</f>
        <v>0.66603800397589519</v>
      </c>
      <c r="AB17">
        <f>'2018'!$G108</f>
        <v>1.873921930245647E-3</v>
      </c>
      <c r="AC17">
        <f>'2018'!$H108</f>
        <v>2.2542352700611085E-2</v>
      </c>
      <c r="AD17" s="7">
        <f>'2018'!$I108</f>
        <v>166.54543379579488</v>
      </c>
      <c r="AE17">
        <f>'2018'!$J108</f>
        <v>9.3996999235005617E-3</v>
      </c>
      <c r="AF17">
        <f>'2019'!$D108</f>
        <v>9.8126501853339099E-2</v>
      </c>
      <c r="AG17">
        <f>'2019'!$E108</f>
        <v>0.35404986242713693</v>
      </c>
      <c r="AH17">
        <f>'2019'!$F108</f>
        <v>0.57972575059472697</v>
      </c>
      <c r="AI17">
        <f>'2019'!$G108</f>
        <v>1.8739219985869813E-3</v>
      </c>
      <c r="AJ17">
        <f>'2019'!$H108</f>
        <v>1.9765910620015432E-2</v>
      </c>
      <c r="AK17" s="7">
        <f>'2019'!$I108</f>
        <v>166.54541132463186</v>
      </c>
      <c r="AL17">
        <f>'2019'!$J108</f>
        <v>8.8537970071824509E-3</v>
      </c>
      <c r="AM17">
        <f>'2020'!$D108</f>
        <v>9.2725246112278115E-2</v>
      </c>
      <c r="AN17">
        <f>'2020'!$E108</f>
        <v>0.35143421911519712</v>
      </c>
      <c r="AO17">
        <f>'2020'!$F108</f>
        <v>0.50424090389582876</v>
      </c>
      <c r="AP17">
        <f>'2020'!$G108</f>
        <v>1.8739212869985323E-3</v>
      </c>
      <c r="AQ17">
        <f>'2020'!$H108</f>
        <v>1.7307373778617977E-2</v>
      </c>
      <c r="AR17" s="7">
        <f>'2020'!$I108</f>
        <v>166.54540745667055</v>
      </c>
      <c r="AS17">
        <f>'2020'!$J108</f>
        <v>8.3664496800051249E-3</v>
      </c>
    </row>
    <row r="18" spans="1:45" x14ac:dyDescent="0.25">
      <c r="A18" s="27" t="s">
        <v>163</v>
      </c>
      <c r="B18" s="25">
        <v>75</v>
      </c>
      <c r="C18" s="25">
        <v>0.31</v>
      </c>
      <c r="D18">
        <f>'2015'!$D12</f>
        <v>4.6019057175504974E-2</v>
      </c>
      <c r="E18">
        <f>'2015'!$E12</f>
        <v>0.23774332475000573</v>
      </c>
      <c r="F18">
        <f>'2015'!$F12</f>
        <v>0.32719680647541144</v>
      </c>
      <c r="G18">
        <f>'2015'!$G12</f>
        <v>4.4660189176329328E-4</v>
      </c>
      <c r="H18">
        <f>'2015'!$H12</f>
        <v>2.4563007972926022E-2</v>
      </c>
      <c r="I18" s="7">
        <f>'2015'!$I12</f>
        <v>38.071821072900271</v>
      </c>
      <c r="J18">
        <f>'2015'!$J12</f>
        <v>4.1522265780973748E-3</v>
      </c>
      <c r="K18">
        <f>'2016'!$D12</f>
        <v>4.1256103283421976E-2</v>
      </c>
      <c r="L18">
        <f>'2016'!$E12</f>
        <v>0.23554716265080974</v>
      </c>
      <c r="M18">
        <f>'2016'!$F12</f>
        <v>0.30214888123747818</v>
      </c>
      <c r="N18">
        <f>'2016'!$G12</f>
        <v>4.4660184460307463E-4</v>
      </c>
      <c r="O18">
        <f>'2016'!$H12</f>
        <v>2.1901020883826179E-2</v>
      </c>
      <c r="P18" s="7">
        <f>'2016'!$I12</f>
        <v>38.071823208441309</v>
      </c>
      <c r="Q18">
        <f>'2016'!$J12</f>
        <v>3.7224725625345937E-3</v>
      </c>
      <c r="R18">
        <f>'2017'!$D12</f>
        <v>3.6823462252755332E-2</v>
      </c>
      <c r="S18">
        <f>'2017'!$E12</f>
        <v>0.23361564916335184</v>
      </c>
      <c r="T18">
        <f>'2017'!$F12</f>
        <v>0.27870058811367243</v>
      </c>
      <c r="U18">
        <f>'2017'!$G12</f>
        <v>4.4660191069222039E-4</v>
      </c>
      <c r="V18">
        <f>'2017'!$H12</f>
        <v>1.9370563028971426E-2</v>
      </c>
      <c r="W18" s="7">
        <f>'2017'!$I12</f>
        <v>38.071819829304054</v>
      </c>
      <c r="X18">
        <f>'2017'!$J12</f>
        <v>3.3225215947608622E-3</v>
      </c>
      <c r="Y18">
        <f>'2018'!$D12</f>
        <v>3.2686093214011364E-2</v>
      </c>
      <c r="Z18">
        <f>'2018'!$E12</f>
        <v>0.23191105405808568</v>
      </c>
      <c r="AA18">
        <f>'2018'!$F12</f>
        <v>0.25652894420864331</v>
      </c>
      <c r="AB18">
        <f>'2018'!$G12</f>
        <v>4.466019753080203E-4</v>
      </c>
      <c r="AC18">
        <f>'2018'!$H12</f>
        <v>1.6950602369484331E-2</v>
      </c>
      <c r="AD18" s="7">
        <f>'2018'!$I12</f>
        <v>38.071830204285249</v>
      </c>
      <c r="AE18">
        <f>'2018'!$J12</f>
        <v>2.9492141591912126E-3</v>
      </c>
      <c r="AF18">
        <f>'2019'!$D12</f>
        <v>2.8826343829381072E-2</v>
      </c>
      <c r="AG18">
        <f>'2019'!$E12</f>
        <v>0.23036816090657469</v>
      </c>
      <c r="AH18">
        <f>'2019'!$F12</f>
        <v>0.23543591103819916</v>
      </c>
      <c r="AI18">
        <f>'2019'!$G12</f>
        <v>4.4660186125796705E-4</v>
      </c>
      <c r="AJ18">
        <f>'2019'!$H12</f>
        <v>1.4626689028822314E-2</v>
      </c>
      <c r="AK18" s="7">
        <f>'2019'!$I12</f>
        <v>38.07181772268865</v>
      </c>
      <c r="AL18">
        <f>'2019'!$J12</f>
        <v>2.6009543106440729E-3</v>
      </c>
      <c r="AM18">
        <f>'2020'!$D12</f>
        <v>2.5903941325758444E-2</v>
      </c>
      <c r="AN18">
        <f>'2020'!$E12</f>
        <v>0.22924175053929893</v>
      </c>
      <c r="AO18">
        <f>'2020'!$F12</f>
        <v>0.21664212361290214</v>
      </c>
      <c r="AP18">
        <f>'2020'!$G12</f>
        <v>4.4660198806364737E-4</v>
      </c>
      <c r="AQ18">
        <f>'2020'!$H12</f>
        <v>1.2728470023034597E-2</v>
      </c>
      <c r="AR18" s="7">
        <f>'2020'!$I12</f>
        <v>38.071813147043628</v>
      </c>
      <c r="AS18">
        <f>'2020'!$J12</f>
        <v>2.3372706875200077E-3</v>
      </c>
    </row>
    <row r="19" spans="1:45" x14ac:dyDescent="0.25">
      <c r="A19" s="27" t="s">
        <v>192</v>
      </c>
      <c r="B19" s="25">
        <v>45</v>
      </c>
      <c r="C19" s="25">
        <v>1</v>
      </c>
      <c r="D19">
        <f>'2015'!$D18</f>
        <v>7.4731714184131492E-2</v>
      </c>
      <c r="E19">
        <f>'2015'!$E18</f>
        <v>0.23599993994813312</v>
      </c>
      <c r="F19">
        <f>'2015'!$F18</f>
        <v>0.20555450170107092</v>
      </c>
      <c r="G19">
        <f>'2015'!$G18</f>
        <v>2.8791180196343529E-4</v>
      </c>
      <c r="H19">
        <f>'2015'!$H18</f>
        <v>1.829342640834376E-2</v>
      </c>
      <c r="I19" s="7">
        <f>'2015'!$I18</f>
        <v>22.271261510097837</v>
      </c>
      <c r="J19">
        <f>'2015'!$J18</f>
        <v>6.7429224274720354E-3</v>
      </c>
      <c r="K19">
        <f>'2016'!$D18</f>
        <v>6.6702029095281182E-2</v>
      </c>
      <c r="L19">
        <f>'2016'!$E18</f>
        <v>0.2281100709626119</v>
      </c>
      <c r="M19">
        <f>'2016'!$F18</f>
        <v>0.19821179343479425</v>
      </c>
      <c r="N19">
        <f>'2016'!$G18</f>
        <v>2.8791175201714529E-4</v>
      </c>
      <c r="O19">
        <f>'2016'!$H18</f>
        <v>1.6487534328171863E-2</v>
      </c>
      <c r="P19" s="7">
        <f>'2016'!$I18</f>
        <v>22.271256112007169</v>
      </c>
      <c r="Q19">
        <f>'2016'!$J18</f>
        <v>6.0184173846369749E-3</v>
      </c>
      <c r="R19">
        <f>'2017'!$D18</f>
        <v>5.9068730972763592E-2</v>
      </c>
      <c r="S19">
        <f>'2017'!$E18</f>
        <v>0.22090764551920511</v>
      </c>
      <c r="T19">
        <f>'2017'!$F18</f>
        <v>0.19135138730255552</v>
      </c>
      <c r="U19">
        <f>'2017'!$G18</f>
        <v>2.8791182684222128E-4</v>
      </c>
      <c r="V19">
        <f>'2017'!$H18</f>
        <v>1.475046865392427E-2</v>
      </c>
      <c r="W19" s="7">
        <f>'2017'!$I18</f>
        <v>22.271263489608529</v>
      </c>
      <c r="X19">
        <f>'2017'!$J18</f>
        <v>5.3296756081269462E-3</v>
      </c>
      <c r="Y19">
        <f>'2018'!$D18</f>
        <v>5.1782234484234531E-2</v>
      </c>
      <c r="Z19">
        <f>'2018'!$E18</f>
        <v>0.21417367154060452</v>
      </c>
      <c r="AA19">
        <f>'2018'!$F18</f>
        <v>0.18478762866478282</v>
      </c>
      <c r="AB19">
        <f>'2018'!$G18</f>
        <v>2.8791179873332629E-4</v>
      </c>
      <c r="AC19">
        <f>'2018'!$H18</f>
        <v>1.3056170295917978E-2</v>
      </c>
      <c r="AD19" s="7">
        <f>'2018'!$I18</f>
        <v>22.27125815267382</v>
      </c>
      <c r="AE19">
        <f>'2018'!$J18</f>
        <v>4.6722271755845939E-3</v>
      </c>
      <c r="AF19">
        <f>'2019'!$D18</f>
        <v>4.4956307840598952E-2</v>
      </c>
      <c r="AG19">
        <f>'2019'!$E18</f>
        <v>0.20783927400239133</v>
      </c>
      <c r="AH19">
        <f>'2019'!$F18</f>
        <v>0.17838305725917816</v>
      </c>
      <c r="AI19">
        <f>'2019'!$G18</f>
        <v>2.8791177699648187E-4</v>
      </c>
      <c r="AJ19">
        <f>'2019'!$H18</f>
        <v>1.1402701697855882E-2</v>
      </c>
      <c r="AK19" s="7">
        <f>'2019'!$I18</f>
        <v>22.271260851643145</v>
      </c>
      <c r="AL19">
        <f>'2019'!$J18</f>
        <v>4.0563354650994263E-3</v>
      </c>
      <c r="AM19">
        <f>'2020'!$D18</f>
        <v>3.9846146709456395E-2</v>
      </c>
      <c r="AN19">
        <f>'2020'!$E18</f>
        <v>0.20302332980219229</v>
      </c>
      <c r="AO19">
        <f>'2020'!$F18</f>
        <v>0.17249233406782444</v>
      </c>
      <c r="AP19">
        <f>'2020'!$G18</f>
        <v>2.87911782171829E-4</v>
      </c>
      <c r="AQ19">
        <f>'2020'!$H18</f>
        <v>9.9379645177759754E-3</v>
      </c>
      <c r="AR19" s="7">
        <f>'2020'!$I18</f>
        <v>22.271257718128961</v>
      </c>
      <c r="AS19">
        <f>'2020'!$J18</f>
        <v>3.5952550833409889E-3</v>
      </c>
    </row>
    <row r="20" spans="1:45" x14ac:dyDescent="0.25">
      <c r="A20" s="27" t="s">
        <v>206</v>
      </c>
      <c r="B20" s="25">
        <v>300</v>
      </c>
      <c r="C20" s="25">
        <v>0.42</v>
      </c>
      <c r="D20">
        <f>'2015'!$D118</f>
        <v>0.13095174672218127</v>
      </c>
      <c r="E20">
        <f>'2015'!$E118</f>
        <v>0.49629082179248268</v>
      </c>
      <c r="F20">
        <f>'2015'!$F118</f>
        <v>1.186650127801262</v>
      </c>
      <c r="G20">
        <f>'2015'!$G118</f>
        <v>2.4954346257058686E-3</v>
      </c>
      <c r="H20">
        <f>'2015'!$H118</f>
        <v>3.9374236639522976E-2</v>
      </c>
      <c r="I20" s="7">
        <f>'2015'!$I118</f>
        <v>254.23854571385056</v>
      </c>
      <c r="J20">
        <f>'2015'!$J118</f>
        <v>1.1815564023556229E-2</v>
      </c>
      <c r="K20">
        <f>'2016'!$D118</f>
        <v>0.12431762378554365</v>
      </c>
      <c r="L20">
        <f>'2016'!$E118</f>
        <v>0.4868439847761532</v>
      </c>
      <c r="M20">
        <f>'2016'!$F118</f>
        <v>1.0415214118246066</v>
      </c>
      <c r="N20">
        <f>'2016'!$G118</f>
        <v>2.4954334272364047E-3</v>
      </c>
      <c r="O20">
        <f>'2016'!$H118</f>
        <v>3.5011591348186828E-2</v>
      </c>
      <c r="P20" s="7">
        <f>'2016'!$I118</f>
        <v>254.23851177178003</v>
      </c>
      <c r="Q20">
        <f>'2016'!$J118</f>
        <v>1.1216977037398481E-2</v>
      </c>
      <c r="R20">
        <f>'2017'!$D118</f>
        <v>0.11808453801711569</v>
      </c>
      <c r="S20">
        <f>'2017'!$E118</f>
        <v>0.47964430190348306</v>
      </c>
      <c r="T20">
        <f>'2017'!$F118</f>
        <v>0.91364226493459333</v>
      </c>
      <c r="U20">
        <f>'2017'!$G118</f>
        <v>2.4954333425274682E-3</v>
      </c>
      <c r="V20">
        <f>'2017'!$H118</f>
        <v>3.1083896854688039E-2</v>
      </c>
      <c r="W20" s="7">
        <f>'2017'!$I118</f>
        <v>254.23847707292109</v>
      </c>
      <c r="X20">
        <f>'2017'!$J118</f>
        <v>1.0654580267680711E-2</v>
      </c>
      <c r="Y20">
        <f>'2018'!$D118</f>
        <v>0.11222734178646317</v>
      </c>
      <c r="Z20">
        <f>'2018'!$E118</f>
        <v>0.4743040148615339</v>
      </c>
      <c r="AA20">
        <f>'2018'!$F118</f>
        <v>0.8003746229939348</v>
      </c>
      <c r="AB20">
        <f>'2018'!$G118</f>
        <v>2.4954338651265763E-3</v>
      </c>
      <c r="AC20">
        <f>'2018'!$H118</f>
        <v>2.7532185746590679E-2</v>
      </c>
      <c r="AD20" s="7">
        <f>'2018'!$I118</f>
        <v>254.23847108919361</v>
      </c>
      <c r="AE20">
        <f>'2018'!$J118</f>
        <v>1.0126092850486785E-2</v>
      </c>
      <c r="AF20">
        <f>'2019'!$D118</f>
        <v>0.10661563772845942</v>
      </c>
      <c r="AG20">
        <f>'2019'!$E118</f>
        <v>0.47045819652022075</v>
      </c>
      <c r="AH20">
        <f>'2019'!$F118</f>
        <v>0.69851558760965882</v>
      </c>
      <c r="AI20">
        <f>'2019'!$G118</f>
        <v>2.4954335273852284E-3</v>
      </c>
      <c r="AJ20">
        <f>'2019'!$H118</f>
        <v>2.4261146043949248E-2</v>
      </c>
      <c r="AK20" s="7">
        <f>'2019'!$I118</f>
        <v>254.23852719541449</v>
      </c>
      <c r="AL20">
        <f>'2019'!$J118</f>
        <v>9.6197582224700796E-3</v>
      </c>
      <c r="AM20">
        <f>'2020'!$D118</f>
        <v>0.10121913221118084</v>
      </c>
      <c r="AN20">
        <f>'2020'!$E118</f>
        <v>0.4676289611072546</v>
      </c>
      <c r="AO20">
        <f>'2020'!$F118</f>
        <v>0.60652272003530283</v>
      </c>
      <c r="AP20">
        <f>'2020'!$G118</f>
        <v>2.4954341522000403E-3</v>
      </c>
      <c r="AQ20">
        <f>'2020'!$H118</f>
        <v>2.1231201296007939E-2</v>
      </c>
      <c r="AR20" s="7">
        <f>'2020'!$I118</f>
        <v>254.23853104993103</v>
      </c>
      <c r="AS20">
        <f>'2020'!$J118</f>
        <v>9.1328399494481263E-3</v>
      </c>
    </row>
    <row r="21" spans="1:45" x14ac:dyDescent="0.25">
      <c r="A21" s="27" t="s">
        <v>207</v>
      </c>
      <c r="B21" s="25">
        <v>300</v>
      </c>
      <c r="C21" s="25">
        <v>0.42</v>
      </c>
      <c r="D21">
        <f>'2015'!$D118</f>
        <v>0.13095174672218127</v>
      </c>
      <c r="E21">
        <f>'2015'!$E118</f>
        <v>0.49629082179248268</v>
      </c>
      <c r="F21">
        <f>'2015'!$F118</f>
        <v>1.186650127801262</v>
      </c>
      <c r="G21">
        <f>'2015'!$G118</f>
        <v>2.4954346257058686E-3</v>
      </c>
      <c r="H21">
        <f>'2015'!$H118</f>
        <v>3.9374236639522976E-2</v>
      </c>
      <c r="I21" s="7">
        <f>'2015'!$I118</f>
        <v>254.23854571385056</v>
      </c>
      <c r="J21">
        <f>'2015'!$J118</f>
        <v>1.1815564023556229E-2</v>
      </c>
      <c r="K21">
        <f>'2016'!$D118</f>
        <v>0.12431762378554365</v>
      </c>
      <c r="L21">
        <f>'2016'!$E118</f>
        <v>0.4868439847761532</v>
      </c>
      <c r="M21">
        <f>'2016'!$F118</f>
        <v>1.0415214118246066</v>
      </c>
      <c r="N21">
        <f>'2016'!$G118</f>
        <v>2.4954334272364047E-3</v>
      </c>
      <c r="O21">
        <f>'2016'!$H118</f>
        <v>3.5011591348186828E-2</v>
      </c>
      <c r="P21" s="7">
        <f>'2016'!$I118</f>
        <v>254.23851177178003</v>
      </c>
      <c r="Q21">
        <f>'2016'!$J118</f>
        <v>1.1216977037398481E-2</v>
      </c>
      <c r="R21">
        <f>'2017'!$D118</f>
        <v>0.11808453801711569</v>
      </c>
      <c r="S21">
        <f>'2017'!$E118</f>
        <v>0.47964430190348306</v>
      </c>
      <c r="T21">
        <f>'2017'!$F118</f>
        <v>0.91364226493459333</v>
      </c>
      <c r="U21">
        <f>'2017'!$G118</f>
        <v>2.4954333425274682E-3</v>
      </c>
      <c r="V21">
        <f>'2017'!$H118</f>
        <v>3.1083896854688039E-2</v>
      </c>
      <c r="W21" s="7">
        <f>'2017'!$I118</f>
        <v>254.23847707292109</v>
      </c>
      <c r="X21">
        <f>'2017'!$J118</f>
        <v>1.0654580267680711E-2</v>
      </c>
      <c r="Y21">
        <f>'2018'!$D118</f>
        <v>0.11222734178646317</v>
      </c>
      <c r="Z21">
        <f>'2018'!$E118</f>
        <v>0.4743040148615339</v>
      </c>
      <c r="AA21">
        <f>'2018'!$F118</f>
        <v>0.8003746229939348</v>
      </c>
      <c r="AB21">
        <f>'2018'!$G118</f>
        <v>2.4954338651265763E-3</v>
      </c>
      <c r="AC21">
        <f>'2018'!$H118</f>
        <v>2.7532185746590679E-2</v>
      </c>
      <c r="AD21" s="7">
        <f>'2018'!$I118</f>
        <v>254.23847108919361</v>
      </c>
      <c r="AE21">
        <f>'2018'!$J118</f>
        <v>1.0126092850486785E-2</v>
      </c>
      <c r="AF21">
        <f>'2019'!$D118</f>
        <v>0.10661563772845942</v>
      </c>
      <c r="AG21">
        <f>'2019'!$E118</f>
        <v>0.47045819652022075</v>
      </c>
      <c r="AH21">
        <f>'2019'!$F118</f>
        <v>0.69851558760965882</v>
      </c>
      <c r="AI21">
        <f>'2019'!$G118</f>
        <v>2.4954335273852284E-3</v>
      </c>
      <c r="AJ21">
        <f>'2019'!$H118</f>
        <v>2.4261146043949248E-2</v>
      </c>
      <c r="AK21" s="7">
        <f>'2019'!$I118</f>
        <v>254.23852719541449</v>
      </c>
      <c r="AL21">
        <f>'2019'!$J118</f>
        <v>9.6197582224700796E-3</v>
      </c>
      <c r="AM21">
        <f>'2020'!$D118</f>
        <v>0.10121913221118084</v>
      </c>
      <c r="AN21">
        <f>'2020'!$E118</f>
        <v>0.4676289611072546</v>
      </c>
      <c r="AO21">
        <f>'2020'!$F118</f>
        <v>0.60652272003530283</v>
      </c>
      <c r="AP21">
        <f>'2020'!$G118</f>
        <v>2.4954341522000403E-3</v>
      </c>
      <c r="AQ21">
        <f>'2020'!$H118</f>
        <v>2.1231201296007939E-2</v>
      </c>
      <c r="AR21" s="7">
        <f>'2020'!$I118</f>
        <v>254.23853104993103</v>
      </c>
      <c r="AS21">
        <f>'2020'!$J118</f>
        <v>9.1328399494481263E-3</v>
      </c>
    </row>
    <row r="22" spans="1:45" x14ac:dyDescent="0.25">
      <c r="A22" s="27" t="s">
        <v>208</v>
      </c>
      <c r="B22" s="25">
        <v>300</v>
      </c>
      <c r="C22" s="25">
        <v>0.42</v>
      </c>
      <c r="D22">
        <f>'2015'!$D118</f>
        <v>0.13095174672218127</v>
      </c>
      <c r="E22">
        <f>'2015'!$E118</f>
        <v>0.49629082179248268</v>
      </c>
      <c r="F22">
        <f>'2015'!$F118</f>
        <v>1.186650127801262</v>
      </c>
      <c r="G22">
        <f>'2015'!$G118</f>
        <v>2.4954346257058686E-3</v>
      </c>
      <c r="H22">
        <f>'2015'!$H118</f>
        <v>3.9374236639522976E-2</v>
      </c>
      <c r="I22" s="7">
        <f>'2015'!$I118</f>
        <v>254.23854571385056</v>
      </c>
      <c r="J22">
        <f>'2015'!$J118</f>
        <v>1.1815564023556229E-2</v>
      </c>
      <c r="K22">
        <f>'2016'!$D118</f>
        <v>0.12431762378554365</v>
      </c>
      <c r="L22">
        <f>'2016'!$E118</f>
        <v>0.4868439847761532</v>
      </c>
      <c r="M22">
        <f>'2016'!$F118</f>
        <v>1.0415214118246066</v>
      </c>
      <c r="N22">
        <f>'2016'!$G118</f>
        <v>2.4954334272364047E-3</v>
      </c>
      <c r="O22">
        <f>'2016'!$H118</f>
        <v>3.5011591348186828E-2</v>
      </c>
      <c r="P22" s="7">
        <f>'2016'!$I118</f>
        <v>254.23851177178003</v>
      </c>
      <c r="Q22">
        <f>'2016'!$J118</f>
        <v>1.1216977037398481E-2</v>
      </c>
      <c r="R22">
        <f>'2017'!$D118</f>
        <v>0.11808453801711569</v>
      </c>
      <c r="S22">
        <f>'2017'!$E118</f>
        <v>0.47964430190348306</v>
      </c>
      <c r="T22">
        <f>'2017'!$F118</f>
        <v>0.91364226493459333</v>
      </c>
      <c r="U22">
        <f>'2017'!$G118</f>
        <v>2.4954333425274682E-3</v>
      </c>
      <c r="V22">
        <f>'2017'!$H118</f>
        <v>3.1083896854688039E-2</v>
      </c>
      <c r="W22" s="7">
        <f>'2017'!$I118</f>
        <v>254.23847707292109</v>
      </c>
      <c r="X22">
        <f>'2017'!$J118</f>
        <v>1.0654580267680711E-2</v>
      </c>
      <c r="Y22">
        <f>'2018'!$D118</f>
        <v>0.11222734178646317</v>
      </c>
      <c r="Z22">
        <f>'2018'!$E118</f>
        <v>0.4743040148615339</v>
      </c>
      <c r="AA22">
        <f>'2018'!$F118</f>
        <v>0.8003746229939348</v>
      </c>
      <c r="AB22">
        <f>'2018'!$G118</f>
        <v>2.4954338651265763E-3</v>
      </c>
      <c r="AC22">
        <f>'2018'!$H118</f>
        <v>2.7532185746590679E-2</v>
      </c>
      <c r="AD22" s="7">
        <f>'2018'!$I118</f>
        <v>254.23847108919361</v>
      </c>
      <c r="AE22">
        <f>'2018'!$J118</f>
        <v>1.0126092850486785E-2</v>
      </c>
      <c r="AF22">
        <f>'2019'!$D118</f>
        <v>0.10661563772845942</v>
      </c>
      <c r="AG22">
        <f>'2019'!$E118</f>
        <v>0.47045819652022075</v>
      </c>
      <c r="AH22">
        <f>'2019'!$F118</f>
        <v>0.69851558760965882</v>
      </c>
      <c r="AI22">
        <f>'2019'!$G118</f>
        <v>2.4954335273852284E-3</v>
      </c>
      <c r="AJ22">
        <f>'2019'!$H118</f>
        <v>2.4261146043949248E-2</v>
      </c>
      <c r="AK22" s="7">
        <f>'2019'!$I118</f>
        <v>254.23852719541449</v>
      </c>
      <c r="AL22">
        <f>'2019'!$J118</f>
        <v>9.6197582224700796E-3</v>
      </c>
      <c r="AM22">
        <f>'2020'!$D118</f>
        <v>0.10121913221118084</v>
      </c>
      <c r="AN22">
        <f>'2020'!$E118</f>
        <v>0.4676289611072546</v>
      </c>
      <c r="AO22">
        <f>'2020'!$F118</f>
        <v>0.60652272003530283</v>
      </c>
      <c r="AP22">
        <f>'2020'!$G118</f>
        <v>2.4954341522000403E-3</v>
      </c>
      <c r="AQ22">
        <f>'2020'!$H118</f>
        <v>2.1231201296007939E-2</v>
      </c>
      <c r="AR22" s="7">
        <f>'2020'!$I118</f>
        <v>254.23853104993103</v>
      </c>
      <c r="AS22">
        <f>'2020'!$J118</f>
        <v>9.1328399494481263E-3</v>
      </c>
    </row>
    <row r="23" spans="1:45" x14ac:dyDescent="0.25">
      <c r="A23" s="27" t="s">
        <v>242</v>
      </c>
      <c r="B23" s="25">
        <v>25</v>
      </c>
      <c r="C23" s="25">
        <v>1</v>
      </c>
      <c r="D23">
        <f>'2015'!$D114</f>
        <v>1.5948887253296615E-2</v>
      </c>
      <c r="E23">
        <f>'2015'!$E114</f>
        <v>5.4422779633758432E-2</v>
      </c>
      <c r="F23">
        <f>'2015'!$F114</f>
        <v>0.10081226708497142</v>
      </c>
      <c r="G23">
        <f>'2015'!$G114</f>
        <v>1.6770241908781297E-4</v>
      </c>
      <c r="H23">
        <f>'2015'!$H114</f>
        <v>3.8631697060096657E-3</v>
      </c>
      <c r="I23" s="7">
        <f>'2015'!$I114</f>
        <v>13.217293885230841</v>
      </c>
      <c r="J23">
        <f>'2015'!$J114</f>
        <v>1.4390426214159915E-3</v>
      </c>
      <c r="K23">
        <f>'2016'!$D114</f>
        <v>1.594510335063087E-2</v>
      </c>
      <c r="L23">
        <f>'2016'!$E114</f>
        <v>5.4422783744872555E-2</v>
      </c>
      <c r="M23">
        <f>'2016'!$F114</f>
        <v>0.10076028789088502</v>
      </c>
      <c r="N23">
        <f>'2016'!$G114</f>
        <v>1.6770240347751571E-4</v>
      </c>
      <c r="O23">
        <f>'2016'!$H114</f>
        <v>3.8157649715352916E-3</v>
      </c>
      <c r="P23" s="7">
        <f>'2016'!$I114</f>
        <v>13.217292257606214</v>
      </c>
      <c r="Q23">
        <f>'2016'!$J114</f>
        <v>1.4387014990348871E-3</v>
      </c>
      <c r="R23">
        <f>'2017'!$D114</f>
        <v>1.5945103311665532E-2</v>
      </c>
      <c r="S23">
        <f>'2017'!$E114</f>
        <v>5.4422773131625232E-2</v>
      </c>
      <c r="T23">
        <f>'2017'!$F114</f>
        <v>0.10076027214065375</v>
      </c>
      <c r="U23">
        <f>'2017'!$G114</f>
        <v>1.6770233483260697E-4</v>
      </c>
      <c r="V23">
        <f>'2017'!$H114</f>
        <v>3.7784596414391488E-3</v>
      </c>
      <c r="W23" s="7">
        <f>'2017'!$I114</f>
        <v>13.217291741948072</v>
      </c>
      <c r="X23">
        <f>'2017'!$J114</f>
        <v>1.4387010542643562E-3</v>
      </c>
      <c r="Y23">
        <f>'2018'!$D114</f>
        <v>1.5945098772087649E-2</v>
      </c>
      <c r="Z23">
        <f>'2018'!$E114</f>
        <v>5.442276407057408E-2</v>
      </c>
      <c r="AA23">
        <f>'2018'!$F114</f>
        <v>0.10076025220092945</v>
      </c>
      <c r="AB23">
        <f>'2018'!$G114</f>
        <v>1.6770235588901616E-4</v>
      </c>
      <c r="AC23">
        <f>'2018'!$H114</f>
        <v>3.7620603753407964E-3</v>
      </c>
      <c r="AD23" s="7">
        <f>'2018'!$I114</f>
        <v>13.217291495541826</v>
      </c>
      <c r="AE23">
        <f>'2018'!$J114</f>
        <v>1.4387011113433123E-3</v>
      </c>
      <c r="AF23">
        <f>'2019'!$D114</f>
        <v>1.5945101750761009E-2</v>
      </c>
      <c r="AG23">
        <f>'2019'!$E114</f>
        <v>5.4422774559151649E-2</v>
      </c>
      <c r="AH23">
        <f>'2019'!$F114</f>
        <v>0.10076026996557157</v>
      </c>
      <c r="AI23">
        <f>'2019'!$G114</f>
        <v>1.6770237031265851E-4</v>
      </c>
      <c r="AJ23">
        <f>'2019'!$H114</f>
        <v>3.7599067044820915E-3</v>
      </c>
      <c r="AK23" s="7">
        <f>'2019'!$I114</f>
        <v>13.217289175336852</v>
      </c>
      <c r="AL23">
        <f>'2019'!$J114</f>
        <v>1.4387009726799956E-3</v>
      </c>
      <c r="AM23">
        <f>'2020'!$D114</f>
        <v>1.5945102824719573E-2</v>
      </c>
      <c r="AN23">
        <f>'2020'!$E114</f>
        <v>5.4422774488749978E-2</v>
      </c>
      <c r="AO23">
        <f>'2020'!$F114</f>
        <v>0.10076027326942415</v>
      </c>
      <c r="AP23">
        <f>'2020'!$G114</f>
        <v>1.6770238827263772E-4</v>
      </c>
      <c r="AQ23">
        <f>'2020'!$H114</f>
        <v>3.7629820724530312E-3</v>
      </c>
      <c r="AR23" s="7">
        <f>'2020'!$I114</f>
        <v>13.217291420484697</v>
      </c>
      <c r="AS23">
        <f>'2020'!$J114</f>
        <v>1.4387012607638549E-3</v>
      </c>
    </row>
    <row r="24" spans="1:45" x14ac:dyDescent="0.25">
      <c r="A24" s="531" t="s">
        <v>249</v>
      </c>
      <c r="B24" s="25">
        <v>300</v>
      </c>
      <c r="C24" s="134">
        <v>0.42</v>
      </c>
      <c r="D24">
        <f>'2015'!$D118</f>
        <v>0.13095174672218127</v>
      </c>
      <c r="E24">
        <f>'2015'!$E118</f>
        <v>0.49629082179248268</v>
      </c>
      <c r="F24">
        <f>'2015'!$F118</f>
        <v>1.186650127801262</v>
      </c>
      <c r="G24">
        <f>'2015'!$G118</f>
        <v>2.4954346257058686E-3</v>
      </c>
      <c r="H24">
        <f>'2015'!$H118</f>
        <v>3.9374236639522976E-2</v>
      </c>
      <c r="I24" s="7">
        <f>'2015'!$I118</f>
        <v>254.23854571385056</v>
      </c>
      <c r="J24">
        <f>'2015'!$J118</f>
        <v>1.1815564023556229E-2</v>
      </c>
      <c r="K24">
        <f>'2016'!$D118</f>
        <v>0.12431762378554365</v>
      </c>
      <c r="L24">
        <f>'2016'!$E118</f>
        <v>0.4868439847761532</v>
      </c>
      <c r="M24">
        <f>'2016'!$F118</f>
        <v>1.0415214118246066</v>
      </c>
      <c r="N24">
        <f>'2016'!$G118</f>
        <v>2.4954334272364047E-3</v>
      </c>
      <c r="O24">
        <f>'2016'!$H118</f>
        <v>3.5011591348186828E-2</v>
      </c>
      <c r="P24" s="7">
        <f>'2016'!$I118</f>
        <v>254.23851177178003</v>
      </c>
      <c r="Q24">
        <f>'2016'!$J118</f>
        <v>1.1216977037398481E-2</v>
      </c>
      <c r="R24">
        <f>'2017'!$D118</f>
        <v>0.11808453801711569</v>
      </c>
      <c r="S24">
        <f>'2017'!$E118</f>
        <v>0.47964430190348306</v>
      </c>
      <c r="T24">
        <f>'2017'!$F118</f>
        <v>0.91364226493459333</v>
      </c>
      <c r="U24">
        <f>'2017'!$G118</f>
        <v>2.4954333425274682E-3</v>
      </c>
      <c r="V24">
        <f>'2017'!$H118</f>
        <v>3.1083896854688039E-2</v>
      </c>
      <c r="W24" s="7">
        <f>'2017'!$I118</f>
        <v>254.23847707292109</v>
      </c>
      <c r="X24">
        <f>'2017'!$J118</f>
        <v>1.0654580267680711E-2</v>
      </c>
      <c r="Y24">
        <f>'2018'!$D118</f>
        <v>0.11222734178646317</v>
      </c>
      <c r="Z24">
        <f>'2018'!$E118</f>
        <v>0.4743040148615339</v>
      </c>
      <c r="AA24">
        <f>'2018'!$F118</f>
        <v>0.8003746229939348</v>
      </c>
      <c r="AB24">
        <f>'2018'!$G118</f>
        <v>2.4954338651265763E-3</v>
      </c>
      <c r="AC24">
        <f>'2018'!$H118</f>
        <v>2.7532185746590679E-2</v>
      </c>
      <c r="AD24" s="7">
        <f>'2018'!$I118</f>
        <v>254.23847108919361</v>
      </c>
      <c r="AE24">
        <f>'2018'!$J118</f>
        <v>1.0126092850486785E-2</v>
      </c>
      <c r="AF24">
        <f>'2019'!$D118</f>
        <v>0.10661563772845942</v>
      </c>
      <c r="AG24">
        <f>'2019'!$E118</f>
        <v>0.47045819652022075</v>
      </c>
      <c r="AH24">
        <f>'2019'!$F118</f>
        <v>0.69851558760965882</v>
      </c>
      <c r="AI24">
        <f>'2019'!$G118</f>
        <v>2.4954335273852284E-3</v>
      </c>
      <c r="AJ24">
        <f>'2019'!$H118</f>
        <v>2.4261146043949248E-2</v>
      </c>
      <c r="AK24" s="7">
        <f>'2019'!$I118</f>
        <v>254.23852719541449</v>
      </c>
      <c r="AL24">
        <f>'2019'!$J118</f>
        <v>9.6197582224700796E-3</v>
      </c>
      <c r="AM24">
        <f>'2020'!$D118</f>
        <v>0.10121913221118084</v>
      </c>
      <c r="AN24">
        <f>'2020'!$E118</f>
        <v>0.4676289611072546</v>
      </c>
      <c r="AO24">
        <f>'2020'!$F118</f>
        <v>0.60652272003530283</v>
      </c>
      <c r="AP24">
        <f>'2020'!$G118</f>
        <v>2.4954341522000403E-3</v>
      </c>
      <c r="AQ24">
        <f>'2020'!$H118</f>
        <v>2.1231201296007939E-2</v>
      </c>
      <c r="AR24" s="7">
        <f>'2020'!$I118</f>
        <v>254.23853104993103</v>
      </c>
      <c r="AS24">
        <f>'2020'!$J118</f>
        <v>9.1328399494481263E-3</v>
      </c>
    </row>
    <row r="25" spans="1:45" x14ac:dyDescent="0.25">
      <c r="A25" s="27" t="s">
        <v>201</v>
      </c>
      <c r="B25" s="25">
        <v>300</v>
      </c>
      <c r="C25" s="25">
        <v>0.38</v>
      </c>
      <c r="D25">
        <f>'2015'!$D118</f>
        <v>0.13095174672218127</v>
      </c>
      <c r="E25">
        <f>'2015'!$E118</f>
        <v>0.49629082179248268</v>
      </c>
      <c r="F25">
        <f>'2015'!$F118</f>
        <v>1.186650127801262</v>
      </c>
      <c r="G25">
        <f>'2015'!$G118</f>
        <v>2.4954346257058686E-3</v>
      </c>
      <c r="H25">
        <f>'2015'!$H118</f>
        <v>3.9374236639522976E-2</v>
      </c>
      <c r="I25" s="7">
        <f>'2015'!$I118</f>
        <v>254.23854571385056</v>
      </c>
      <c r="J25">
        <f>'2015'!$J118</f>
        <v>1.1815564023556229E-2</v>
      </c>
      <c r="K25">
        <f>'2016'!$D118</f>
        <v>0.12431762378554365</v>
      </c>
      <c r="L25">
        <f>'2016'!$E118</f>
        <v>0.4868439847761532</v>
      </c>
      <c r="M25">
        <f>'2016'!$F118</f>
        <v>1.0415214118246066</v>
      </c>
      <c r="N25">
        <f>'2016'!$G118</f>
        <v>2.4954334272364047E-3</v>
      </c>
      <c r="O25">
        <f>'2016'!$H118</f>
        <v>3.5011591348186828E-2</v>
      </c>
      <c r="P25" s="7">
        <f>'2016'!$I118</f>
        <v>254.23851177178003</v>
      </c>
      <c r="Q25">
        <f>'2016'!$J118</f>
        <v>1.1216977037398481E-2</v>
      </c>
      <c r="R25">
        <f>'2017'!$D118</f>
        <v>0.11808453801711569</v>
      </c>
      <c r="S25">
        <f>'2017'!$E118</f>
        <v>0.47964430190348306</v>
      </c>
      <c r="T25">
        <f>'2017'!$F118</f>
        <v>0.91364226493459333</v>
      </c>
      <c r="U25">
        <f>'2017'!$G118</f>
        <v>2.4954333425274682E-3</v>
      </c>
      <c r="V25">
        <f>'2017'!$H118</f>
        <v>3.1083896854688039E-2</v>
      </c>
      <c r="W25" s="7">
        <f>'2017'!$I118</f>
        <v>254.23847707292109</v>
      </c>
      <c r="X25">
        <f>'2017'!$J118</f>
        <v>1.0654580267680711E-2</v>
      </c>
      <c r="Y25">
        <f>'2018'!$D118</f>
        <v>0.11222734178646317</v>
      </c>
      <c r="Z25">
        <f>'2018'!$E118</f>
        <v>0.4743040148615339</v>
      </c>
      <c r="AA25">
        <f>'2018'!$F118</f>
        <v>0.8003746229939348</v>
      </c>
      <c r="AB25">
        <f>'2018'!$G118</f>
        <v>2.4954338651265763E-3</v>
      </c>
      <c r="AC25">
        <f>'2018'!$H118</f>
        <v>2.7532185746590679E-2</v>
      </c>
      <c r="AD25" s="7">
        <f>'2018'!$I118</f>
        <v>254.23847108919361</v>
      </c>
      <c r="AE25">
        <f>'2018'!$J118</f>
        <v>1.0126092850486785E-2</v>
      </c>
      <c r="AF25">
        <f>'2019'!$D118</f>
        <v>0.10661563772845942</v>
      </c>
      <c r="AG25">
        <f>'2019'!$E118</f>
        <v>0.47045819652022075</v>
      </c>
      <c r="AH25">
        <f>'2019'!$F118</f>
        <v>0.69851558760965882</v>
      </c>
      <c r="AI25">
        <f>'2019'!$G118</f>
        <v>2.4954335273852284E-3</v>
      </c>
      <c r="AJ25">
        <f>'2019'!$H118</f>
        <v>2.4261146043949248E-2</v>
      </c>
      <c r="AK25" s="7">
        <f>'2019'!$I118</f>
        <v>254.23852719541449</v>
      </c>
      <c r="AL25">
        <f>'2019'!$J118</f>
        <v>9.6197582224700796E-3</v>
      </c>
      <c r="AM25">
        <f>'2020'!$D118</f>
        <v>0.10121913221118084</v>
      </c>
      <c r="AN25">
        <f>'2020'!$E118</f>
        <v>0.4676289611072546</v>
      </c>
      <c r="AO25">
        <f>'2020'!$F118</f>
        <v>0.60652272003530283</v>
      </c>
      <c r="AP25">
        <f>'2020'!$G118</f>
        <v>2.4954341522000403E-3</v>
      </c>
      <c r="AQ25">
        <f>'2020'!$H118</f>
        <v>2.1231201296007939E-2</v>
      </c>
      <c r="AR25" s="7">
        <f>'2020'!$I118</f>
        <v>254.23853104993103</v>
      </c>
      <c r="AS25">
        <f>'2020'!$J118</f>
        <v>9.1328399494481263E-3</v>
      </c>
    </row>
    <row r="26" spans="1:45" x14ac:dyDescent="0.25">
      <c r="A26" s="27" t="s">
        <v>209</v>
      </c>
      <c r="B26" s="25">
        <v>25</v>
      </c>
      <c r="C26" s="25">
        <v>1</v>
      </c>
      <c r="D26">
        <f>'2015'!$D114</f>
        <v>1.5948887253296615E-2</v>
      </c>
      <c r="E26">
        <f>'2015'!$E114</f>
        <v>5.4422779633758432E-2</v>
      </c>
      <c r="F26">
        <f>'2015'!$F114</f>
        <v>0.10081226708497142</v>
      </c>
      <c r="G26">
        <f>'2015'!$G114</f>
        <v>1.6770241908781297E-4</v>
      </c>
      <c r="H26">
        <f>'2015'!$H114</f>
        <v>3.8631697060096657E-3</v>
      </c>
      <c r="I26" s="7">
        <f>'2015'!$I114</f>
        <v>13.217293885230841</v>
      </c>
      <c r="J26">
        <f>'2015'!$J114</f>
        <v>1.4390426214159915E-3</v>
      </c>
      <c r="K26">
        <f>'2016'!$D114</f>
        <v>1.594510335063087E-2</v>
      </c>
      <c r="L26">
        <f>'2016'!$E114</f>
        <v>5.4422783744872555E-2</v>
      </c>
      <c r="M26">
        <f>'2016'!$F114</f>
        <v>0.10076028789088502</v>
      </c>
      <c r="N26">
        <f>'2016'!$G114</f>
        <v>1.6770240347751571E-4</v>
      </c>
      <c r="O26">
        <f>'2016'!$H114</f>
        <v>3.8157649715352916E-3</v>
      </c>
      <c r="P26" s="7">
        <f>'2016'!$I114</f>
        <v>13.217292257606214</v>
      </c>
      <c r="Q26">
        <f>'2016'!$J114</f>
        <v>1.4387014990348871E-3</v>
      </c>
      <c r="R26">
        <f>'2017'!$D114</f>
        <v>1.5945103311665532E-2</v>
      </c>
      <c r="S26">
        <f>'2017'!$E114</f>
        <v>5.4422773131625232E-2</v>
      </c>
      <c r="T26">
        <f>'2017'!$F114</f>
        <v>0.10076027214065375</v>
      </c>
      <c r="U26">
        <f>'2017'!$G114</f>
        <v>1.6770233483260697E-4</v>
      </c>
      <c r="V26">
        <f>'2017'!$H114</f>
        <v>3.7784596414391488E-3</v>
      </c>
      <c r="W26" s="7">
        <f>'2017'!$I114</f>
        <v>13.217291741948072</v>
      </c>
      <c r="X26">
        <f>'2017'!$J114</f>
        <v>1.4387010542643562E-3</v>
      </c>
      <c r="Y26">
        <f>'2018'!$D114</f>
        <v>1.5945098772087649E-2</v>
      </c>
      <c r="Z26">
        <f>'2018'!$E114</f>
        <v>5.442276407057408E-2</v>
      </c>
      <c r="AA26">
        <f>'2018'!$F114</f>
        <v>0.10076025220092945</v>
      </c>
      <c r="AB26">
        <f>'2018'!$G114</f>
        <v>1.6770235588901616E-4</v>
      </c>
      <c r="AC26">
        <f>'2018'!$H114</f>
        <v>3.7620603753407964E-3</v>
      </c>
      <c r="AD26" s="7">
        <f>'2018'!$I114</f>
        <v>13.217291495541826</v>
      </c>
      <c r="AE26">
        <f>'2018'!$J114</f>
        <v>1.4387011113433123E-3</v>
      </c>
      <c r="AF26">
        <f>'2019'!$D114</f>
        <v>1.5945101750761009E-2</v>
      </c>
      <c r="AG26">
        <f>'2019'!$E114</f>
        <v>5.4422774559151649E-2</v>
      </c>
      <c r="AH26">
        <f>'2019'!$F114</f>
        <v>0.10076026996557157</v>
      </c>
      <c r="AI26">
        <f>'2019'!$G114</f>
        <v>1.6770237031265851E-4</v>
      </c>
      <c r="AJ26">
        <f>'2019'!$H114</f>
        <v>3.7599067044820915E-3</v>
      </c>
      <c r="AK26" s="7">
        <f>'2019'!$I114</f>
        <v>13.217289175336852</v>
      </c>
      <c r="AL26">
        <f>'2019'!$J114</f>
        <v>1.4387009726799956E-3</v>
      </c>
      <c r="AM26">
        <f>'2020'!$D114</f>
        <v>1.5945102824719573E-2</v>
      </c>
      <c r="AN26">
        <f>'2020'!$E114</f>
        <v>5.4422774488749978E-2</v>
      </c>
      <c r="AO26">
        <f>'2020'!$F114</f>
        <v>0.10076027326942415</v>
      </c>
      <c r="AP26">
        <f>'2020'!$G114</f>
        <v>1.6770238827263772E-4</v>
      </c>
      <c r="AQ26">
        <f>'2020'!$H114</f>
        <v>3.7629820724530312E-3</v>
      </c>
      <c r="AR26" s="7">
        <f>'2020'!$I114</f>
        <v>13.217291420484697</v>
      </c>
      <c r="AS26">
        <f>'2020'!$J114</f>
        <v>1.4387012607638549E-3</v>
      </c>
    </row>
    <row r="27" spans="1:45" x14ac:dyDescent="0.25">
      <c r="A27" s="27" t="s">
        <v>156</v>
      </c>
      <c r="B27" s="134">
        <v>37</v>
      </c>
      <c r="C27" s="134">
        <v>0.37</v>
      </c>
      <c r="D27">
        <f>'2015'!$D209</f>
        <v>3.7835624751667511E-2</v>
      </c>
      <c r="E27">
        <f>'2015'!$E209</f>
        <v>0.21382896248587013</v>
      </c>
      <c r="F27">
        <f>'2015'!$F209</f>
        <v>0.20522072331931707</v>
      </c>
      <c r="G27">
        <f>'2015'!$G209</f>
        <v>3.2989898219504352E-4</v>
      </c>
      <c r="H27">
        <f>'2015'!$H209</f>
        <v>1.1340996580682031E-2</v>
      </c>
      <c r="I27" s="7">
        <f>'2015'!$I209</f>
        <v>25.519145338424273</v>
      </c>
      <c r="J27">
        <f>'2015'!$J209</f>
        <v>3.413848047070189E-3</v>
      </c>
      <c r="K27">
        <f>'2016'!$D209</f>
        <v>3.2313389441625637E-2</v>
      </c>
      <c r="L27">
        <f>'2016'!$E209</f>
        <v>0.20888838973783272</v>
      </c>
      <c r="M27">
        <f>'2016'!$F209</f>
        <v>0.19528012870004316</v>
      </c>
      <c r="N27">
        <f>'2016'!$G209</f>
        <v>3.2989899838564078E-4</v>
      </c>
      <c r="O27">
        <f>'2016'!$H209</f>
        <v>9.4357694471528322E-3</v>
      </c>
      <c r="P27" s="7">
        <f>'2016'!$I209</f>
        <v>25.519155927350894</v>
      </c>
      <c r="Q27">
        <f>'2016'!$J209</f>
        <v>2.915585728687426E-3</v>
      </c>
      <c r="R27">
        <f>'2017'!$D209</f>
        <v>2.8760043847205142E-2</v>
      </c>
      <c r="S27">
        <f>'2017'!$E209</f>
        <v>0.2056622084896545</v>
      </c>
      <c r="T27">
        <f>'2017'!$F209</f>
        <v>0.18651098164383836</v>
      </c>
      <c r="U27">
        <f>'2017'!$G209</f>
        <v>3.2989891667688166E-4</v>
      </c>
      <c r="V27">
        <f>'2017'!$H209</f>
        <v>7.8581018865657003E-3</v>
      </c>
      <c r="W27" s="7">
        <f>'2017'!$I209</f>
        <v>25.519147952057935</v>
      </c>
      <c r="X27">
        <f>'2017'!$J209</f>
        <v>2.5949730637661525E-3</v>
      </c>
      <c r="Y27">
        <f>'2018'!$D209</f>
        <v>2.6321181794284464E-2</v>
      </c>
      <c r="Z27">
        <f>'2018'!$E209</f>
        <v>0.20347097469626613</v>
      </c>
      <c r="AA27">
        <f>'2018'!$F209</f>
        <v>0.17869028142028628</v>
      </c>
      <c r="AB27">
        <f>'2018'!$G209</f>
        <v>3.2989903974974726E-4</v>
      </c>
      <c r="AC27">
        <f>'2018'!$H209</f>
        <v>6.5051366941734539E-3</v>
      </c>
      <c r="AD27" s="7">
        <f>'2018'!$I209</f>
        <v>25.519164465886792</v>
      </c>
      <c r="AE27">
        <f>'2018'!$J209</f>
        <v>2.3749178457344233E-3</v>
      </c>
      <c r="AF27">
        <f>'2019'!$D209</f>
        <v>2.4499499630862814E-2</v>
      </c>
      <c r="AG27">
        <f>'2019'!$E209</f>
        <v>0.20187952825057154</v>
      </c>
      <c r="AH27">
        <f>'2019'!$F209</f>
        <v>0.17170195380948614</v>
      </c>
      <c r="AI27">
        <f>'2019'!$G209</f>
        <v>3.2989903632136842E-4</v>
      </c>
      <c r="AJ27">
        <f>'2019'!$H209</f>
        <v>5.3359458327880234E-3</v>
      </c>
      <c r="AK27" s="7">
        <f>'2019'!$I209</f>
        <v>25.519154699847764</v>
      </c>
      <c r="AL27">
        <f>'2019'!$J209</f>
        <v>2.2105503762096354E-3</v>
      </c>
      <c r="AM27">
        <f>'2020'!$D209</f>
        <v>2.2997456128846298E-2</v>
      </c>
      <c r="AN27">
        <f>'2020'!$E209</f>
        <v>0.2006067710254229</v>
      </c>
      <c r="AO27">
        <f>'2020'!$F209</f>
        <v>0.16548506068696145</v>
      </c>
      <c r="AP27">
        <f>'2020'!$G209</f>
        <v>3.2989894237595523E-4</v>
      </c>
      <c r="AQ27">
        <f>'2020'!$H209</f>
        <v>4.3199288987692706E-3</v>
      </c>
      <c r="AR27" s="7">
        <f>'2020'!$I209</f>
        <v>25.519150770246078</v>
      </c>
      <c r="AS27">
        <f>'2020'!$J209</f>
        <v>2.075023596652533E-3</v>
      </c>
    </row>
    <row r="28" spans="1:45" x14ac:dyDescent="0.25">
      <c r="A28" s="27" t="s">
        <v>158</v>
      </c>
      <c r="B28" s="532">
        <v>165</v>
      </c>
      <c r="C28" s="134">
        <v>0.42</v>
      </c>
      <c r="D28">
        <f>'2015'!$D117</f>
        <v>7.9630470223994193E-2</v>
      </c>
      <c r="E28">
        <f>'2015'!$E117</f>
        <v>0.58637723086464177</v>
      </c>
      <c r="F28">
        <f>'2015'!$F117</f>
        <v>0.66358180384813992</v>
      </c>
      <c r="G28">
        <f>'2015'!$G117</f>
        <v>1.1984855682957594E-3</v>
      </c>
      <c r="H28">
        <f>'2015'!$H117</f>
        <v>3.3127048381557375E-2</v>
      </c>
      <c r="I28" s="7">
        <f>'2015'!$I117</f>
        <v>106.51583149623336</v>
      </c>
      <c r="J28">
        <f>'2015'!$J117</f>
        <v>7.184929780442325E-3</v>
      </c>
      <c r="K28">
        <f>'2016'!$D117</f>
        <v>7.286061057649322E-2</v>
      </c>
      <c r="L28">
        <f>'2016'!$E117</f>
        <v>0.58616128308347026</v>
      </c>
      <c r="M28">
        <f>'2016'!$F117</f>
        <v>0.58561044097076953</v>
      </c>
      <c r="N28">
        <f>'2016'!$G117</f>
        <v>1.1984861301590408E-3</v>
      </c>
      <c r="O28">
        <f>'2016'!$H117</f>
        <v>2.9059944528891633E-2</v>
      </c>
      <c r="P28" s="7">
        <f>'2016'!$I117</f>
        <v>106.51585692695846</v>
      </c>
      <c r="Q28">
        <f>'2016'!$J117</f>
        <v>6.5740964019932796E-3</v>
      </c>
      <c r="R28">
        <f>'2017'!$D117</f>
        <v>6.6518596416898113E-2</v>
      </c>
      <c r="S28">
        <f>'2017'!$E117</f>
        <v>0.58598292835088706</v>
      </c>
      <c r="T28">
        <f>'2017'!$F117</f>
        <v>0.51326755550207159</v>
      </c>
      <c r="U28">
        <f>'2017'!$G117</f>
        <v>1.1984855559537273E-3</v>
      </c>
      <c r="V28">
        <f>'2017'!$H117</f>
        <v>2.5239019637598413E-2</v>
      </c>
      <c r="W28" s="7">
        <f>'2017'!$I117</f>
        <v>106.51578469673143</v>
      </c>
      <c r="X28">
        <f>'2017'!$J117</f>
        <v>6.0018670018210487E-3</v>
      </c>
      <c r="Y28">
        <f>'2018'!$D117</f>
        <v>6.0803262455856037E-2</v>
      </c>
      <c r="Z28">
        <f>'2018'!$E117</f>
        <v>0.58590611045229057</v>
      </c>
      <c r="AA28">
        <f>'2018'!$F117</f>
        <v>0.44776718455555292</v>
      </c>
      <c r="AB28">
        <f>'2018'!$G117</f>
        <v>1.1984860337219379E-3</v>
      </c>
      <c r="AC28">
        <f>'2018'!$H117</f>
        <v>2.1762998114598715E-2</v>
      </c>
      <c r="AD28" s="7">
        <f>'2018'!$I117</f>
        <v>106.5158537913082</v>
      </c>
      <c r="AE28">
        <f>'2018'!$J117</f>
        <v>5.4861803870114613E-3</v>
      </c>
      <c r="AF28">
        <f>'2019'!$D117</f>
        <v>5.6239287968855772E-2</v>
      </c>
      <c r="AG28">
        <f>'2019'!$E117</f>
        <v>0.58588888371292769</v>
      </c>
      <c r="AH28">
        <f>'2019'!$F117</f>
        <v>0.39118463182040636</v>
      </c>
      <c r="AI28">
        <f>'2019'!$G117</f>
        <v>1.198486146050519E-3</v>
      </c>
      <c r="AJ28">
        <f>'2019'!$H117</f>
        <v>1.8880553868269818E-2</v>
      </c>
      <c r="AK28" s="7">
        <f>'2019'!$I117</f>
        <v>106.51584407134968</v>
      </c>
      <c r="AL28">
        <f>'2019'!$J117</f>
        <v>5.0743808831082643E-3</v>
      </c>
      <c r="AM28">
        <f>'2020'!$D117</f>
        <v>5.2428261523862159E-2</v>
      </c>
      <c r="AN28">
        <f>'2020'!$E117</f>
        <v>0.58586982193623949</v>
      </c>
      <c r="AO28">
        <f>'2020'!$F117</f>
        <v>0.34144050849615443</v>
      </c>
      <c r="AP28">
        <f>'2020'!$G117</f>
        <v>1.1984859903284837E-3</v>
      </c>
      <c r="AQ28">
        <f>'2020'!$H117</f>
        <v>1.642059451632661E-2</v>
      </c>
      <c r="AR28" s="7">
        <f>'2020'!$I117</f>
        <v>106.51582542370917</v>
      </c>
      <c r="AS28">
        <f>'2020'!$J117</f>
        <v>4.7305181949433943E-3</v>
      </c>
    </row>
    <row r="29" spans="1:45" x14ac:dyDescent="0.25">
      <c r="A29" s="27" t="s">
        <v>159</v>
      </c>
      <c r="B29" s="532">
        <v>8</v>
      </c>
      <c r="C29" s="533">
        <v>1</v>
      </c>
      <c r="D29" s="502">
        <f>'2015'!$D113</f>
        <v>1.1765479299563907E-2</v>
      </c>
      <c r="E29" s="502">
        <f>'2015'!$E113</f>
        <v>6.1714715595037384E-2</v>
      </c>
      <c r="F29" s="502">
        <f>'2015'!$F113</f>
        <v>7.3679897784035414E-2</v>
      </c>
      <c r="G29" s="502">
        <f>'2015'!$G113</f>
        <v>1.572791439192002E-4</v>
      </c>
      <c r="H29" s="502">
        <f>'2015'!$H113</f>
        <v>2.8774150989504376E-3</v>
      </c>
      <c r="I29" s="7">
        <f>'2015'!$I113</f>
        <v>10.107340281314988</v>
      </c>
      <c r="J29" s="502">
        <f>'2015'!$J113</f>
        <v>1.0615801987134306E-3</v>
      </c>
      <c r="K29" s="502">
        <f>'2016'!$D113</f>
        <v>1.1765479064338774E-2</v>
      </c>
      <c r="L29" s="502">
        <f>'2016'!$E113</f>
        <v>6.1714712422279903E-2</v>
      </c>
      <c r="M29" s="502">
        <f>'2016'!$F113</f>
        <v>7.3679898690290249E-2</v>
      </c>
      <c r="N29" s="502">
        <f>'2016'!$G113</f>
        <v>1.5727915874240951E-4</v>
      </c>
      <c r="O29" s="502">
        <f>'2016'!$H113</f>
        <v>2.8790714915146775E-3</v>
      </c>
      <c r="P29" s="7">
        <f>'2016'!$I113</f>
        <v>10.107339932266072</v>
      </c>
      <c r="Q29" s="502">
        <f>'2016'!$J113</f>
        <v>1.0615801067499801E-3</v>
      </c>
      <c r="R29" s="502">
        <f>'2017'!$D113</f>
        <v>1.176547805155017E-2</v>
      </c>
      <c r="S29" s="502">
        <f>'2017'!$E113</f>
        <v>6.1714716989306695E-2</v>
      </c>
      <c r="T29" s="502">
        <f>'2017'!$F113</f>
        <v>7.3679895811831972E-2</v>
      </c>
      <c r="U29" s="502">
        <f>'2017'!$G113</f>
        <v>1.572791637934881E-4</v>
      </c>
      <c r="V29" s="502">
        <f>'2017'!$H113</f>
        <v>2.8790715865215336E-3</v>
      </c>
      <c r="W29" s="7">
        <f>'2017'!$I113</f>
        <v>10.107340259528531</v>
      </c>
      <c r="X29" s="502">
        <f>'2017'!$J113</f>
        <v>1.0615802148342963E-3</v>
      </c>
      <c r="Y29" s="502">
        <f>'2018'!$D113</f>
        <v>1.1765476462069602E-2</v>
      </c>
      <c r="Z29" s="502">
        <f>'2018'!$E113</f>
        <v>6.1714709525793505E-2</v>
      </c>
      <c r="AA29" s="502">
        <f>'2018'!$F113</f>
        <v>7.3679889623947101E-2</v>
      </c>
      <c r="AB29" s="502">
        <f>'2018'!$G113</f>
        <v>1.5727910183139585E-4</v>
      </c>
      <c r="AC29" s="502">
        <f>'2018'!$H113</f>
        <v>2.8790716861634286E-3</v>
      </c>
      <c r="AD29" s="7">
        <f>'2018'!$I113</f>
        <v>10.107340651040547</v>
      </c>
      <c r="AE29" s="502">
        <f>'2018'!$J113</f>
        <v>1.0615800521627282E-3</v>
      </c>
      <c r="AF29" s="502">
        <f>'2019'!$D113</f>
        <v>1.1765474967285321E-2</v>
      </c>
      <c r="AG29" s="502">
        <f>'2019'!$E113</f>
        <v>6.1714712671687447E-2</v>
      </c>
      <c r="AH29" s="502">
        <f>'2019'!$F113</f>
        <v>7.3679891062277458E-2</v>
      </c>
      <c r="AI29" s="502">
        <f>'2019'!$G113</f>
        <v>1.5727912768491971E-4</v>
      </c>
      <c r="AJ29" s="502">
        <f>'2019'!$H113</f>
        <v>2.8790710876289661E-3</v>
      </c>
      <c r="AK29" s="7">
        <f>'2019'!$I113</f>
        <v>10.107339530928645</v>
      </c>
      <c r="AL29" s="502">
        <f>'2019'!$J113</f>
        <v>1.0615798807708174E-3</v>
      </c>
      <c r="AM29" s="502">
        <f>'2020'!$D113</f>
        <v>1.1765473786187855E-2</v>
      </c>
      <c r="AN29" s="502">
        <f>'2020'!$E113</f>
        <v>6.1714707158800015E-2</v>
      </c>
      <c r="AO29" s="502">
        <f>'2020'!$F113</f>
        <v>7.3679887120874948E-2</v>
      </c>
      <c r="AP29" s="502">
        <f>'2020'!$G113</f>
        <v>1.572791321913264E-4</v>
      </c>
      <c r="AQ29" s="502">
        <f>'2020'!$H113</f>
        <v>2.8790707794713148E-3</v>
      </c>
      <c r="AR29" s="7">
        <f>'2020'!$I113</f>
        <v>10.107338562182004</v>
      </c>
      <c r="AS29" s="502">
        <f>'2020'!$J113</f>
        <v>1.061580028707935E-3</v>
      </c>
    </row>
    <row r="30" spans="1:45" x14ac:dyDescent="0.25">
      <c r="A30" s="27" t="s">
        <v>162</v>
      </c>
      <c r="B30" s="532">
        <v>235</v>
      </c>
      <c r="C30" s="25">
        <v>0.38</v>
      </c>
      <c r="D30">
        <f>'2015'!$D108</f>
        <v>0.12515266972462641</v>
      </c>
      <c r="E30">
        <f>'2015'!$E108</f>
        <v>0.37018045112299897</v>
      </c>
      <c r="F30">
        <f>'2015'!$F108</f>
        <v>0.98177634452702278</v>
      </c>
      <c r="G30">
        <f>'2015'!$G108</f>
        <v>1.8739213528134147E-3</v>
      </c>
      <c r="H30">
        <f>'2015'!$H108</f>
        <v>3.2769564138102551E-2</v>
      </c>
      <c r="I30" s="7">
        <f>'2015'!$I108</f>
        <v>166.54539483446186</v>
      </c>
      <c r="J30">
        <f>'2015'!$J108</f>
        <v>1.1292325418869483E-2</v>
      </c>
      <c r="K30">
        <f>'2016'!$D108</f>
        <v>0.11792220738547983</v>
      </c>
      <c r="L30">
        <f>'2016'!$E108</f>
        <v>0.36512193352152528</v>
      </c>
      <c r="M30">
        <f>'2016'!$F108</f>
        <v>0.86781464282266541</v>
      </c>
      <c r="N30">
        <f>'2016'!$G108</f>
        <v>1.8739217498104396E-3</v>
      </c>
      <c r="O30">
        <f>'2016'!$H108</f>
        <v>2.9041712295589866E-2</v>
      </c>
      <c r="P30" s="7">
        <f>'2016'!$I108</f>
        <v>166.54541562452522</v>
      </c>
      <c r="Q30">
        <f>'2016'!$J108</f>
        <v>1.063993297769634E-2</v>
      </c>
      <c r="R30">
        <f>'2017'!$D108</f>
        <v>0.11087757550731449</v>
      </c>
      <c r="S30">
        <f>'2017'!$E108</f>
        <v>0.36084059419635078</v>
      </c>
      <c r="T30">
        <f>'2017'!$F108</f>
        <v>0.76252068294710729</v>
      </c>
      <c r="U30">
        <f>'2017'!$G108</f>
        <v>1.8739208211501423E-3</v>
      </c>
      <c r="V30">
        <f>'2017'!$H108</f>
        <v>2.5639490365790139E-2</v>
      </c>
      <c r="W30" s="7">
        <f>'2017'!$I108</f>
        <v>166.54536773790227</v>
      </c>
      <c r="X30">
        <f>'2017'!$J108</f>
        <v>1.0004303079381925E-2</v>
      </c>
      <c r="Y30">
        <f>'2018'!$D108</f>
        <v>0.1041767465113491</v>
      </c>
      <c r="Z30">
        <f>'2018'!$E108</f>
        <v>0.35715448415065187</v>
      </c>
      <c r="AA30">
        <f>'2018'!$F108</f>
        <v>0.66603800397589519</v>
      </c>
      <c r="AB30">
        <f>'2018'!$G108</f>
        <v>1.873921930245647E-3</v>
      </c>
      <c r="AC30">
        <f>'2018'!$H108</f>
        <v>2.2542352700611085E-2</v>
      </c>
      <c r="AD30" s="7">
        <f>'2018'!$I108</f>
        <v>166.54543379579488</v>
      </c>
      <c r="AE30">
        <f>'2018'!$J108</f>
        <v>9.3996999235005617E-3</v>
      </c>
      <c r="AF30">
        <f>'2019'!$D108</f>
        <v>9.8126501853339099E-2</v>
      </c>
      <c r="AG30">
        <f>'2019'!$E108</f>
        <v>0.35404986242713693</v>
      </c>
      <c r="AH30">
        <f>'2019'!$F108</f>
        <v>0.57972575059472697</v>
      </c>
      <c r="AI30">
        <f>'2019'!$G108</f>
        <v>1.8739219985869813E-3</v>
      </c>
      <c r="AJ30">
        <f>'2019'!$H108</f>
        <v>1.9765910620015432E-2</v>
      </c>
      <c r="AK30" s="7">
        <f>'2019'!$I108</f>
        <v>166.54541132463186</v>
      </c>
      <c r="AL30">
        <f>'2019'!$J108</f>
        <v>8.8537970071824509E-3</v>
      </c>
      <c r="AM30">
        <f>'2020'!$D108</f>
        <v>9.2725246112278115E-2</v>
      </c>
      <c r="AN30">
        <f>'2020'!$E108</f>
        <v>0.35143421911519712</v>
      </c>
      <c r="AO30">
        <f>'2020'!$F108</f>
        <v>0.50424090389582876</v>
      </c>
      <c r="AP30">
        <f>'2020'!$G108</f>
        <v>1.8739212869985323E-3</v>
      </c>
      <c r="AQ30">
        <f>'2020'!$H108</f>
        <v>1.7307373778617977E-2</v>
      </c>
      <c r="AR30" s="7">
        <f>'2020'!$I108</f>
        <v>166.54540745667055</v>
      </c>
      <c r="AS30">
        <f>'2020'!$J108</f>
        <v>8.3664496800051249E-3</v>
      </c>
    </row>
    <row r="31" spans="1:45" x14ac:dyDescent="0.25">
      <c r="A31" s="27" t="s">
        <v>165</v>
      </c>
      <c r="B31" s="25">
        <v>525</v>
      </c>
      <c r="C31" s="25">
        <v>0.38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 s="27" t="s">
        <v>166</v>
      </c>
      <c r="B32" s="25">
        <v>300</v>
      </c>
      <c r="C32" s="25">
        <v>0.38</v>
      </c>
      <c r="D32">
        <f>'2015'!$D118</f>
        <v>0.13095174672218127</v>
      </c>
      <c r="E32">
        <f>'2015'!$E118</f>
        <v>0.49629082179248268</v>
      </c>
      <c r="F32">
        <f>'2015'!$F118</f>
        <v>1.186650127801262</v>
      </c>
      <c r="G32">
        <f>'2015'!$G118</f>
        <v>2.4954346257058686E-3</v>
      </c>
      <c r="H32">
        <f>'2015'!$H118</f>
        <v>3.9374236639522976E-2</v>
      </c>
      <c r="I32" s="7">
        <f>'2015'!$I118</f>
        <v>254.23854571385056</v>
      </c>
      <c r="J32">
        <f>'2015'!$J118</f>
        <v>1.1815564023556229E-2</v>
      </c>
      <c r="K32">
        <f>'2016'!$D118</f>
        <v>0.12431762378554365</v>
      </c>
      <c r="L32">
        <f>'2016'!$E118</f>
        <v>0.4868439847761532</v>
      </c>
      <c r="M32">
        <f>'2016'!$F118</f>
        <v>1.0415214118246066</v>
      </c>
      <c r="N32">
        <f>'2016'!$G118</f>
        <v>2.4954334272364047E-3</v>
      </c>
      <c r="O32">
        <f>'2016'!$H118</f>
        <v>3.5011591348186828E-2</v>
      </c>
      <c r="P32" s="7">
        <f>'2016'!$I118</f>
        <v>254.23851177178003</v>
      </c>
      <c r="Q32">
        <f>'2016'!$J118</f>
        <v>1.1216977037398481E-2</v>
      </c>
      <c r="R32">
        <f>'2017'!$D118</f>
        <v>0.11808453801711569</v>
      </c>
      <c r="S32">
        <f>'2017'!$E118</f>
        <v>0.47964430190348306</v>
      </c>
      <c r="T32">
        <f>'2017'!$F118</f>
        <v>0.91364226493459333</v>
      </c>
      <c r="U32">
        <f>'2017'!$G118</f>
        <v>2.4954333425274682E-3</v>
      </c>
      <c r="V32">
        <f>'2017'!$H118</f>
        <v>3.1083896854688039E-2</v>
      </c>
      <c r="W32" s="7">
        <f>'2017'!$I118</f>
        <v>254.23847707292109</v>
      </c>
      <c r="X32">
        <f>'2017'!$J118</f>
        <v>1.0654580267680711E-2</v>
      </c>
      <c r="Y32">
        <f>'2018'!$D118</f>
        <v>0.11222734178646317</v>
      </c>
      <c r="Z32">
        <f>'2018'!$E118</f>
        <v>0.4743040148615339</v>
      </c>
      <c r="AA32">
        <f>'2018'!$F118</f>
        <v>0.8003746229939348</v>
      </c>
      <c r="AB32">
        <f>'2018'!$G118</f>
        <v>2.4954338651265763E-3</v>
      </c>
      <c r="AC32">
        <f>'2018'!$H118</f>
        <v>2.7532185746590679E-2</v>
      </c>
      <c r="AD32" s="7">
        <f>'2018'!$I118</f>
        <v>254.23847108919361</v>
      </c>
      <c r="AE32">
        <f>'2018'!$J118</f>
        <v>1.0126092850486785E-2</v>
      </c>
      <c r="AF32">
        <f>'2019'!$D118</f>
        <v>0.10661563772845942</v>
      </c>
      <c r="AG32">
        <f>'2019'!$E118</f>
        <v>0.47045819652022075</v>
      </c>
      <c r="AH32">
        <f>'2019'!$F118</f>
        <v>0.69851558760965882</v>
      </c>
      <c r="AI32">
        <f>'2019'!$G118</f>
        <v>2.4954335273852284E-3</v>
      </c>
      <c r="AJ32">
        <f>'2019'!$H118</f>
        <v>2.4261146043949248E-2</v>
      </c>
      <c r="AK32" s="7">
        <f>'2019'!$I118</f>
        <v>254.23852719541449</v>
      </c>
      <c r="AL32">
        <f>'2019'!$J118</f>
        <v>9.6197582224700796E-3</v>
      </c>
      <c r="AM32">
        <f>'2020'!$D118</f>
        <v>0.10121913221118084</v>
      </c>
      <c r="AN32">
        <f>'2020'!$E118</f>
        <v>0.4676289611072546</v>
      </c>
      <c r="AO32">
        <f>'2020'!$F118</f>
        <v>0.60652272003530283</v>
      </c>
      <c r="AP32">
        <f>'2020'!$G118</f>
        <v>2.4954341522000403E-3</v>
      </c>
      <c r="AQ32">
        <f>'2020'!$H118</f>
        <v>2.1231201296007939E-2</v>
      </c>
      <c r="AR32" s="7">
        <f>'2020'!$I118</f>
        <v>254.23853104993103</v>
      </c>
      <c r="AS32">
        <f>'2020'!$J118</f>
        <v>9.1328399494481263E-3</v>
      </c>
    </row>
    <row r="33" spans="1:45" x14ac:dyDescent="0.25">
      <c r="A33" s="27" t="s">
        <v>203</v>
      </c>
      <c r="B33" s="25">
        <v>175</v>
      </c>
      <c r="C33" s="25">
        <v>0.38</v>
      </c>
      <c r="D33">
        <f>'2015'!$D108</f>
        <v>0.12515266972462641</v>
      </c>
      <c r="E33">
        <f>'2015'!$E108</f>
        <v>0.37018045112299897</v>
      </c>
      <c r="F33">
        <f>'2015'!$F108</f>
        <v>0.98177634452702278</v>
      </c>
      <c r="G33">
        <f>'2015'!$G108</f>
        <v>1.8739213528134147E-3</v>
      </c>
      <c r="H33">
        <f>'2015'!$H108</f>
        <v>3.2769564138102551E-2</v>
      </c>
      <c r="I33" s="7">
        <f>'2015'!$I108</f>
        <v>166.54539483446186</v>
      </c>
      <c r="J33">
        <f>'2015'!$J108</f>
        <v>1.1292325418869483E-2</v>
      </c>
      <c r="K33">
        <f>'2016'!$D108</f>
        <v>0.11792220738547983</v>
      </c>
      <c r="L33">
        <f>'2016'!$E108</f>
        <v>0.36512193352152528</v>
      </c>
      <c r="M33">
        <f>'2016'!$F108</f>
        <v>0.86781464282266541</v>
      </c>
      <c r="N33">
        <f>'2016'!$G108</f>
        <v>1.8739217498104396E-3</v>
      </c>
      <c r="O33">
        <f>'2016'!$H108</f>
        <v>2.9041712295589866E-2</v>
      </c>
      <c r="P33" s="7">
        <f>'2016'!$I108</f>
        <v>166.54541562452522</v>
      </c>
      <c r="Q33">
        <f>'2016'!$J108</f>
        <v>1.063993297769634E-2</v>
      </c>
      <c r="R33">
        <f>'2017'!$D108</f>
        <v>0.11087757550731449</v>
      </c>
      <c r="S33">
        <f>'2017'!$E108</f>
        <v>0.36084059419635078</v>
      </c>
      <c r="T33">
        <f>'2017'!$F108</f>
        <v>0.76252068294710729</v>
      </c>
      <c r="U33">
        <f>'2017'!$G108</f>
        <v>1.8739208211501423E-3</v>
      </c>
      <c r="V33">
        <f>'2017'!$H108</f>
        <v>2.5639490365790139E-2</v>
      </c>
      <c r="W33" s="7">
        <f>'2017'!$I108</f>
        <v>166.54536773790227</v>
      </c>
      <c r="X33">
        <f>'2017'!$J108</f>
        <v>1.0004303079381925E-2</v>
      </c>
      <c r="Y33">
        <f>'2018'!$D108</f>
        <v>0.1041767465113491</v>
      </c>
      <c r="Z33">
        <f>'2018'!$E108</f>
        <v>0.35715448415065187</v>
      </c>
      <c r="AA33">
        <f>'2018'!$F108</f>
        <v>0.66603800397589519</v>
      </c>
      <c r="AB33">
        <f>'2018'!$G108</f>
        <v>1.873921930245647E-3</v>
      </c>
      <c r="AC33">
        <f>'2018'!$H108</f>
        <v>2.2542352700611085E-2</v>
      </c>
      <c r="AD33" s="7">
        <f>'2018'!$I108</f>
        <v>166.54543379579488</v>
      </c>
      <c r="AE33">
        <f>'2018'!$J108</f>
        <v>9.3996999235005617E-3</v>
      </c>
      <c r="AF33">
        <f>'2019'!$D108</f>
        <v>9.8126501853339099E-2</v>
      </c>
      <c r="AG33">
        <f>'2019'!$E108</f>
        <v>0.35404986242713693</v>
      </c>
      <c r="AH33">
        <f>'2019'!$F108</f>
        <v>0.57972575059472697</v>
      </c>
      <c r="AI33">
        <f>'2019'!$G108</f>
        <v>1.8739219985869813E-3</v>
      </c>
      <c r="AJ33">
        <f>'2019'!$H108</f>
        <v>1.9765910620015432E-2</v>
      </c>
      <c r="AK33" s="7">
        <f>'2019'!$I108</f>
        <v>166.54541132463186</v>
      </c>
      <c r="AL33">
        <f>'2019'!$J108</f>
        <v>8.8537970071824509E-3</v>
      </c>
      <c r="AM33">
        <f>'2020'!$D108</f>
        <v>9.2725246112278115E-2</v>
      </c>
      <c r="AN33">
        <f>'2020'!$E108</f>
        <v>0.35143421911519712</v>
      </c>
      <c r="AO33">
        <f>'2020'!$F108</f>
        <v>0.50424090389582876</v>
      </c>
      <c r="AP33">
        <f>'2020'!$G108</f>
        <v>1.8739212869985323E-3</v>
      </c>
      <c r="AQ33">
        <f>'2020'!$H108</f>
        <v>1.7307373778617977E-2</v>
      </c>
      <c r="AR33" s="7">
        <f>'2020'!$I108</f>
        <v>166.54540745667055</v>
      </c>
      <c r="AS33">
        <f>'2020'!$J108</f>
        <v>8.3664496800051249E-3</v>
      </c>
    </row>
    <row r="34" spans="1:45" x14ac:dyDescent="0.25">
      <c r="A34" s="27" t="s">
        <v>164</v>
      </c>
      <c r="B34" s="25">
        <v>180</v>
      </c>
      <c r="C34" s="25">
        <v>0.4</v>
      </c>
      <c r="D34">
        <f>'2015'!$D178</f>
        <v>0.11682997373561009</v>
      </c>
      <c r="E34">
        <f>'2015'!$E178</f>
        <v>0.36497212028051473</v>
      </c>
      <c r="F34">
        <f>'2015'!$F178</f>
        <v>1.0385414755938709</v>
      </c>
      <c r="G34">
        <f>'2015'!$G178</f>
        <v>1.9217538838910294E-3</v>
      </c>
      <c r="H34">
        <f>'2015'!$H178</f>
        <v>3.3827044716151104E-2</v>
      </c>
      <c r="I34" s="7">
        <f>'2015'!$I178</f>
        <v>170.79652191325471</v>
      </c>
      <c r="J34">
        <f>'2015'!$J178</f>
        <v>1.054137705305298E-2</v>
      </c>
      <c r="K34">
        <f>'2016'!$D178</f>
        <v>0.1106987062146227</v>
      </c>
      <c r="L34">
        <f>'2016'!$E178</f>
        <v>0.35915897242367645</v>
      </c>
      <c r="M34">
        <f>'2016'!$F178</f>
        <v>0.92069260880701342</v>
      </c>
      <c r="N34">
        <f>'2016'!$G178</f>
        <v>1.9217541496869973E-3</v>
      </c>
      <c r="O34">
        <f>'2016'!$H178</f>
        <v>3.0248722998186674E-2</v>
      </c>
      <c r="P34" s="7">
        <f>'2016'!$I178</f>
        <v>170.79658133294615</v>
      </c>
      <c r="Q34">
        <f>'2016'!$J178</f>
        <v>9.9881647421294784E-3</v>
      </c>
      <c r="R34">
        <f>'2017'!$D178</f>
        <v>0.10466775108034276</v>
      </c>
      <c r="S34">
        <f>'2017'!$E178</f>
        <v>0.35438875349240817</v>
      </c>
      <c r="T34">
        <f>'2017'!$F178</f>
        <v>0.80975155365133689</v>
      </c>
      <c r="U34">
        <f>'2017'!$G178</f>
        <v>1.9217537823348386E-3</v>
      </c>
      <c r="V34">
        <f>'2017'!$H178</f>
        <v>2.6872167392374725E-2</v>
      </c>
      <c r="W34" s="7">
        <f>'2017'!$I178</f>
        <v>170.7965275458462</v>
      </c>
      <c r="X34">
        <f>'2017'!$J178</f>
        <v>9.4440053907250358E-3</v>
      </c>
      <c r="Y34">
        <f>'2018'!$D178</f>
        <v>9.8805100782597188E-2</v>
      </c>
      <c r="Z34">
        <f>'2018'!$E178</f>
        <v>0.35036767110371425</v>
      </c>
      <c r="AA34">
        <f>'2018'!$F178</f>
        <v>0.70752625158309979</v>
      </c>
      <c r="AB34">
        <f>'2018'!$G178</f>
        <v>1.9217538744324835E-3</v>
      </c>
      <c r="AC34">
        <f>'2018'!$H178</f>
        <v>2.3710607862665187E-2</v>
      </c>
      <c r="AD34" s="7">
        <f>'2018'!$I178</f>
        <v>170.79650239635384</v>
      </c>
      <c r="AE34">
        <f>'2018'!$J178</f>
        <v>8.9150258809723524E-3</v>
      </c>
      <c r="AF34">
        <f>'2019'!$D178</f>
        <v>9.3279677547361536E-2</v>
      </c>
      <c r="AG34">
        <f>'2019'!$E178</f>
        <v>0.3469789578869672</v>
      </c>
      <c r="AH34">
        <f>'2019'!$F178</f>
        <v>0.61771077996380697</v>
      </c>
      <c r="AI34">
        <f>'2019'!$G178</f>
        <v>1.9217535571108342E-3</v>
      </c>
      <c r="AJ34">
        <f>'2019'!$H178</f>
        <v>2.0842623410643534E-2</v>
      </c>
      <c r="AK34" s="7">
        <f>'2019'!$I178</f>
        <v>170.79652620178499</v>
      </c>
      <c r="AL34">
        <f>'2019'!$J178</f>
        <v>8.4164749041931771E-3</v>
      </c>
      <c r="AM34">
        <f>'2020'!$D178</f>
        <v>8.8062389127259652E-2</v>
      </c>
      <c r="AN34">
        <f>'2020'!$E178</f>
        <v>0.3441735162282189</v>
      </c>
      <c r="AO34">
        <f>'2020'!$F178</f>
        <v>0.53775960139519463</v>
      </c>
      <c r="AP34">
        <f>'2020'!$G178</f>
        <v>1.9217534791322944E-3</v>
      </c>
      <c r="AQ34">
        <f>'2020'!$H178</f>
        <v>1.8221327922139662E-2</v>
      </c>
      <c r="AR34" s="7">
        <f>'2020'!$I178</f>
        <v>170.79649043426906</v>
      </c>
      <c r="AS34">
        <f>'2020'!$J178</f>
        <v>7.9457285426872831E-3</v>
      </c>
    </row>
    <row r="35" spans="1:45" x14ac:dyDescent="0.25">
      <c r="A35" s="27" t="s">
        <v>166</v>
      </c>
      <c r="B35" s="25">
        <v>235</v>
      </c>
      <c r="C35" s="25">
        <v>0.38</v>
      </c>
      <c r="D35">
        <f>'2015'!$D108</f>
        <v>0.12515266972462641</v>
      </c>
      <c r="E35">
        <f>'2015'!$E108</f>
        <v>0.37018045112299897</v>
      </c>
      <c r="F35">
        <f>'2015'!$F108</f>
        <v>0.98177634452702278</v>
      </c>
      <c r="G35">
        <f>'2015'!$G108</f>
        <v>1.8739213528134147E-3</v>
      </c>
      <c r="H35">
        <f>'2015'!$H108</f>
        <v>3.2769564138102551E-2</v>
      </c>
      <c r="I35" s="7">
        <f>'2015'!$I108</f>
        <v>166.54539483446186</v>
      </c>
      <c r="J35">
        <f>'2015'!$J108</f>
        <v>1.1292325418869483E-2</v>
      </c>
      <c r="K35">
        <f>'2016'!$D108</f>
        <v>0.11792220738547983</v>
      </c>
      <c r="L35">
        <f>'2016'!$E108</f>
        <v>0.36512193352152528</v>
      </c>
      <c r="M35">
        <f>'2016'!$F108</f>
        <v>0.86781464282266541</v>
      </c>
      <c r="N35">
        <f>'2016'!$G108</f>
        <v>1.8739217498104396E-3</v>
      </c>
      <c r="O35">
        <f>'2016'!$H108</f>
        <v>2.9041712295589866E-2</v>
      </c>
      <c r="P35" s="7">
        <f>'2016'!$I108</f>
        <v>166.54541562452522</v>
      </c>
      <c r="Q35">
        <f>'2016'!$J108</f>
        <v>1.063993297769634E-2</v>
      </c>
      <c r="R35">
        <f>'2017'!$D108</f>
        <v>0.11087757550731449</v>
      </c>
      <c r="S35">
        <f>'2017'!$E108</f>
        <v>0.36084059419635078</v>
      </c>
      <c r="T35">
        <f>'2017'!$F108</f>
        <v>0.76252068294710729</v>
      </c>
      <c r="U35">
        <f>'2017'!$G108</f>
        <v>1.8739208211501423E-3</v>
      </c>
      <c r="V35">
        <f>'2017'!$H108</f>
        <v>2.5639490365790139E-2</v>
      </c>
      <c r="W35" s="7">
        <f>'2017'!$I108</f>
        <v>166.54536773790227</v>
      </c>
      <c r="X35">
        <f>'2017'!$J108</f>
        <v>1.0004303079381925E-2</v>
      </c>
      <c r="Y35">
        <f>'2018'!$D108</f>
        <v>0.1041767465113491</v>
      </c>
      <c r="Z35">
        <f>'2018'!$E108</f>
        <v>0.35715448415065187</v>
      </c>
      <c r="AA35">
        <f>'2018'!$F108</f>
        <v>0.66603800397589519</v>
      </c>
      <c r="AB35">
        <f>'2018'!$G108</f>
        <v>1.873921930245647E-3</v>
      </c>
      <c r="AC35">
        <f>'2018'!$H108</f>
        <v>2.2542352700611085E-2</v>
      </c>
      <c r="AD35" s="7">
        <f>'2018'!$I108</f>
        <v>166.54543379579488</v>
      </c>
      <c r="AE35">
        <f>'2018'!$J108</f>
        <v>9.3996999235005617E-3</v>
      </c>
      <c r="AF35">
        <f>'2019'!$D108</f>
        <v>9.8126501853339099E-2</v>
      </c>
      <c r="AG35">
        <f>'2019'!$E108</f>
        <v>0.35404986242713693</v>
      </c>
      <c r="AH35">
        <f>'2019'!$F108</f>
        <v>0.57972575059472697</v>
      </c>
      <c r="AI35">
        <f>'2019'!$G108</f>
        <v>1.8739219985869813E-3</v>
      </c>
      <c r="AJ35">
        <f>'2019'!$H108</f>
        <v>1.9765910620015432E-2</v>
      </c>
      <c r="AK35" s="7">
        <f>'2019'!$I108</f>
        <v>166.54541132463186</v>
      </c>
      <c r="AL35">
        <f>'2019'!$J108</f>
        <v>8.8537970071824509E-3</v>
      </c>
      <c r="AM35">
        <f>'2020'!$D108</f>
        <v>9.2725246112278115E-2</v>
      </c>
      <c r="AN35">
        <f>'2020'!$E108</f>
        <v>0.35143421911519712</v>
      </c>
      <c r="AO35">
        <f>'2020'!$F108</f>
        <v>0.50424090389582876</v>
      </c>
      <c r="AP35">
        <f>'2020'!$G108</f>
        <v>1.8739212869985323E-3</v>
      </c>
      <c r="AQ35">
        <f>'2020'!$H108</f>
        <v>1.7307373778617977E-2</v>
      </c>
      <c r="AR35" s="7">
        <f>'2020'!$I108</f>
        <v>166.54540745667055</v>
      </c>
      <c r="AS35">
        <f>'2020'!$J108</f>
        <v>8.3664496800051249E-3</v>
      </c>
    </row>
    <row r="36" spans="1:45" x14ac:dyDescent="0.25">
      <c r="A36" s="531" t="s">
        <v>167</v>
      </c>
      <c r="B36" s="25">
        <v>235</v>
      </c>
      <c r="C36" s="25">
        <v>0.38</v>
      </c>
      <c r="D36">
        <f>'2015'!$D108</f>
        <v>0.12515266972462641</v>
      </c>
      <c r="E36">
        <f>'2015'!$E108</f>
        <v>0.37018045112299897</v>
      </c>
      <c r="F36">
        <f>'2015'!$F108</f>
        <v>0.98177634452702278</v>
      </c>
      <c r="G36">
        <f>'2015'!$G108</f>
        <v>1.8739213528134147E-3</v>
      </c>
      <c r="H36">
        <f>'2015'!$H108</f>
        <v>3.2769564138102551E-2</v>
      </c>
      <c r="I36" s="7">
        <f>'2015'!$I108</f>
        <v>166.54539483446186</v>
      </c>
      <c r="J36">
        <f>'2015'!$J108</f>
        <v>1.1292325418869483E-2</v>
      </c>
      <c r="K36">
        <f>'2016'!$D108</f>
        <v>0.11792220738547983</v>
      </c>
      <c r="L36">
        <f>'2016'!$E108</f>
        <v>0.36512193352152528</v>
      </c>
      <c r="M36">
        <f>'2016'!$F108</f>
        <v>0.86781464282266541</v>
      </c>
      <c r="N36">
        <f>'2016'!$G108</f>
        <v>1.8739217498104396E-3</v>
      </c>
      <c r="O36">
        <f>'2016'!$H108</f>
        <v>2.9041712295589866E-2</v>
      </c>
      <c r="P36" s="7">
        <f>'2016'!$I108</f>
        <v>166.54541562452522</v>
      </c>
      <c r="Q36">
        <f>'2016'!$J108</f>
        <v>1.063993297769634E-2</v>
      </c>
      <c r="R36">
        <f>'2017'!$D108</f>
        <v>0.11087757550731449</v>
      </c>
      <c r="S36">
        <f>'2017'!$E108</f>
        <v>0.36084059419635078</v>
      </c>
      <c r="T36">
        <f>'2017'!$F108</f>
        <v>0.76252068294710729</v>
      </c>
      <c r="U36">
        <f>'2017'!$G108</f>
        <v>1.8739208211501423E-3</v>
      </c>
      <c r="V36">
        <f>'2017'!$H108</f>
        <v>2.5639490365790139E-2</v>
      </c>
      <c r="W36" s="7">
        <f>'2017'!$I108</f>
        <v>166.54536773790227</v>
      </c>
      <c r="X36">
        <f>'2017'!$J108</f>
        <v>1.0004303079381925E-2</v>
      </c>
      <c r="Y36">
        <f>'2018'!$D108</f>
        <v>0.1041767465113491</v>
      </c>
      <c r="Z36">
        <f>'2018'!$E108</f>
        <v>0.35715448415065187</v>
      </c>
      <c r="AA36">
        <f>'2018'!$F108</f>
        <v>0.66603800397589519</v>
      </c>
      <c r="AB36">
        <f>'2018'!$G108</f>
        <v>1.873921930245647E-3</v>
      </c>
      <c r="AC36">
        <f>'2018'!$H108</f>
        <v>2.2542352700611085E-2</v>
      </c>
      <c r="AD36" s="7">
        <f>'2018'!$I108</f>
        <v>166.54543379579488</v>
      </c>
      <c r="AE36">
        <f>'2018'!$J108</f>
        <v>9.3996999235005617E-3</v>
      </c>
      <c r="AF36">
        <f>'2019'!$D108</f>
        <v>9.8126501853339099E-2</v>
      </c>
      <c r="AG36">
        <f>'2019'!$E108</f>
        <v>0.35404986242713693</v>
      </c>
      <c r="AH36">
        <f>'2019'!$F108</f>
        <v>0.57972575059472697</v>
      </c>
      <c r="AI36">
        <f>'2019'!$G108</f>
        <v>1.8739219985869813E-3</v>
      </c>
      <c r="AJ36">
        <f>'2019'!$H108</f>
        <v>1.9765910620015432E-2</v>
      </c>
      <c r="AK36" s="7">
        <f>'2019'!$I108</f>
        <v>166.54541132463186</v>
      </c>
      <c r="AL36">
        <f>'2019'!$J108</f>
        <v>8.8537970071824509E-3</v>
      </c>
      <c r="AM36">
        <f>'2020'!$D108</f>
        <v>9.2725246112278115E-2</v>
      </c>
      <c r="AN36">
        <f>'2020'!$E108</f>
        <v>0.35143421911519712</v>
      </c>
      <c r="AO36">
        <f>'2020'!$F108</f>
        <v>0.50424090389582876</v>
      </c>
      <c r="AP36">
        <f>'2020'!$G108</f>
        <v>1.8739212869985323E-3</v>
      </c>
      <c r="AQ36">
        <f>'2020'!$H108</f>
        <v>1.7307373778617977E-2</v>
      </c>
      <c r="AR36" s="7">
        <f>'2020'!$I108</f>
        <v>166.54540745667055</v>
      </c>
      <c r="AS36">
        <f>'2020'!$J108</f>
        <v>8.3664496800051249E-3</v>
      </c>
    </row>
    <row r="37" spans="1:45" x14ac:dyDescent="0.25">
      <c r="A37" s="27" t="s">
        <v>168</v>
      </c>
      <c r="B37" s="25">
        <v>235</v>
      </c>
      <c r="C37" s="25">
        <v>0.38</v>
      </c>
      <c r="D37">
        <f>'2015'!$D108</f>
        <v>0.12515266972462641</v>
      </c>
      <c r="E37">
        <f>'2015'!$E108</f>
        <v>0.37018045112299897</v>
      </c>
      <c r="F37">
        <f>'2015'!$F108</f>
        <v>0.98177634452702278</v>
      </c>
      <c r="G37">
        <f>'2015'!$G108</f>
        <v>1.8739213528134147E-3</v>
      </c>
      <c r="H37">
        <f>'2015'!$H108</f>
        <v>3.2769564138102551E-2</v>
      </c>
      <c r="I37" s="7">
        <f>'2015'!$I108</f>
        <v>166.54539483446186</v>
      </c>
      <c r="J37">
        <f>'2015'!$J108</f>
        <v>1.1292325418869483E-2</v>
      </c>
      <c r="K37">
        <f>'2016'!$D108</f>
        <v>0.11792220738547983</v>
      </c>
      <c r="L37">
        <f>'2016'!$E108</f>
        <v>0.36512193352152528</v>
      </c>
      <c r="M37">
        <f>'2016'!$F108</f>
        <v>0.86781464282266541</v>
      </c>
      <c r="N37">
        <f>'2016'!$G108</f>
        <v>1.8739217498104396E-3</v>
      </c>
      <c r="O37">
        <f>'2016'!$H108</f>
        <v>2.9041712295589866E-2</v>
      </c>
      <c r="P37" s="7">
        <f>'2016'!$I108</f>
        <v>166.54541562452522</v>
      </c>
      <c r="Q37">
        <f>'2016'!$J108</f>
        <v>1.063993297769634E-2</v>
      </c>
      <c r="R37">
        <f>'2017'!$D108</f>
        <v>0.11087757550731449</v>
      </c>
      <c r="S37">
        <f>'2017'!$E108</f>
        <v>0.36084059419635078</v>
      </c>
      <c r="T37">
        <f>'2017'!$F108</f>
        <v>0.76252068294710729</v>
      </c>
      <c r="U37">
        <f>'2017'!$G108</f>
        <v>1.8739208211501423E-3</v>
      </c>
      <c r="V37">
        <f>'2017'!$H108</f>
        <v>2.5639490365790139E-2</v>
      </c>
      <c r="W37" s="7">
        <f>'2017'!$I108</f>
        <v>166.54536773790227</v>
      </c>
      <c r="X37">
        <f>'2017'!$J108</f>
        <v>1.0004303079381925E-2</v>
      </c>
      <c r="Y37">
        <f>'2018'!$D108</f>
        <v>0.1041767465113491</v>
      </c>
      <c r="Z37">
        <f>'2018'!$E108</f>
        <v>0.35715448415065187</v>
      </c>
      <c r="AA37">
        <f>'2018'!$F108</f>
        <v>0.66603800397589519</v>
      </c>
      <c r="AB37">
        <f>'2018'!$G108</f>
        <v>1.873921930245647E-3</v>
      </c>
      <c r="AC37">
        <f>'2018'!$H108</f>
        <v>2.2542352700611085E-2</v>
      </c>
      <c r="AD37" s="7">
        <f>'2018'!$I108</f>
        <v>166.54543379579488</v>
      </c>
      <c r="AE37">
        <f>'2018'!$J108</f>
        <v>9.3996999235005617E-3</v>
      </c>
      <c r="AF37">
        <f>'2019'!$D108</f>
        <v>9.8126501853339099E-2</v>
      </c>
      <c r="AG37">
        <f>'2019'!$E108</f>
        <v>0.35404986242713693</v>
      </c>
      <c r="AH37">
        <f>'2019'!$F108</f>
        <v>0.57972575059472697</v>
      </c>
      <c r="AI37">
        <f>'2019'!$G108</f>
        <v>1.8739219985869813E-3</v>
      </c>
      <c r="AJ37">
        <f>'2019'!$H108</f>
        <v>1.9765910620015432E-2</v>
      </c>
      <c r="AK37" s="7">
        <f>'2019'!$I108</f>
        <v>166.54541132463186</v>
      </c>
      <c r="AL37">
        <f>'2019'!$J108</f>
        <v>8.8537970071824509E-3</v>
      </c>
      <c r="AM37">
        <f>'2020'!$D108</f>
        <v>9.2725246112278115E-2</v>
      </c>
      <c r="AN37">
        <f>'2020'!$E108</f>
        <v>0.35143421911519712</v>
      </c>
      <c r="AO37">
        <f>'2020'!$F108</f>
        <v>0.50424090389582876</v>
      </c>
      <c r="AP37">
        <f>'2020'!$G108</f>
        <v>1.8739212869985323E-3</v>
      </c>
      <c r="AQ37">
        <f>'2020'!$H108</f>
        <v>1.7307373778617977E-2</v>
      </c>
      <c r="AR37" s="7">
        <f>'2020'!$I108</f>
        <v>166.54540745667055</v>
      </c>
      <c r="AS37">
        <f>'2020'!$J108</f>
        <v>8.3664496800051249E-3</v>
      </c>
    </row>
    <row r="38" spans="1:45" x14ac:dyDescent="0.25">
      <c r="A38" s="27" t="s">
        <v>213</v>
      </c>
      <c r="B38" s="25">
        <v>175</v>
      </c>
      <c r="C38" s="25">
        <v>0.38</v>
      </c>
      <c r="D38">
        <f>'2015'!$D108</f>
        <v>0.12515266972462641</v>
      </c>
      <c r="E38">
        <f>'2015'!$E108</f>
        <v>0.37018045112299897</v>
      </c>
      <c r="F38">
        <f>'2015'!$F108</f>
        <v>0.98177634452702278</v>
      </c>
      <c r="G38">
        <f>'2015'!$G108</f>
        <v>1.8739213528134147E-3</v>
      </c>
      <c r="H38">
        <f>'2015'!$H108</f>
        <v>3.2769564138102551E-2</v>
      </c>
      <c r="I38" s="7">
        <f>'2015'!$I108</f>
        <v>166.54539483446186</v>
      </c>
      <c r="J38">
        <f>'2015'!$J108</f>
        <v>1.1292325418869483E-2</v>
      </c>
      <c r="K38">
        <f>'2016'!$D108</f>
        <v>0.11792220738547983</v>
      </c>
      <c r="L38">
        <f>'2016'!$E108</f>
        <v>0.36512193352152528</v>
      </c>
      <c r="M38">
        <f>'2016'!$F108</f>
        <v>0.86781464282266541</v>
      </c>
      <c r="N38">
        <f>'2016'!$G108</f>
        <v>1.8739217498104396E-3</v>
      </c>
      <c r="O38">
        <f>'2016'!$H108</f>
        <v>2.9041712295589866E-2</v>
      </c>
      <c r="P38" s="7">
        <f>'2016'!$I108</f>
        <v>166.54541562452522</v>
      </c>
      <c r="Q38">
        <f>'2016'!$J108</f>
        <v>1.063993297769634E-2</v>
      </c>
      <c r="R38">
        <f>'2017'!$D108</f>
        <v>0.11087757550731449</v>
      </c>
      <c r="S38">
        <f>'2017'!$E108</f>
        <v>0.36084059419635078</v>
      </c>
      <c r="T38">
        <f>'2017'!$F108</f>
        <v>0.76252068294710729</v>
      </c>
      <c r="U38">
        <f>'2017'!$G108</f>
        <v>1.8739208211501423E-3</v>
      </c>
      <c r="V38">
        <f>'2017'!$H108</f>
        <v>2.5639490365790139E-2</v>
      </c>
      <c r="W38" s="7">
        <f>'2017'!$I108</f>
        <v>166.54536773790227</v>
      </c>
      <c r="X38">
        <f>'2017'!$J108</f>
        <v>1.0004303079381925E-2</v>
      </c>
      <c r="Y38">
        <f>'2018'!$D108</f>
        <v>0.1041767465113491</v>
      </c>
      <c r="Z38">
        <f>'2018'!$E108</f>
        <v>0.35715448415065187</v>
      </c>
      <c r="AA38">
        <f>'2018'!$F108</f>
        <v>0.66603800397589519</v>
      </c>
      <c r="AB38">
        <f>'2018'!$G108</f>
        <v>1.873921930245647E-3</v>
      </c>
      <c r="AC38">
        <f>'2018'!$H108</f>
        <v>2.2542352700611085E-2</v>
      </c>
      <c r="AD38" s="7">
        <f>'2018'!$I108</f>
        <v>166.54543379579488</v>
      </c>
      <c r="AE38">
        <f>'2018'!$J108</f>
        <v>9.3996999235005617E-3</v>
      </c>
      <c r="AF38">
        <f>'2019'!$D108</f>
        <v>9.8126501853339099E-2</v>
      </c>
      <c r="AG38">
        <f>'2019'!$E108</f>
        <v>0.35404986242713693</v>
      </c>
      <c r="AH38">
        <f>'2019'!$F108</f>
        <v>0.57972575059472697</v>
      </c>
      <c r="AI38">
        <f>'2019'!$G108</f>
        <v>1.8739219985869813E-3</v>
      </c>
      <c r="AJ38">
        <f>'2019'!$H108</f>
        <v>1.9765910620015432E-2</v>
      </c>
      <c r="AK38" s="7">
        <f>'2019'!$I108</f>
        <v>166.54541132463186</v>
      </c>
      <c r="AL38">
        <f>'2019'!$J108</f>
        <v>8.8537970071824509E-3</v>
      </c>
      <c r="AM38">
        <f>'2020'!$D108</f>
        <v>9.2725246112278115E-2</v>
      </c>
      <c r="AN38">
        <f>'2020'!$E108</f>
        <v>0.35143421911519712</v>
      </c>
      <c r="AO38">
        <f>'2020'!$F108</f>
        <v>0.50424090389582876</v>
      </c>
      <c r="AP38">
        <f>'2020'!$G108</f>
        <v>1.8739212869985323E-3</v>
      </c>
      <c r="AQ38">
        <f>'2020'!$H108</f>
        <v>1.7307373778617977E-2</v>
      </c>
      <c r="AR38" s="7">
        <f>'2020'!$I108</f>
        <v>166.54540745667055</v>
      </c>
      <c r="AS38">
        <f>'2020'!$J108</f>
        <v>8.3664496800051249E-3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'2015'!$D41</f>
        <v>8.9194427456220915E-2</v>
      </c>
      <c r="E39" s="562">
        <f>'2015'!$E41</f>
        <v>0.47588598065531251</v>
      </c>
      <c r="F39" s="562">
        <f>'2015'!$F41</f>
        <v>0.62485036611149536</v>
      </c>
      <c r="G39" s="562">
        <f>'2015'!$G41</f>
        <v>8.6981465614259827E-4</v>
      </c>
      <c r="H39" s="562">
        <f>'2015'!$H41</f>
        <v>4.8645513154218903E-2</v>
      </c>
      <c r="I39" s="7">
        <f>'2015'!$I41</f>
        <v>74.149777594362092</v>
      </c>
      <c r="J39" s="562">
        <f>'2015'!$J41</f>
        <v>8.0478710667049036E-3</v>
      </c>
      <c r="K39" s="562">
        <f>'2016'!$D41</f>
        <v>8.088743621564265E-2</v>
      </c>
      <c r="L39" s="562">
        <f>'2016'!$E41</f>
        <v>0.47242368137001767</v>
      </c>
      <c r="M39" s="562">
        <f>'2016'!$F41</f>
        <v>0.57832333595570939</v>
      </c>
      <c r="N39" s="562">
        <f>'2016'!$G41</f>
        <v>8.6981466581136514E-4</v>
      </c>
      <c r="O39" s="562">
        <f>'2016'!$H41</f>
        <v>4.3553220005783246E-2</v>
      </c>
      <c r="P39" s="7">
        <f>'2016'!$I41</f>
        <v>74.149761562139503</v>
      </c>
      <c r="Q39" s="562">
        <f>'2016'!$J41</f>
        <v>7.2983432328555444E-3</v>
      </c>
      <c r="R39" s="562">
        <f>'2017'!$D41</f>
        <v>7.2761761685150181E-2</v>
      </c>
      <c r="S39" s="562">
        <f>'2017'!$E41</f>
        <v>0.46910704585317148</v>
      </c>
      <c r="T39" s="562">
        <f>'2017'!$F41</f>
        <v>0.53312445478708514</v>
      </c>
      <c r="U39" s="562">
        <f>'2017'!$G41</f>
        <v>8.6981483894468532E-4</v>
      </c>
      <c r="V39" s="562">
        <f>'2017'!$H41</f>
        <v>3.8467476901284173E-2</v>
      </c>
      <c r="W39" s="7">
        <f>'2017'!$I41</f>
        <v>74.149765435550776</v>
      </c>
      <c r="X39" s="562">
        <f>'2017'!$J41</f>
        <v>6.5651775720710461E-3</v>
      </c>
      <c r="Y39" s="562">
        <f>'2018'!$D41</f>
        <v>6.5035449166983644E-2</v>
      </c>
      <c r="Z39" s="562">
        <f>'2018'!$E41</f>
        <v>0.4660526350357202</v>
      </c>
      <c r="AA39" s="562">
        <f>'2018'!$F41</f>
        <v>0.48982019071219368</v>
      </c>
      <c r="AB39" s="562">
        <f>'2018'!$G41</f>
        <v>8.6981447951418422E-4</v>
      </c>
      <c r="AC39" s="562">
        <f>'2018'!$H41</f>
        <v>3.3516309506929007E-2</v>
      </c>
      <c r="AD39" s="7">
        <f>'2018'!$I41</f>
        <v>74.149755370363465</v>
      </c>
      <c r="AE39" s="562">
        <f>'2018'!$J41</f>
        <v>5.8680430255882874E-3</v>
      </c>
      <c r="AF39" s="562">
        <f>'2019'!$D41</f>
        <v>5.788476499218987E-2</v>
      </c>
      <c r="AG39" s="562">
        <f>'2019'!$E41</f>
        <v>0.46330471430567344</v>
      </c>
      <c r="AH39" s="562">
        <f>'2019'!$F41</f>
        <v>0.44903550513051782</v>
      </c>
      <c r="AI39" s="562">
        <f>'2019'!$G41</f>
        <v>8.6981496082941278E-4</v>
      </c>
      <c r="AJ39" s="562">
        <f>'2019'!$H41</f>
        <v>2.8796859936875436E-2</v>
      </c>
      <c r="AK39" s="7">
        <f>'2019'!$I41</f>
        <v>74.149756971132675</v>
      </c>
      <c r="AL39" s="562">
        <f>'2019'!$J41</f>
        <v>5.2228499935204785E-3</v>
      </c>
      <c r="AM39" s="562">
        <f>'2020'!$D41</f>
        <v>5.2432956824627411E-2</v>
      </c>
      <c r="AN39" s="562">
        <f>'2020'!$E41</f>
        <v>0.46128306481617182</v>
      </c>
      <c r="AO39" s="562">
        <f>'2020'!$F41</f>
        <v>0.41276235354276336</v>
      </c>
      <c r="AP39" s="562">
        <f>'2020'!$G41</f>
        <v>8.6981472599564533E-4</v>
      </c>
      <c r="AQ39" s="562">
        <f>'2020'!$H41</f>
        <v>2.4915900507412405E-2</v>
      </c>
      <c r="AR39" s="7">
        <f>'2020'!$I41</f>
        <v>74.149751216943628</v>
      </c>
      <c r="AS39" s="562">
        <f>'2020'!$J41</f>
        <v>4.7309412577465279E-3</v>
      </c>
    </row>
    <row r="40" spans="1:45" x14ac:dyDescent="0.25">
      <c r="A40" s="27" t="s">
        <v>580</v>
      </c>
      <c r="B40" s="134">
        <v>88</v>
      </c>
      <c r="C40" s="134">
        <v>0.68</v>
      </c>
      <c r="D40" s="562">
        <f>'2015'!$D222</f>
        <v>8.7955694152625344E-2</v>
      </c>
      <c r="E40" s="562">
        <f>'2015'!$E222</f>
        <v>0.50555270131761576</v>
      </c>
      <c r="F40" s="562">
        <f>'2015'!$F222</f>
        <v>0.58933946645446467</v>
      </c>
      <c r="G40" s="562">
        <f>'2015'!$G222</f>
        <v>8.8025899780622727E-4</v>
      </c>
      <c r="H40" s="562">
        <f>'2015'!$H222</f>
        <v>4.6600457252215434E-2</v>
      </c>
      <c r="I40" s="7">
        <f>'2015'!$I222</f>
        <v>75.040106767621964</v>
      </c>
      <c r="J40" s="562">
        <f>'2015'!$J222</f>
        <v>7.9361010948412886E-3</v>
      </c>
      <c r="K40" s="562">
        <f>'2016'!$D222</f>
        <v>7.7350469494183435E-2</v>
      </c>
      <c r="L40" s="562">
        <f>'2016'!$E222</f>
        <v>0.50168655138603524</v>
      </c>
      <c r="M40" s="562">
        <f>'2016'!$F222</f>
        <v>0.53236808560333904</v>
      </c>
      <c r="N40" s="562">
        <f>'2016'!$G222</f>
        <v>8.8025852246575076E-4</v>
      </c>
      <c r="O40" s="562">
        <f>'2016'!$H222</f>
        <v>3.9192407788964947E-2</v>
      </c>
      <c r="P40" s="7">
        <f>'2016'!$I222</f>
        <v>75.040091008231684</v>
      </c>
      <c r="Q40" s="562">
        <f>'2016'!$J222</f>
        <v>6.9792086054076847E-3</v>
      </c>
      <c r="R40" s="562">
        <f>'2017'!$D222</f>
        <v>7.0116746532446331E-2</v>
      </c>
      <c r="S40" s="562">
        <f>'2017'!$E222</f>
        <v>0.49958237595612087</v>
      </c>
      <c r="T40" s="562">
        <f>'2017'!$F222</f>
        <v>0.48549859496686681</v>
      </c>
      <c r="U40" s="562">
        <f>'2017'!$G222</f>
        <v>8.8025906727070495E-4</v>
      </c>
      <c r="V40" s="562">
        <f>'2017'!$H222</f>
        <v>3.3620739999875568E-2</v>
      </c>
      <c r="W40" s="7">
        <f>'2017'!$I222</f>
        <v>75.04010701718272</v>
      </c>
      <c r="X40" s="562">
        <f>'2017'!$J222</f>
        <v>6.3265212608436218E-3</v>
      </c>
      <c r="Y40" s="562">
        <f>'2018'!$D222</f>
        <v>6.4671046373677321E-2</v>
      </c>
      <c r="Z40" s="562">
        <f>'2018'!$E222</f>
        <v>0.49828076993283715</v>
      </c>
      <c r="AA40" s="562">
        <f>'2018'!$F222</f>
        <v>0.44419940827312021</v>
      </c>
      <c r="AB40" s="562">
        <f>'2018'!$G222</f>
        <v>8.8025889143317259E-4</v>
      </c>
      <c r="AC40" s="562">
        <f>'2018'!$H222</f>
        <v>2.9062558165371281E-2</v>
      </c>
      <c r="AD40" s="7">
        <f>'2018'!$I222</f>
        <v>75.040110741903291</v>
      </c>
      <c r="AE40" s="562">
        <f>'2018'!$J222</f>
        <v>5.8351652717944765E-3</v>
      </c>
      <c r="AF40" s="562">
        <f>'2019'!$D222</f>
        <v>6.0025662663760616E-2</v>
      </c>
      <c r="AG40" s="562">
        <f>'2019'!$E222</f>
        <v>0.49728218875951191</v>
      </c>
      <c r="AH40" s="562">
        <f>'2019'!$F222</f>
        <v>0.4063983716191843</v>
      </c>
      <c r="AI40" s="562">
        <f>'2019'!$G222</f>
        <v>8.8025902612352011E-4</v>
      </c>
      <c r="AJ40" s="562">
        <f>'2019'!$H222</f>
        <v>2.5000128837762401E-2</v>
      </c>
      <c r="AK40" s="7">
        <f>'2019'!$I222</f>
        <v>75.040113678471272</v>
      </c>
      <c r="AL40" s="562">
        <f>'2019'!$J222</f>
        <v>5.4160196010833899E-3</v>
      </c>
      <c r="AM40" s="562">
        <f>'2020'!$D222</f>
        <v>5.5510816431680862E-2</v>
      </c>
      <c r="AN40" s="562">
        <f>'2020'!$E222</f>
        <v>0.4959246277446715</v>
      </c>
      <c r="AO40" s="562">
        <f>'2020'!$F222</f>
        <v>0.3693718128891354</v>
      </c>
      <c r="AP40" s="562">
        <f>'2020'!$G222</f>
        <v>8.8025877805070977E-4</v>
      </c>
      <c r="AQ40" s="562">
        <f>'2020'!$H222</f>
        <v>2.1011585716730681E-2</v>
      </c>
      <c r="AR40" s="7">
        <f>'2020'!$I222</f>
        <v>75.040114179628446</v>
      </c>
      <c r="AS40" s="562">
        <f>'2020'!$J222</f>
        <v>5.0086515341831389E-3</v>
      </c>
    </row>
    <row r="41" spans="1:45" x14ac:dyDescent="0.25">
      <c r="A41" s="531" t="s">
        <v>581</v>
      </c>
      <c r="B41" s="134">
        <v>85</v>
      </c>
      <c r="C41" s="134">
        <v>0.64</v>
      </c>
      <c r="D41" s="562">
        <f>'2015'!$D61</f>
        <v>0.11668351522751008</v>
      </c>
      <c r="E41" s="562">
        <f>'2015'!$E61</f>
        <v>0.56462778829639482</v>
      </c>
      <c r="F41" s="562">
        <f>'2015'!$F61</f>
        <v>0.73738475401109616</v>
      </c>
      <c r="G41" s="562">
        <f>'2015'!$G61</f>
        <v>9.7528684475001604E-4</v>
      </c>
      <c r="H41" s="562">
        <f>'2015'!$H61</f>
        <v>6.2922889977327021E-2</v>
      </c>
      <c r="I41" s="7">
        <f>'2015'!$I61</f>
        <v>83.141017958227678</v>
      </c>
      <c r="J41" s="562">
        <f>'2015'!$J61</f>
        <v>1.0528166694101284E-2</v>
      </c>
      <c r="K41" s="562">
        <f>'2016'!$D61</f>
        <v>0.1053900677134727</v>
      </c>
      <c r="L41" s="562">
        <f>'2016'!$E61</f>
        <v>0.55936611992968899</v>
      </c>
      <c r="M41" s="562">
        <f>'2016'!$F61</f>
        <v>0.67746948304735854</v>
      </c>
      <c r="N41" s="562">
        <f>'2016'!$G61</f>
        <v>9.7528674948548725E-4</v>
      </c>
      <c r="O41" s="562">
        <f>'2016'!$H61</f>
        <v>5.5488341008544537E-2</v>
      </c>
      <c r="P41" s="7">
        <f>'2016'!$I61</f>
        <v>83.141015454507183</v>
      </c>
      <c r="Q41" s="562">
        <f>'2016'!$J61</f>
        <v>9.5091756960655246E-3</v>
      </c>
      <c r="R41" s="562">
        <f>'2017'!$D61</f>
        <v>9.4782691625445281E-2</v>
      </c>
      <c r="S41" s="562">
        <f>'2017'!$E61</f>
        <v>0.5546987260925953</v>
      </c>
      <c r="T41" s="562">
        <f>'2017'!$F61</f>
        <v>0.62098260375478598</v>
      </c>
      <c r="U41" s="562">
        <f>'2017'!$G61</f>
        <v>9.7528678299629553E-4</v>
      </c>
      <c r="V41" s="562">
        <f>'2017'!$H61</f>
        <v>4.8365506458946959E-2</v>
      </c>
      <c r="W41" s="7">
        <f>'2017'!$I61</f>
        <v>83.141017825387635</v>
      </c>
      <c r="X41" s="562">
        <f>'2017'!$J61</f>
        <v>8.5520873546339263E-3</v>
      </c>
      <c r="Y41" s="562">
        <f>'2018'!$D61</f>
        <v>8.4939156934155088E-2</v>
      </c>
      <c r="Z41" s="562">
        <f>'2018'!$E61</f>
        <v>0.55061572906465905</v>
      </c>
      <c r="AA41" s="562">
        <f>'2018'!$F61</f>
        <v>0.56791546986745522</v>
      </c>
      <c r="AB41" s="562">
        <f>'2018'!$G61</f>
        <v>9.7528671938062529E-4</v>
      </c>
      <c r="AC41" s="562">
        <f>'2018'!$H61</f>
        <v>4.1619869387293104E-2</v>
      </c>
      <c r="AD41" s="7">
        <f>'2018'!$I61</f>
        <v>83.141004324038946</v>
      </c>
      <c r="AE41" s="562">
        <f>'2018'!$J61</f>
        <v>7.6639240715927395E-3</v>
      </c>
      <c r="AF41" s="562">
        <f>'2019'!$D61</f>
        <v>7.5960067324570127E-2</v>
      </c>
      <c r="AG41" s="562">
        <f>'2019'!$E61</f>
        <v>0.5470804512659091</v>
      </c>
      <c r="AH41" s="562">
        <f>'2019'!$F61</f>
        <v>0.51848628047988188</v>
      </c>
      <c r="AI41" s="562">
        <f>'2019'!$G61</f>
        <v>9.7528667119803597E-4</v>
      </c>
      <c r="AJ41" s="562">
        <f>'2019'!$H61</f>
        <v>3.5317954485166281E-2</v>
      </c>
      <c r="AK41" s="7">
        <f>'2019'!$I61</f>
        <v>83.141028835362306</v>
      </c>
      <c r="AL41" s="562">
        <f>'2019'!$J61</f>
        <v>6.8537558173780112E-3</v>
      </c>
      <c r="AM41" s="562">
        <f>'2020'!$D61</f>
        <v>6.9214202788219562E-2</v>
      </c>
      <c r="AN41" s="562">
        <f>'2020'!$E61</f>
        <v>0.54464491390092518</v>
      </c>
      <c r="AO41" s="562">
        <f>'2020'!$F61</f>
        <v>0.47536344881667547</v>
      </c>
      <c r="AP41" s="562">
        <f>'2020'!$G61</f>
        <v>9.7528682357528968E-4</v>
      </c>
      <c r="AQ41" s="562">
        <f>'2020'!$H61</f>
        <v>3.0242541150061867E-2</v>
      </c>
      <c r="AR41" s="7">
        <f>'2020'!$I61</f>
        <v>83.141037426958448</v>
      </c>
      <c r="AS41" s="562">
        <f>'2020'!$J61</f>
        <v>6.2450880687081045E-3</v>
      </c>
    </row>
    <row r="42" spans="1:45" x14ac:dyDescent="0.25">
      <c r="A42" s="531" t="s">
        <v>582</v>
      </c>
      <c r="B42" s="134">
        <v>82</v>
      </c>
      <c r="C42" s="134">
        <v>0.53</v>
      </c>
      <c r="D42" s="562">
        <f>'2015'!$D146</f>
        <v>9.6878720821570966E-2</v>
      </c>
      <c r="E42" s="562">
        <f>'2015'!$E146</f>
        <v>0.38912776172514435</v>
      </c>
      <c r="F42" s="562">
        <f>'2015'!$F146</f>
        <v>0.58740490595044859</v>
      </c>
      <c r="G42" s="562">
        <f>'2015'!$G146</f>
        <v>6.3930572383665419E-4</v>
      </c>
      <c r="H42" s="562">
        <f>'2015'!$H146</f>
        <v>5.0260655192000195E-2</v>
      </c>
      <c r="I42" s="7">
        <f>'2015'!$I146</f>
        <v>54.49938047051117</v>
      </c>
      <c r="J42" s="562">
        <f>'2015'!$J146</f>
        <v>8.7412099797587687E-3</v>
      </c>
      <c r="K42" s="562">
        <f>'2016'!$D146</f>
        <v>9.1200429935198821E-2</v>
      </c>
      <c r="L42" s="562">
        <f>'2016'!$E146</f>
        <v>0.38616931132685484</v>
      </c>
      <c r="M42" s="562">
        <f>'2016'!$F146</f>
        <v>0.55224873363899141</v>
      </c>
      <c r="N42" s="562">
        <f>'2016'!$G146</f>
        <v>6.3930550374640587E-4</v>
      </c>
      <c r="O42" s="562">
        <f>'2016'!$H146</f>
        <v>4.6757244530697455E-2</v>
      </c>
      <c r="P42" s="7">
        <f>'2016'!$I146</f>
        <v>54.499377463768809</v>
      </c>
      <c r="Q42" s="562">
        <f>'2016'!$J146</f>
        <v>8.228868799522799E-3</v>
      </c>
      <c r="R42" s="562">
        <f>'2017'!$D146</f>
        <v>8.5757900735508277E-2</v>
      </c>
      <c r="S42" s="562">
        <f>'2017'!$E146</f>
        <v>0.38342750126569547</v>
      </c>
      <c r="T42" s="562">
        <f>'2017'!$F146</f>
        <v>0.51874691702050202</v>
      </c>
      <c r="U42" s="562">
        <f>'2017'!$G146</f>
        <v>6.3930561423081124E-4</v>
      </c>
      <c r="V42" s="562">
        <f>'2017'!$H146</f>
        <v>4.3343578380042026E-2</v>
      </c>
      <c r="W42" s="7">
        <f>'2017'!$I146</f>
        <v>54.499382176056208</v>
      </c>
      <c r="X42" s="562">
        <f>'2017'!$J146</f>
        <v>7.737797812848589E-3</v>
      </c>
      <c r="Y42" s="562">
        <f>'2018'!$D146</f>
        <v>8.0547964568081235E-2</v>
      </c>
      <c r="Z42" s="562">
        <f>'2018'!$E146</f>
        <v>0.3808726636975826</v>
      </c>
      <c r="AA42" s="562">
        <f>'2018'!$F146</f>
        <v>0.48688192761422927</v>
      </c>
      <c r="AB42" s="562">
        <f>'2018'!$G146</f>
        <v>6.3930556871242519E-4</v>
      </c>
      <c r="AC42" s="562">
        <f>'2018'!$H146</f>
        <v>4.0032638590278578E-2</v>
      </c>
      <c r="AD42" s="7">
        <f>'2018'!$I146</f>
        <v>54.499364810665796</v>
      </c>
      <c r="AE42" s="562">
        <f>'2018'!$J146</f>
        <v>7.2677152639502376E-3</v>
      </c>
      <c r="AF42" s="562">
        <f>'2019'!$D146</f>
        <v>7.5562977596499076E-2</v>
      </c>
      <c r="AG42" s="562">
        <f>'2019'!$E146</f>
        <v>0.37848297943279735</v>
      </c>
      <c r="AH42" s="562">
        <f>'2019'!$F146</f>
        <v>0.45663854203575854</v>
      </c>
      <c r="AI42" s="562">
        <f>'2019'!$G146</f>
        <v>6.3930547733937176E-4</v>
      </c>
      <c r="AJ42" s="562">
        <f>'2019'!$H146</f>
        <v>3.682641247046816E-2</v>
      </c>
      <c r="AK42" s="7">
        <f>'2019'!$I146</f>
        <v>54.499369831683119</v>
      </c>
      <c r="AL42" s="562">
        <f>'2019'!$J146</f>
        <v>6.8179254077302184E-3</v>
      </c>
      <c r="AM42" s="562">
        <f>'2020'!$D146</f>
        <v>7.0791560583568808E-2</v>
      </c>
      <c r="AN42" s="562">
        <f>'2020'!$E146</f>
        <v>0.37624168701797139</v>
      </c>
      <c r="AO42" s="562">
        <f>'2020'!$F146</f>
        <v>0.42799780492794465</v>
      </c>
      <c r="AP42" s="562">
        <f>'2020'!$G146</f>
        <v>6.3930579784994839E-4</v>
      </c>
      <c r="AQ42" s="562">
        <f>'2020'!$H146</f>
        <v>3.3719287467512842E-2</v>
      </c>
      <c r="AR42" s="7">
        <f>'2020'!$I146</f>
        <v>54.499384662220642</v>
      </c>
      <c r="AS42" s="562">
        <f>'2020'!$J146</f>
        <v>6.3874089853107243E-3</v>
      </c>
    </row>
    <row r="43" spans="1:45" x14ac:dyDescent="0.25">
      <c r="A43" s="531" t="s">
        <v>583</v>
      </c>
      <c r="B43" s="134">
        <v>6</v>
      </c>
      <c r="C43" s="134">
        <v>0.82</v>
      </c>
      <c r="D43" s="562">
        <f>'2015'!$D202</f>
        <v>7.1819076358046203E-3</v>
      </c>
      <c r="E43" s="562">
        <f>'2015'!$E202</f>
        <v>3.7672015501247734E-2</v>
      </c>
      <c r="F43" s="562">
        <f>'2015'!$F202</f>
        <v>4.4975835899274251E-2</v>
      </c>
      <c r="G43" s="562">
        <f>'2015'!$G202</f>
        <v>9.6006650553722128E-5</v>
      </c>
      <c r="H43" s="562">
        <f>'2015'!$H202</f>
        <v>1.7574488590592367E-3</v>
      </c>
      <c r="I43" s="7">
        <f>'2015'!$I202</f>
        <v>6.1697435407429388</v>
      </c>
      <c r="J43" s="562">
        <f>'2015'!$J202</f>
        <v>6.4801190876982576E-4</v>
      </c>
      <c r="K43" s="562">
        <f>'2016'!$D202</f>
        <v>7.1819042171482588E-3</v>
      </c>
      <c r="L43" s="562">
        <f>'2016'!$E202</f>
        <v>3.7672011405727068E-2</v>
      </c>
      <c r="M43" s="562">
        <f>'2016'!$F202</f>
        <v>4.4975819029795812E-2</v>
      </c>
      <c r="N43" s="562">
        <f>'2016'!$G202</f>
        <v>9.6006621553707824E-5</v>
      </c>
      <c r="O43" s="562">
        <f>'2016'!$H202</f>
        <v>1.757448444642367E-3</v>
      </c>
      <c r="P43" s="7">
        <f>'2016'!$I202</f>
        <v>6.1697416835141938</v>
      </c>
      <c r="Q43" s="562">
        <f>'2016'!$J202</f>
        <v>6.4801176908851194E-4</v>
      </c>
      <c r="R43" s="562">
        <f>'2017'!$D202</f>
        <v>7.1819048828458678E-3</v>
      </c>
      <c r="S43" s="562">
        <f>'2017'!$E202</f>
        <v>3.7672011175546513E-2</v>
      </c>
      <c r="T43" s="562">
        <f>'2017'!$F202</f>
        <v>4.4975817544890176E-2</v>
      </c>
      <c r="U43" s="562">
        <f>'2017'!$G202</f>
        <v>9.6006613245633624E-5</v>
      </c>
      <c r="V43" s="562">
        <f>'2017'!$H202</f>
        <v>1.7574478777113293E-3</v>
      </c>
      <c r="W43" s="7">
        <f>'2017'!$I202</f>
        <v>6.1697403161854645</v>
      </c>
      <c r="X43" s="562">
        <f>'2017'!$J202</f>
        <v>6.4801166902622178E-4</v>
      </c>
      <c r="Y43" s="562">
        <f>'2018'!$D202</f>
        <v>7.1819060341132114E-3</v>
      </c>
      <c r="Z43" s="562">
        <f>'2018'!$E202</f>
        <v>3.7672010932224421E-2</v>
      </c>
      <c r="AA43" s="562">
        <f>'2018'!$F202</f>
        <v>4.4975821828574056E-2</v>
      </c>
      <c r="AB43" s="562">
        <f>'2018'!$G202</f>
        <v>9.6006633704493857E-5</v>
      </c>
      <c r="AC43" s="562">
        <f>'2018'!$H202</f>
        <v>1.7574484311297502E-3</v>
      </c>
      <c r="AD43" s="7">
        <f>'2018'!$I202</f>
        <v>6.1697413025986503</v>
      </c>
      <c r="AE43" s="562">
        <f>'2018'!$J202</f>
        <v>6.4801168714526385E-4</v>
      </c>
      <c r="AF43" s="562">
        <f>'2019'!$D202</f>
        <v>7.1819059201588169E-3</v>
      </c>
      <c r="AG43" s="562">
        <f>'2019'!$E202</f>
        <v>3.7672011948603305E-2</v>
      </c>
      <c r="AH43" s="562">
        <f>'2019'!$F202</f>
        <v>4.4975826192409585E-2</v>
      </c>
      <c r="AI43" s="562">
        <f>'2019'!$G202</f>
        <v>9.6006635525263304E-5</v>
      </c>
      <c r="AJ43" s="562">
        <f>'2019'!$H202</f>
        <v>1.7574483049558665E-3</v>
      </c>
      <c r="AK43" s="7">
        <f>'2019'!$I202</f>
        <v>6.169742506270067</v>
      </c>
      <c r="AL43" s="562">
        <f>'2019'!$J202</f>
        <v>6.4801189520347709E-4</v>
      </c>
      <c r="AM43" s="562">
        <f>'2020'!$D202</f>
        <v>7.1819053326675122E-3</v>
      </c>
      <c r="AN43" s="562">
        <f>'2020'!$E202</f>
        <v>3.76720134369459E-2</v>
      </c>
      <c r="AO43" s="562">
        <f>'2020'!$F202</f>
        <v>4.4975818460546997E-2</v>
      </c>
      <c r="AP43" s="562">
        <f>'2020'!$G202</f>
        <v>9.6006626585351071E-5</v>
      </c>
      <c r="AQ43" s="562">
        <f>'2020'!$H202</f>
        <v>1.7574483638617537E-3</v>
      </c>
      <c r="AR43" s="7">
        <f>'2020'!$I202</f>
        <v>6.1697419807654175</v>
      </c>
      <c r="AS43" s="562">
        <f>'2020'!$J202</f>
        <v>6.4801175698490281E-4</v>
      </c>
    </row>
    <row r="44" spans="1:45" x14ac:dyDescent="0.25">
      <c r="A44" s="27" t="s">
        <v>589</v>
      </c>
      <c r="B44" s="532">
        <v>235</v>
      </c>
      <c r="C44" s="25">
        <v>0.38</v>
      </c>
      <c r="D44" s="562">
        <f>'2015'!$D108</f>
        <v>0.12515266972462641</v>
      </c>
      <c r="E44" s="562">
        <f>'2015'!$E108</f>
        <v>0.37018045112299897</v>
      </c>
      <c r="F44" s="562">
        <f>'2015'!$F108</f>
        <v>0.98177634452702278</v>
      </c>
      <c r="G44" s="562">
        <f>'2015'!$G108</f>
        <v>1.8739213528134147E-3</v>
      </c>
      <c r="H44" s="562">
        <f>'2015'!$H108</f>
        <v>3.2769564138102551E-2</v>
      </c>
      <c r="I44" s="7">
        <f>'2015'!$I108</f>
        <v>166.54539483446186</v>
      </c>
      <c r="J44" s="562">
        <f>'2015'!$J108</f>
        <v>1.1292325418869483E-2</v>
      </c>
      <c r="K44" s="562">
        <f>'2016'!$D108</f>
        <v>0.11792220738547983</v>
      </c>
      <c r="L44" s="562">
        <f>'2016'!$E108</f>
        <v>0.36512193352152528</v>
      </c>
      <c r="M44" s="562">
        <f>'2016'!$F108</f>
        <v>0.86781464282266541</v>
      </c>
      <c r="N44" s="562">
        <f>'2016'!$G108</f>
        <v>1.8739217498104396E-3</v>
      </c>
      <c r="O44" s="562">
        <f>'2016'!$H108</f>
        <v>2.9041712295589866E-2</v>
      </c>
      <c r="P44" s="7">
        <f>'2016'!$I108</f>
        <v>166.54541562452522</v>
      </c>
      <c r="Q44" s="562">
        <f>'2016'!$J108</f>
        <v>1.063993297769634E-2</v>
      </c>
      <c r="R44" s="562">
        <f>'2017'!$D108</f>
        <v>0.11087757550731449</v>
      </c>
      <c r="S44" s="562">
        <f>'2017'!$E108</f>
        <v>0.36084059419635078</v>
      </c>
      <c r="T44" s="562">
        <f>'2017'!$F108</f>
        <v>0.76252068294710729</v>
      </c>
      <c r="U44" s="562">
        <f>'2017'!$G108</f>
        <v>1.8739208211501423E-3</v>
      </c>
      <c r="V44" s="562">
        <f>'2017'!$H108</f>
        <v>2.5639490365790139E-2</v>
      </c>
      <c r="W44" s="7">
        <f>'2017'!$I108</f>
        <v>166.54536773790227</v>
      </c>
      <c r="X44" s="562">
        <f>'2017'!$J108</f>
        <v>1.0004303079381925E-2</v>
      </c>
      <c r="Y44" s="562">
        <f>'2018'!$D108</f>
        <v>0.1041767465113491</v>
      </c>
      <c r="Z44" s="562">
        <f>'2018'!$E108</f>
        <v>0.35715448415065187</v>
      </c>
      <c r="AA44" s="562">
        <f>'2018'!$F108</f>
        <v>0.66603800397589519</v>
      </c>
      <c r="AB44" s="562">
        <f>'2018'!$G108</f>
        <v>1.873921930245647E-3</v>
      </c>
      <c r="AC44" s="562">
        <f>'2018'!$H108</f>
        <v>2.2542352700611085E-2</v>
      </c>
      <c r="AD44" s="7">
        <f>'2018'!$I108</f>
        <v>166.54543379579488</v>
      </c>
      <c r="AE44" s="562">
        <f>'2018'!$J108</f>
        <v>9.3996999235005617E-3</v>
      </c>
      <c r="AF44" s="562">
        <f>'2019'!$D108</f>
        <v>9.8126501853339099E-2</v>
      </c>
      <c r="AG44" s="562">
        <f>'2019'!$E108</f>
        <v>0.35404986242713693</v>
      </c>
      <c r="AH44" s="562">
        <f>'2019'!$F108</f>
        <v>0.57972575059472697</v>
      </c>
      <c r="AI44" s="562">
        <f>'2019'!$G108</f>
        <v>1.8739219985869813E-3</v>
      </c>
      <c r="AJ44" s="562">
        <f>'2019'!$H108</f>
        <v>1.9765910620015432E-2</v>
      </c>
      <c r="AK44" s="7">
        <f>'2019'!$I108</f>
        <v>166.54541132463186</v>
      </c>
      <c r="AL44" s="562">
        <f>'2019'!$J108</f>
        <v>8.8537970071824509E-3</v>
      </c>
      <c r="AM44" s="562">
        <f>'2020'!$D108</f>
        <v>9.2725246112278115E-2</v>
      </c>
      <c r="AN44" s="562">
        <f>'2020'!$E108</f>
        <v>0.35143421911519712</v>
      </c>
      <c r="AO44" s="562">
        <f>'2020'!$F108</f>
        <v>0.50424090389582876</v>
      </c>
      <c r="AP44" s="562">
        <f>'2020'!$G108</f>
        <v>1.8739212869985323E-3</v>
      </c>
      <c r="AQ44" s="562">
        <f>'2020'!$H108</f>
        <v>1.7307373778617977E-2</v>
      </c>
      <c r="AR44" s="7">
        <f>'2020'!$I108</f>
        <v>166.54540745667055</v>
      </c>
      <c r="AS44" s="562">
        <f>'2020'!$J108</f>
        <v>8.3664496800051249E-3</v>
      </c>
    </row>
    <row r="48" spans="1:45" x14ac:dyDescent="0.25"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2:13" x14ac:dyDescent="0.25"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</row>
    <row r="50" spans="2:13" x14ac:dyDescent="0.25"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</row>
    <row r="51" spans="2:13" x14ac:dyDescent="0.25">
      <c r="B51" s="534"/>
      <c r="C51" s="534"/>
      <c r="D51" s="534"/>
      <c r="E51" s="534"/>
      <c r="F51" s="534"/>
      <c r="G51" s="99"/>
      <c r="H51" s="535"/>
      <c r="I51" s="534"/>
      <c r="J51" s="534"/>
      <c r="K51" s="113"/>
      <c r="L51" s="113"/>
      <c r="M51" s="113"/>
    </row>
    <row r="52" spans="2:13" x14ac:dyDescent="0.25"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topLeftCell="A17" workbookViewId="0">
      <selection activeCell="D39" sqref="D39"/>
    </sheetView>
  </sheetViews>
  <sheetFormatPr defaultRowHeight="13.2" x14ac:dyDescent="0.25"/>
  <cols>
    <col min="1" max="1" width="29.33203125" customWidth="1"/>
    <col min="2" max="2" width="10.5546875" customWidth="1"/>
    <col min="3" max="3" width="10.88671875" customWidth="1"/>
  </cols>
  <sheetData>
    <row r="1" spans="1:17" ht="13.8" thickBot="1" x14ac:dyDescent="0.3">
      <c r="D1" s="97" t="s">
        <v>573</v>
      </c>
      <c r="E1" s="97"/>
      <c r="K1" s="97" t="s">
        <v>574</v>
      </c>
      <c r="L1" s="97"/>
    </row>
    <row r="2" spans="1:17" ht="13.8" thickBot="1" x14ac:dyDescent="0.3">
      <c r="A2" s="97" t="s">
        <v>502</v>
      </c>
      <c r="B2" t="s">
        <v>572</v>
      </c>
      <c r="C2" s="97" t="s">
        <v>5</v>
      </c>
      <c r="D2" s="511" t="s">
        <v>68</v>
      </c>
      <c r="E2" s="511" t="s">
        <v>66</v>
      </c>
      <c r="F2" s="511" t="s">
        <v>362</v>
      </c>
      <c r="G2" s="511" t="s">
        <v>359</v>
      </c>
      <c r="H2" s="511" t="s">
        <v>360</v>
      </c>
      <c r="I2" s="512" t="s">
        <v>72</v>
      </c>
      <c r="J2" s="513" t="s">
        <v>73</v>
      </c>
      <c r="K2" s="511" t="s">
        <v>68</v>
      </c>
      <c r="L2" s="511" t="s">
        <v>66</v>
      </c>
      <c r="M2" s="511" t="s">
        <v>362</v>
      </c>
      <c r="N2" s="511" t="s">
        <v>359</v>
      </c>
      <c r="O2" s="511" t="s">
        <v>360</v>
      </c>
      <c r="P2" s="512" t="s">
        <v>72</v>
      </c>
      <c r="Q2" s="513" t="s">
        <v>73</v>
      </c>
    </row>
    <row r="3" spans="1:17" x14ac:dyDescent="0.25">
      <c r="A3" s="27" t="s">
        <v>193</v>
      </c>
      <c r="B3" s="25">
        <v>350</v>
      </c>
      <c r="C3" s="134">
        <v>0.4</v>
      </c>
      <c r="D3">
        <f>$B3*C3*'Offroad Tiers EF'!$AN$11</f>
        <v>4.3209876543209874E-2</v>
      </c>
      <c r="E3">
        <f>$B3*$C3*'Offroad Tiers EF'!$AR$11</f>
        <v>0.80246913580246915</v>
      </c>
      <c r="F3">
        <f>$B3*$C3*'Offroad Tiers EF'!$AP$11</f>
        <v>0.46296296296296291</v>
      </c>
      <c r="H3">
        <f>$B3*$C3*'Offroad Tiers EF'!$AT$11</f>
        <v>4.6296296296296294E-3</v>
      </c>
      <c r="K3">
        <f>$B3*$C3*'Offroad Tiers EF'!$AW$11</f>
        <v>4.3209876543209874E-2</v>
      </c>
      <c r="L3">
        <f>$B3*$C3*'Offroad Tiers EF'!$BA$11</f>
        <v>0.67901234567901225</v>
      </c>
      <c r="M3">
        <f>$B3*$C3*'Offroad Tiers EF'!$AY$11</f>
        <v>9.2592592592592587E-2</v>
      </c>
      <c r="O3">
        <f>$B3*$C3*'Offroad Tiers EF'!$BC$11</f>
        <v>4.6296296296296294E-3</v>
      </c>
    </row>
    <row r="4" spans="1:17" x14ac:dyDescent="0.25">
      <c r="A4" s="27" t="s">
        <v>194</v>
      </c>
      <c r="B4" s="25">
        <v>350</v>
      </c>
      <c r="C4" s="134">
        <v>0.41</v>
      </c>
      <c r="D4">
        <f>$B4*$C4*'Offroad Tiers EF'!$AN$11</f>
        <v>4.429012345679012E-2</v>
      </c>
      <c r="E4">
        <f>$B4*$C4*'Offroad Tiers EF'!$AR$11</f>
        <v>0.82253086419753085</v>
      </c>
      <c r="F4">
        <f>$B4*$C4*'Offroad Tiers EF'!$AP$11</f>
        <v>0.47453703703703703</v>
      </c>
      <c r="H4">
        <f>$B4*$C4*'Offroad Tiers EF'!$AT$11</f>
        <v>4.7453703703703694E-3</v>
      </c>
      <c r="K4">
        <f>$B4*$C4*'Offroad Tiers EF'!$AW$11</f>
        <v>4.429012345679012E-2</v>
      </c>
      <c r="L4">
        <f>$B4*$C4*'Offroad Tiers EF'!$BA$11</f>
        <v>0.69598765432098764</v>
      </c>
      <c r="M4">
        <f>$B4*$C4*'Offroad Tiers EF'!$AY$11</f>
        <v>9.4907407407407399E-2</v>
      </c>
      <c r="O4">
        <f>$B4*$C4*'Offroad Tiers EF'!$BC$11</f>
        <v>4.7453703703703694E-3</v>
      </c>
    </row>
    <row r="5" spans="1:17" x14ac:dyDescent="0.25">
      <c r="A5" s="27" t="s">
        <v>195</v>
      </c>
      <c r="B5" s="25">
        <v>350</v>
      </c>
      <c r="C5" s="134">
        <v>0.48</v>
      </c>
      <c r="D5">
        <f>$B5*$C5*'Offroad Tiers EF'!$AN$11</f>
        <v>5.185185185185185E-2</v>
      </c>
      <c r="E5">
        <f>$B5*$C5*'Offroad Tiers EF'!$AR$11</f>
        <v>0.96296296296296291</v>
      </c>
      <c r="F5">
        <f>$B5*$C5*'Offroad Tiers EF'!$AP$11</f>
        <v>0.55555555555555558</v>
      </c>
      <c r="H5">
        <f>$B5*$C5*'Offroad Tiers EF'!$AT$11</f>
        <v>5.5555555555555549E-3</v>
      </c>
      <c r="K5">
        <f>$B5*$C5*'Offroad Tiers EF'!$AW$11</f>
        <v>5.185185185185185E-2</v>
      </c>
      <c r="L5">
        <f>$B5*$C5*'Offroad Tiers EF'!$BA$11</f>
        <v>0.81481481481481477</v>
      </c>
      <c r="M5">
        <f>$B5*$C5*'Offroad Tiers EF'!$AY$11</f>
        <v>0.1111111111111111</v>
      </c>
      <c r="O5">
        <f>$B5*$C5*'Offroad Tiers EF'!$BC$11</f>
        <v>5.5555555555555549E-3</v>
      </c>
    </row>
    <row r="6" spans="1:17" x14ac:dyDescent="0.25">
      <c r="A6" s="27" t="s">
        <v>196</v>
      </c>
      <c r="B6" s="25">
        <v>250</v>
      </c>
      <c r="C6" s="134">
        <v>0.38</v>
      </c>
      <c r="D6">
        <f>$B6*$C6*'Offroad Tiers EF'!$AN$10</f>
        <v>2.9320987654320986E-2</v>
      </c>
      <c r="E6">
        <f>$B6*$C6*'Offroad Tiers EF'!$AR$10</f>
        <v>0.54453262786596113</v>
      </c>
      <c r="F6">
        <f>$B6*$C6*'Offroad Tiers EF'!$AP$10</f>
        <v>0.31415343915343913</v>
      </c>
      <c r="H6">
        <f>$B6*$C6*'Offroad Tiers EF'!$AT$10</f>
        <v>3.1415343915343909E-3</v>
      </c>
      <c r="K6">
        <f>$B6*$C6*'Offroad Tiers EF'!$AW$10</f>
        <v>2.9320987654320986E-2</v>
      </c>
      <c r="L6">
        <f>$B6*$C6*'Offroad Tiers EF'!$BA$10</f>
        <v>0.46075837742504405</v>
      </c>
      <c r="M6">
        <f>$B6*$C6*'Offroad Tiers EF'!$AY$10</f>
        <v>6.283068783068782E-2</v>
      </c>
      <c r="O6">
        <f>$B6*$C6*'Offroad Tiers EF'!$BC$10</f>
        <v>3.1415343915343909E-3</v>
      </c>
    </row>
    <row r="7" spans="1:17" x14ac:dyDescent="0.25">
      <c r="A7" s="27" t="s">
        <v>197</v>
      </c>
      <c r="B7" s="134">
        <v>200</v>
      </c>
      <c r="C7" s="134">
        <v>0.36</v>
      </c>
      <c r="D7">
        <f>$B7*$C7*'Offroad Tiers EF'!$AN$10</f>
        <v>2.2222222222222223E-2</v>
      </c>
      <c r="E7">
        <f>$B7*$C7*'Offroad Tiers EF'!$AR$10</f>
        <v>0.41269841269841268</v>
      </c>
      <c r="F7">
        <f>$B7*$C7*'Offroad Tiers EF'!$AP$10</f>
        <v>0.23809523809523808</v>
      </c>
      <c r="H7">
        <f>$B7*$C7*'Offroad Tiers EF'!$AT$10</f>
        <v>2.3809523809523807E-3</v>
      </c>
      <c r="K7">
        <f>$B7*$C7*'Offroad Tiers EF'!$AW$10</f>
        <v>2.2222222222222223E-2</v>
      </c>
      <c r="L7">
        <f>$B7*$C7*'Offroad Tiers EF'!$BA$10</f>
        <v>0.34920634920634919</v>
      </c>
      <c r="M7">
        <f>$B7*$C7*'Offroad Tiers EF'!$AY$10</f>
        <v>4.7619047619047616E-2</v>
      </c>
      <c r="O7">
        <f>$B7*$C7*'Offroad Tiers EF'!$BC$10</f>
        <v>2.3809523809523807E-3</v>
      </c>
    </row>
    <row r="8" spans="1:17" x14ac:dyDescent="0.25">
      <c r="A8" s="27" t="s">
        <v>199</v>
      </c>
      <c r="B8" s="25">
        <v>175</v>
      </c>
      <c r="C8" s="134">
        <v>0.38</v>
      </c>
      <c r="D8">
        <f>$B8*$C8*'Offroad Tiers EF'!$AN$10</f>
        <v>2.0524691358024691E-2</v>
      </c>
      <c r="E8">
        <f>$B8*$C8*'Offroad Tiers EF'!$AR$10</f>
        <v>0.38117283950617281</v>
      </c>
      <c r="F8">
        <f>$B8*$C8*'Offroad Tiers EF'!$AP$10</f>
        <v>0.21990740740740738</v>
      </c>
      <c r="H8">
        <f>$B8*$C8*'Offroad Tiers EF'!$AT$10</f>
        <v>2.1990740740740738E-3</v>
      </c>
      <c r="K8">
        <f>$B8*$C8*'Offroad Tiers EF'!$AW$10</f>
        <v>2.0524691358024691E-2</v>
      </c>
      <c r="L8">
        <f>$B8*$C8*'Offroad Tiers EF'!$BA$10</f>
        <v>0.32253086419753085</v>
      </c>
      <c r="M8">
        <f>$B8*$C8*'Offroad Tiers EF'!$AY$10</f>
        <v>4.3981481481481483E-2</v>
      </c>
      <c r="O8">
        <f>$B8*$C8*'Offroad Tiers EF'!$BC$10</f>
        <v>2.1990740740740738E-3</v>
      </c>
    </row>
    <row r="9" spans="1:17" x14ac:dyDescent="0.25">
      <c r="A9" s="27" t="s">
        <v>200</v>
      </c>
      <c r="B9" s="25">
        <v>235</v>
      </c>
      <c r="C9" s="134">
        <v>0.38</v>
      </c>
      <c r="D9">
        <f>$B9*$C9*'Offroad Tiers EF'!$AN$10</f>
        <v>2.7561728395061727E-2</v>
      </c>
      <c r="E9">
        <f>$B9*$C9*'Offroad Tiers EF'!$AR$10</f>
        <v>0.5118606701940035</v>
      </c>
      <c r="F9">
        <f>$B9*$C9*'Offroad Tiers EF'!$AP$10</f>
        <v>0.29530423280423279</v>
      </c>
      <c r="H9">
        <f>$B9*$C9*'Offroad Tiers EF'!$AT$10</f>
        <v>2.9530423280423276E-3</v>
      </c>
      <c r="K9">
        <f>$B9*$C9*'Offroad Tiers EF'!$AW$10</f>
        <v>2.7561728395061727E-2</v>
      </c>
      <c r="L9">
        <f>$B9*$C9*'Offroad Tiers EF'!$BA$10</f>
        <v>0.43311287477954141</v>
      </c>
      <c r="M9">
        <f>$B9*$C9*'Offroad Tiers EF'!$AY$10</f>
        <v>5.9060846560846557E-2</v>
      </c>
      <c r="O9">
        <f>$B9*$C9*'Offroad Tiers EF'!$BC$10</f>
        <v>2.9530423280423276E-3</v>
      </c>
    </row>
    <row r="10" spans="1:17" x14ac:dyDescent="0.25">
      <c r="A10" s="27" t="s">
        <v>201</v>
      </c>
      <c r="B10" s="25">
        <v>300</v>
      </c>
      <c r="C10" s="134">
        <v>0.38</v>
      </c>
      <c r="D10">
        <f>$B10*$C10*'Offroad Tiers EF'!$AN$11</f>
        <v>3.5185185185185187E-2</v>
      </c>
      <c r="E10">
        <f>$B10*$C10*'Offroad Tiers EF'!$AR$11</f>
        <v>0.65343915343915338</v>
      </c>
      <c r="F10">
        <f>$B10*$C10*'Offroad Tiers EF'!$AP$11</f>
        <v>0.37698412698412698</v>
      </c>
      <c r="H10">
        <f>$B10*$C10*'Offroad Tiers EF'!$AT$11</f>
        <v>3.7698412698412695E-3</v>
      </c>
      <c r="K10">
        <f>$B10*$C10*'Offroad Tiers EF'!$AW$11</f>
        <v>3.5185185185185187E-2</v>
      </c>
      <c r="L10">
        <f>$B10*$C10*'Offroad Tiers EF'!$BA$11</f>
        <v>0.55291005291005291</v>
      </c>
      <c r="M10">
        <f>$B10*$C10*'Offroad Tiers EF'!$AY$11</f>
        <v>7.5396825396825393E-2</v>
      </c>
      <c r="O10">
        <f>$B10*$C10*'Offroad Tiers EF'!$BC$11</f>
        <v>3.7698412698412695E-3</v>
      </c>
    </row>
    <row r="11" spans="1:17" x14ac:dyDescent="0.25">
      <c r="A11" s="27" t="s">
        <v>155</v>
      </c>
      <c r="B11" s="134">
        <v>82</v>
      </c>
      <c r="C11" s="134">
        <v>0.5</v>
      </c>
      <c r="D11">
        <f>$B11*$C11*'Offroad Tiers EF'!$AN$8</f>
        <v>1.2654320987654321E-2</v>
      </c>
      <c r="E11">
        <f>$B11*$C11*'Offroad Tiers EF'!$AR$8</f>
        <v>0.33443562610229277</v>
      </c>
      <c r="F11">
        <f>$B11*$C11*'Offroad Tiers EF'!$AP$8</f>
        <v>0.22597001763668428</v>
      </c>
      <c r="H11">
        <f>$B11*$C11*'Offroad Tiers EF'!$AT$8</f>
        <v>1.3558201058201057E-3</v>
      </c>
      <c r="K11">
        <f>$B11*$C11*'Offroad Tiers EF'!$AW$8</f>
        <v>1.2654320987654321E-2</v>
      </c>
      <c r="L11">
        <f>$B11*$C11*'Offroad Tiers EF'!$BA$8</f>
        <v>0.33443562610229277</v>
      </c>
      <c r="M11">
        <f>$B11*$C11*'Offroad Tiers EF'!$AY$8</f>
        <v>2.7116402116402115E-2</v>
      </c>
      <c r="O11">
        <f>$B11*$C11*'Offroad Tiers EF'!$BC$8</f>
        <v>1.3558201058201057E-3</v>
      </c>
    </row>
    <row r="12" spans="1:17" x14ac:dyDescent="0.25">
      <c r="A12" s="27" t="s">
        <v>204</v>
      </c>
      <c r="B12" s="25">
        <v>75</v>
      </c>
      <c r="C12" s="134">
        <v>0.28999999999999998</v>
      </c>
      <c r="D12">
        <f>$B12*$C12*'Offroad Tiers EF'!$AN$8</f>
        <v>6.7129629629629631E-3</v>
      </c>
      <c r="E12">
        <f>$B12*$C12*'Offroad Tiers EF'!$AR$8</f>
        <v>0.17741402116402116</v>
      </c>
      <c r="F12">
        <f>$B12*$C12*'Offroad Tiers EF'!$AP$8</f>
        <v>0.11987433862433862</v>
      </c>
      <c r="H12">
        <f>$B12*$C12*'Offroad Tiers EF'!$AT$8</f>
        <v>7.1924603174603168E-4</v>
      </c>
      <c r="K12">
        <f>$B12*$C12*'Offroad Tiers EF'!$AW$8</f>
        <v>6.7129629629629631E-3</v>
      </c>
      <c r="L12">
        <f>$B12*$C12*'Offroad Tiers EF'!$BA$8</f>
        <v>0.17741402116402116</v>
      </c>
      <c r="M12">
        <f>$B12*$C12*'Offroad Tiers EF'!$AY$8</f>
        <v>1.4384920634920634E-2</v>
      </c>
      <c r="O12">
        <f>$B12*$C12*'Offroad Tiers EF'!$BC$8</f>
        <v>7.1924603174603168E-4</v>
      </c>
    </row>
    <row r="13" spans="1:17" x14ac:dyDescent="0.25">
      <c r="A13" s="531" t="s">
        <v>157</v>
      </c>
      <c r="B13" s="25">
        <v>235</v>
      </c>
      <c r="C13" s="134">
        <v>0.38</v>
      </c>
      <c r="D13">
        <f>$B13*$C13*'Offroad Tiers EF'!$AN$10</f>
        <v>2.7561728395061727E-2</v>
      </c>
      <c r="E13">
        <f>$B13*$C13*'Offroad Tiers EF'!$AR$10</f>
        <v>0.5118606701940035</v>
      </c>
      <c r="F13">
        <f>$B13*$C13*'Offroad Tiers EF'!$AP$10</f>
        <v>0.29530423280423279</v>
      </c>
      <c r="H13">
        <f>$B13*$C13*'Offroad Tiers EF'!$AT$10</f>
        <v>2.9530423280423276E-3</v>
      </c>
      <c r="K13">
        <f>$B13*$C13*'Offroad Tiers EF'!$AW$10</f>
        <v>2.7561728395061727E-2</v>
      </c>
      <c r="L13">
        <f>$B13*$C13*'Offroad Tiers EF'!$BA$10</f>
        <v>0.43311287477954141</v>
      </c>
      <c r="M13">
        <f>$B13*$C13*'Offroad Tiers EF'!$AY$10</f>
        <v>5.9060846560846557E-2</v>
      </c>
      <c r="O13">
        <f>$B13*$C13*'Offroad Tiers EF'!$BC$10</f>
        <v>2.9530423280423276E-3</v>
      </c>
    </row>
    <row r="14" spans="1:17" x14ac:dyDescent="0.25">
      <c r="A14" s="530" t="s">
        <v>62</v>
      </c>
      <c r="B14" s="25">
        <v>85</v>
      </c>
      <c r="C14" s="134">
        <v>0.36</v>
      </c>
      <c r="D14">
        <f>$B14*$C14*'Offroad Tiers EF'!$AN$8</f>
        <v>9.4444444444444428E-3</v>
      </c>
      <c r="E14">
        <f>$B14*$C14*'Offroad Tiers EF'!$AR$8</f>
        <v>0.24960317460317458</v>
      </c>
      <c r="F14">
        <f>$B14*$C14*'Offroad Tiers EF'!$AP$8</f>
        <v>0.16865079365079363</v>
      </c>
      <c r="H14">
        <f>$B14*$C14*'Offroad Tiers EF'!$AT$8</f>
        <v>1.0119047619047616E-3</v>
      </c>
      <c r="K14">
        <f>$B14*$C14*'Offroad Tiers EF'!$AW$8</f>
        <v>9.4444444444444428E-3</v>
      </c>
      <c r="L14">
        <f>$B14*$C14*'Offroad Tiers EF'!$BA$8</f>
        <v>0.24960317460317458</v>
      </c>
      <c r="M14">
        <f>$B14*$C14*'Offroad Tiers EF'!$AY$8</f>
        <v>2.0238095238095236E-2</v>
      </c>
      <c r="O14">
        <f>$B14*$C14*'Offroad Tiers EF'!$BC$8</f>
        <v>1.0119047619047616E-3</v>
      </c>
    </row>
    <row r="15" spans="1:17" x14ac:dyDescent="0.25">
      <c r="A15" s="530" t="s">
        <v>61</v>
      </c>
      <c r="B15" s="25">
        <v>235</v>
      </c>
      <c r="C15" s="134">
        <v>0.38</v>
      </c>
      <c r="D15">
        <f>$B15*$C15*'Offroad Tiers EF'!$AN$10</f>
        <v>2.7561728395061727E-2</v>
      </c>
      <c r="E15">
        <f>$B15*$C15*'Offroad Tiers EF'!$AR$10</f>
        <v>0.5118606701940035</v>
      </c>
      <c r="F15">
        <f>$B15*$C15*'Offroad Tiers EF'!$AP$10</f>
        <v>0.29530423280423279</v>
      </c>
      <c r="H15">
        <f>$B15*$C15*'Offroad Tiers EF'!$AT$10</f>
        <v>2.9530423280423276E-3</v>
      </c>
      <c r="K15">
        <f>$B15*$C15*'Offroad Tiers EF'!$AW$10</f>
        <v>2.7561728395061727E-2</v>
      </c>
      <c r="L15">
        <f>$B15*$C15*'Offroad Tiers EF'!$BA$10</f>
        <v>0.43311287477954141</v>
      </c>
      <c r="M15">
        <f>$B15*$C15*'Offroad Tiers EF'!$AY$10</f>
        <v>5.9060846560846557E-2</v>
      </c>
      <c r="O15">
        <f>$B15*$C15*'Offroad Tiers EF'!$BC$10</f>
        <v>2.9530423280423276E-3</v>
      </c>
    </row>
    <row r="16" spans="1:17" x14ac:dyDescent="0.25">
      <c r="A16" s="27" t="s">
        <v>202</v>
      </c>
      <c r="B16" s="532">
        <v>399</v>
      </c>
      <c r="C16" s="134">
        <v>0.28999999999999998</v>
      </c>
      <c r="D16">
        <f>$B16*$C16*'Offroad Tiers EF'!$AN$11</f>
        <v>3.571296296296296E-2</v>
      </c>
      <c r="E16">
        <f>$B16*$C16*'Offroad Tiers EF'!$AR$11</f>
        <v>0.66324074074074069</v>
      </c>
      <c r="F16">
        <f>$B16*$C16*'Offroad Tiers EF'!$AP$11</f>
        <v>0.38263888888888886</v>
      </c>
      <c r="H16">
        <f>$B16*$C16*'Offroad Tiers EF'!$AT$11</f>
        <v>3.8263888888888883E-3</v>
      </c>
      <c r="K16">
        <f>$B16*$C16*'Offroad Tiers EF'!$AW$11</f>
        <v>3.571296296296296E-2</v>
      </c>
      <c r="L16">
        <f>$B16*$C16*'Offroad Tiers EF'!$BA$11</f>
        <v>0.56120370370370365</v>
      </c>
      <c r="M16">
        <f>$B16*$C16*'Offroad Tiers EF'!$AY$11</f>
        <v>7.6527777777777764E-2</v>
      </c>
      <c r="O16">
        <f>$B16*$C16*'Offroad Tiers EF'!$BC$11</f>
        <v>3.8263888888888883E-3</v>
      </c>
    </row>
    <row r="17" spans="1:15" x14ac:dyDescent="0.25">
      <c r="A17" s="27" t="s">
        <v>205</v>
      </c>
      <c r="B17" s="25">
        <v>235</v>
      </c>
      <c r="C17" s="134">
        <v>0.38</v>
      </c>
      <c r="D17">
        <f>$B17*$C17*'Offroad Tiers EF'!$AN$10</f>
        <v>2.7561728395061727E-2</v>
      </c>
      <c r="E17">
        <f>$B17*$C17*'Offroad Tiers EF'!$AR$10</f>
        <v>0.5118606701940035</v>
      </c>
      <c r="F17">
        <f>$B17*$C17*'Offroad Tiers EF'!$AP$10</f>
        <v>0.29530423280423279</v>
      </c>
      <c r="H17">
        <f>$B17*$C17*'Offroad Tiers EF'!$AT$10</f>
        <v>2.9530423280423276E-3</v>
      </c>
      <c r="K17">
        <f>$B17*$C17*'Offroad Tiers EF'!$AW$10</f>
        <v>2.7561728395061727E-2</v>
      </c>
      <c r="L17">
        <f>$B17*$C17*'Offroad Tiers EF'!$BA$10</f>
        <v>0.43311287477954141</v>
      </c>
      <c r="M17">
        <f>$B17*$C17*'Offroad Tiers EF'!$AY$10</f>
        <v>5.9060846560846557E-2</v>
      </c>
      <c r="O17">
        <f>$B17*$C17*'Offroad Tiers EF'!$BC$10</f>
        <v>2.9530423280423276E-3</v>
      </c>
    </row>
    <row r="18" spans="1:15" x14ac:dyDescent="0.25">
      <c r="A18" s="27" t="s">
        <v>163</v>
      </c>
      <c r="B18" s="25">
        <v>75</v>
      </c>
      <c r="C18" s="25">
        <v>0.31</v>
      </c>
      <c r="D18">
        <f>$B18*$C18*'Offroad Tiers EF'!$AN$8</f>
        <v>7.1759259259259259E-3</v>
      </c>
      <c r="E18">
        <f>$B18*$C18*'Offroad Tiers EF'!$AR$8</f>
        <v>0.1896494708994709</v>
      </c>
      <c r="F18">
        <f>$B18*$C18*'Offroad Tiers EF'!$AP$8</f>
        <v>0.12814153439153439</v>
      </c>
      <c r="H18">
        <f>$B18*$C18*'Offroad Tiers EF'!$AT$8</f>
        <v>7.6884920634920622E-4</v>
      </c>
      <c r="K18">
        <f>$B18*$C18*'Offroad Tiers EF'!$AW$8</f>
        <v>7.1759259259259259E-3</v>
      </c>
      <c r="L18">
        <f>$B18*$C18*'Offroad Tiers EF'!$BA$8</f>
        <v>0.1896494708994709</v>
      </c>
      <c r="M18">
        <f>$B18*$C18*'Offroad Tiers EF'!$AY$8</f>
        <v>1.5376984126984126E-2</v>
      </c>
      <c r="O18">
        <f>$B18*$C18*'Offroad Tiers EF'!$BC$8</f>
        <v>7.6884920634920622E-4</v>
      </c>
    </row>
    <row r="19" spans="1:15" x14ac:dyDescent="0.25">
      <c r="A19" s="27" t="s">
        <v>192</v>
      </c>
      <c r="B19" s="25">
        <v>45</v>
      </c>
      <c r="C19" s="25">
        <v>1</v>
      </c>
      <c r="E19">
        <f>$B19*$C19*'Offroad Tiers EF'!$AR$6</f>
        <v>0.40674603174603174</v>
      </c>
      <c r="F19">
        <f>$B19*$C19*'Offroad Tiers EF'!$AP$6</f>
        <v>0.55555555555555558</v>
      </c>
      <c r="H19">
        <f>$B19*$C19*'Offroad Tiers EF'!$AT$6</f>
        <v>2.1825396825396824E-2</v>
      </c>
      <c r="L19">
        <f>$B19*$C19*'Offroad Tiers EF'!$BA$6</f>
        <v>0.40674603174603174</v>
      </c>
      <c r="M19">
        <f>$B19*$C19*'Offroad Tiers EF'!$AY$6</f>
        <v>0.34722222222222221</v>
      </c>
      <c r="O19">
        <f>$B19*$C19*'Offroad Tiers EF'!$BC$6</f>
        <v>1.984126984126984E-3</v>
      </c>
    </row>
    <row r="20" spans="1:15" x14ac:dyDescent="0.25">
      <c r="A20" s="27" t="s">
        <v>206</v>
      </c>
      <c r="B20" s="25">
        <v>300</v>
      </c>
      <c r="C20" s="25">
        <v>0.42</v>
      </c>
      <c r="D20">
        <f>$B20*$C20*'Offroad Tiers EF'!$AN$11</f>
        <v>3.888888888888889E-2</v>
      </c>
      <c r="E20">
        <f>$B20*$C20*'Offroad Tiers EF'!$AR$11</f>
        <v>0.72222222222222221</v>
      </c>
      <c r="F20">
        <f>$B20*$C20*'Offroad Tiers EF'!$AP$11</f>
        <v>0.41666666666666663</v>
      </c>
      <c r="H20">
        <f>$B20*$C20*'Offroad Tiers EF'!$AT$11</f>
        <v>4.1666666666666657E-3</v>
      </c>
      <c r="K20">
        <f>$B20*$C20*'Offroad Tiers EF'!$AW$11</f>
        <v>3.888888888888889E-2</v>
      </c>
      <c r="L20">
        <f>$B20*$C20*'Offroad Tiers EF'!$BA$11</f>
        <v>0.61111111111111105</v>
      </c>
      <c r="M20">
        <f>$B20*$C20*'Offroad Tiers EF'!$AY$11</f>
        <v>8.3333333333333329E-2</v>
      </c>
      <c r="O20">
        <f>$B20*$C20*'Offroad Tiers EF'!$BC$11</f>
        <v>4.1666666666666657E-3</v>
      </c>
    </row>
    <row r="21" spans="1:15" x14ac:dyDescent="0.25">
      <c r="A21" s="27" t="s">
        <v>207</v>
      </c>
      <c r="B21" s="25">
        <v>300</v>
      </c>
      <c r="C21" s="25">
        <v>0.42</v>
      </c>
      <c r="D21">
        <f>$B21*$C21*'Offroad Tiers EF'!$AN$11</f>
        <v>3.888888888888889E-2</v>
      </c>
      <c r="E21">
        <f>$B21*$C21*'Offroad Tiers EF'!$AR$11</f>
        <v>0.72222222222222221</v>
      </c>
      <c r="F21">
        <f>$B21*$C21*'Offroad Tiers EF'!$AP$11</f>
        <v>0.41666666666666663</v>
      </c>
      <c r="H21">
        <f>$B21*$C21*'Offroad Tiers EF'!$AT$11</f>
        <v>4.1666666666666657E-3</v>
      </c>
      <c r="K21">
        <f>$B21*$C21*'Offroad Tiers EF'!$AW$11</f>
        <v>3.888888888888889E-2</v>
      </c>
      <c r="L21">
        <f>$B21*$C21*'Offroad Tiers EF'!$BA$11</f>
        <v>0.61111111111111105</v>
      </c>
      <c r="M21">
        <f>$B21*$C21*'Offroad Tiers EF'!$AY$11</f>
        <v>8.3333333333333329E-2</v>
      </c>
      <c r="O21">
        <f>$B21*$C21*'Offroad Tiers EF'!$BC$11</f>
        <v>4.1666666666666657E-3</v>
      </c>
    </row>
    <row r="22" spans="1:15" x14ac:dyDescent="0.25">
      <c r="A22" s="27" t="s">
        <v>208</v>
      </c>
      <c r="B22" s="25">
        <v>300</v>
      </c>
      <c r="C22" s="25">
        <v>0.42</v>
      </c>
      <c r="D22">
        <f>$B22*$C22*'Offroad Tiers EF'!$AN$11</f>
        <v>3.888888888888889E-2</v>
      </c>
      <c r="E22">
        <f>$B22*$C22*'Offroad Tiers EF'!$AR$11</f>
        <v>0.72222222222222221</v>
      </c>
      <c r="F22">
        <f>$B22*$C22*'Offroad Tiers EF'!$AP$11</f>
        <v>0.41666666666666663</v>
      </c>
      <c r="H22">
        <f>$B22*$C22*'Offroad Tiers EF'!$AT$11</f>
        <v>4.1666666666666657E-3</v>
      </c>
      <c r="K22">
        <f>$B22*$C22*'Offroad Tiers EF'!$AW$11</f>
        <v>3.888888888888889E-2</v>
      </c>
      <c r="L22">
        <f>$B22*$C22*'Offroad Tiers EF'!$BA$11</f>
        <v>0.61111111111111105</v>
      </c>
      <c r="M22">
        <f>$B22*$C22*'Offroad Tiers EF'!$AY$11</f>
        <v>8.3333333333333329E-2</v>
      </c>
      <c r="O22">
        <f>$B22*$C22*'Offroad Tiers EF'!$BC$11</f>
        <v>4.1666666666666657E-3</v>
      </c>
    </row>
    <row r="23" spans="1:15" x14ac:dyDescent="0.25">
      <c r="A23" s="27" t="s">
        <v>242</v>
      </c>
      <c r="B23" s="25">
        <v>25</v>
      </c>
      <c r="C23" s="25">
        <v>1</v>
      </c>
      <c r="E23">
        <f>$B23*$C23*'Offroad Tiers EF'!$AR$6</f>
        <v>0.22597001763668428</v>
      </c>
      <c r="F23">
        <f>$B23*$C23*'Offroad Tiers EF'!$AP$6</f>
        <v>0.30864197530864196</v>
      </c>
      <c r="H23">
        <f>$B23*$C23*'Offroad Tiers EF'!$AT$6</f>
        <v>1.2125220458553791E-2</v>
      </c>
      <c r="L23">
        <f>$B23*$C23*'Offroad Tiers EF'!$BA$6</f>
        <v>0.22597001763668428</v>
      </c>
      <c r="M23">
        <f>$B23*$C23*'Offroad Tiers EF'!$AY$6</f>
        <v>0.19290123456790123</v>
      </c>
      <c r="O23">
        <f>$B23*$C23*'Offroad Tiers EF'!$BC$6</f>
        <v>1.1022927689594356E-3</v>
      </c>
    </row>
    <row r="24" spans="1:15" x14ac:dyDescent="0.25">
      <c r="A24" s="531" t="s">
        <v>249</v>
      </c>
      <c r="B24" s="25">
        <v>300</v>
      </c>
      <c r="C24" s="134">
        <v>0.42</v>
      </c>
      <c r="D24">
        <f>$B24*$C24*'Offroad Tiers EF'!$AN$11</f>
        <v>3.888888888888889E-2</v>
      </c>
      <c r="E24">
        <f>$B24*$C24*'Offroad Tiers EF'!$AR$11</f>
        <v>0.72222222222222221</v>
      </c>
      <c r="F24">
        <f>$B24*$C24*'Offroad Tiers EF'!$AP$11</f>
        <v>0.41666666666666663</v>
      </c>
      <c r="H24">
        <f>$B24*$C24*'Offroad Tiers EF'!$AT$11</f>
        <v>4.1666666666666657E-3</v>
      </c>
      <c r="K24">
        <f>$B24*$C24*'Offroad Tiers EF'!$AW$11</f>
        <v>3.888888888888889E-2</v>
      </c>
      <c r="L24">
        <f>$B24*$C24*'Offroad Tiers EF'!$BA$11</f>
        <v>0.61111111111111105</v>
      </c>
      <c r="M24">
        <f>$B24*$C24*'Offroad Tiers EF'!$AY$11</f>
        <v>8.3333333333333329E-2</v>
      </c>
      <c r="O24">
        <f>$B24*$C24*'Offroad Tiers EF'!$BC$11</f>
        <v>4.1666666666666657E-3</v>
      </c>
    </row>
    <row r="25" spans="1:15" x14ac:dyDescent="0.25">
      <c r="A25" s="27" t="s">
        <v>201</v>
      </c>
      <c r="B25" s="25">
        <v>300</v>
      </c>
      <c r="C25" s="25">
        <v>0.38</v>
      </c>
      <c r="D25">
        <f>$B25*$C25*'Offroad Tiers EF'!$AN$11</f>
        <v>3.5185185185185187E-2</v>
      </c>
      <c r="E25">
        <f>$B25*$C25*'Offroad Tiers EF'!$AR$11</f>
        <v>0.65343915343915338</v>
      </c>
      <c r="F25">
        <f>$B25*$C25*'Offroad Tiers EF'!$AP$11</f>
        <v>0.37698412698412698</v>
      </c>
      <c r="H25">
        <f>$B25*$C25*'Offroad Tiers EF'!$AT$11</f>
        <v>3.7698412698412695E-3</v>
      </c>
      <c r="K25">
        <f>$B25*$C25*'Offroad Tiers EF'!$AW$11</f>
        <v>3.5185185185185187E-2</v>
      </c>
      <c r="L25">
        <f>$B25*$C25*'Offroad Tiers EF'!$BA$11</f>
        <v>0.55291005291005291</v>
      </c>
      <c r="M25">
        <f>$B25*$C25*'Offroad Tiers EF'!$AY$11</f>
        <v>7.5396825396825393E-2</v>
      </c>
      <c r="O25">
        <f>$B25*$C25*'Offroad Tiers EF'!$BC$11</f>
        <v>3.7698412698412695E-3</v>
      </c>
    </row>
    <row r="26" spans="1:15" x14ac:dyDescent="0.25">
      <c r="A26" s="27" t="s">
        <v>209</v>
      </c>
      <c r="B26" s="25">
        <v>25</v>
      </c>
      <c r="C26" s="25">
        <v>1</v>
      </c>
      <c r="E26">
        <f>$B26*$C26*'Offroad Tiers EF'!$AR$6</f>
        <v>0.22597001763668428</v>
      </c>
      <c r="F26">
        <f>$B26*$C26*'Offroad Tiers EF'!$AP$6</f>
        <v>0.30864197530864196</v>
      </c>
      <c r="H26">
        <f>$B26*$C26*'Offroad Tiers EF'!$AT$6</f>
        <v>1.2125220458553791E-2</v>
      </c>
      <c r="L26">
        <f>$B26*$C26*'Offroad Tiers EF'!$BA$6</f>
        <v>0.22597001763668428</v>
      </c>
      <c r="M26">
        <f>$B26*$C26*'Offroad Tiers EF'!$AY$6</f>
        <v>0.19290123456790123</v>
      </c>
      <c r="O26">
        <f>$B26*$C26*'Offroad Tiers EF'!$BC$6</f>
        <v>1.1022927689594356E-3</v>
      </c>
    </row>
    <row r="27" spans="1:15" x14ac:dyDescent="0.25">
      <c r="A27" s="27" t="s">
        <v>156</v>
      </c>
      <c r="B27" s="134">
        <v>37</v>
      </c>
      <c r="C27" s="134">
        <v>0.37</v>
      </c>
      <c r="E27">
        <f>$B27*$C27*'Offroad Tiers EF'!$AR$6</f>
        <v>0.12374118165784831</v>
      </c>
      <c r="F27">
        <f>$B27*$C27*'Offroad Tiers EF'!$AP$6</f>
        <v>0.16901234567901233</v>
      </c>
      <c r="H27">
        <f>$B27*$C27*'Offroad Tiers EF'!$AT$6</f>
        <v>6.6397707231040555E-3</v>
      </c>
      <c r="L27">
        <f>$B27*$C27*'Offroad Tiers EF'!$BA$6</f>
        <v>0.12374118165784831</v>
      </c>
      <c r="M27">
        <f>$B27*$C27*'Offroad Tiers EF'!$AY$6</f>
        <v>0.10563271604938271</v>
      </c>
      <c r="O27">
        <f>$B27*$C27*'Offroad Tiers EF'!$BC$6</f>
        <v>6.0361552028218685E-4</v>
      </c>
    </row>
    <row r="28" spans="1:15" x14ac:dyDescent="0.25">
      <c r="A28" s="27" t="s">
        <v>158</v>
      </c>
      <c r="B28" s="532">
        <v>165</v>
      </c>
      <c r="C28" s="134">
        <v>0.42</v>
      </c>
      <c r="D28">
        <f>$B28*$C28*'Offroad Tiers EF'!$AN$10</f>
        <v>2.1388888888888888E-2</v>
      </c>
      <c r="E28">
        <f>$B28*$C28*'Offroad Tiers EF'!$AR$10</f>
        <v>0.3972222222222222</v>
      </c>
      <c r="F28">
        <f>$B28*$C28*'Offroad Tiers EF'!$AP$10</f>
        <v>0.22916666666666666</v>
      </c>
      <c r="H28">
        <f>$B28*$C28*'Offroad Tiers EF'!$AT$10</f>
        <v>2.2916666666666662E-3</v>
      </c>
      <c r="K28">
        <f>$B28*$C28*'Offroad Tiers EF'!$AW$10</f>
        <v>2.1388888888888888E-2</v>
      </c>
      <c r="L28">
        <f>$B28*$C28*'Offroad Tiers EF'!$BA$10</f>
        <v>0.33611111111111108</v>
      </c>
      <c r="M28">
        <f>$B28*$C28*'Offroad Tiers EF'!$AY$10</f>
        <v>4.583333333333333E-2</v>
      </c>
      <c r="O28">
        <f>$B28*$C28*'Offroad Tiers EF'!$BC$10</f>
        <v>2.2916666666666662E-3</v>
      </c>
    </row>
    <row r="29" spans="1:15" x14ac:dyDescent="0.25">
      <c r="A29" s="27" t="s">
        <v>159</v>
      </c>
      <c r="B29" s="532">
        <v>8</v>
      </c>
      <c r="C29" s="25">
        <v>1</v>
      </c>
    </row>
    <row r="30" spans="1:15" x14ac:dyDescent="0.25">
      <c r="A30" s="27" t="s">
        <v>162</v>
      </c>
      <c r="B30" s="532">
        <v>235</v>
      </c>
      <c r="C30" s="25">
        <v>0.38</v>
      </c>
      <c r="D30">
        <f>$B30*$C30*'Offroad Tiers EF'!$AN$10</f>
        <v>2.7561728395061727E-2</v>
      </c>
      <c r="E30">
        <f>$B30*$C30*'Offroad Tiers EF'!$AR$10</f>
        <v>0.5118606701940035</v>
      </c>
      <c r="F30">
        <f>$B30*$C30*'Offroad Tiers EF'!$AP$10</f>
        <v>0.29530423280423279</v>
      </c>
      <c r="H30">
        <f>$B30*$C30*'Offroad Tiers EF'!$AT$10</f>
        <v>2.9530423280423276E-3</v>
      </c>
      <c r="K30">
        <f>$B30*$C30*'Offroad Tiers EF'!$AW$10</f>
        <v>2.7561728395061727E-2</v>
      </c>
      <c r="L30">
        <f>$B30*$C30*'Offroad Tiers EF'!$BA$10</f>
        <v>0.43311287477954141</v>
      </c>
      <c r="M30">
        <f>$B30*$C30*'Offroad Tiers EF'!$AY$10</f>
        <v>5.9060846560846557E-2</v>
      </c>
      <c r="O30">
        <f>$B30*$C30*'Offroad Tiers EF'!$BC$10</f>
        <v>2.9530423280423276E-3</v>
      </c>
    </row>
    <row r="31" spans="1:15" x14ac:dyDescent="0.25">
      <c r="A31" s="27" t="s">
        <v>165</v>
      </c>
      <c r="B31" s="25">
        <v>525</v>
      </c>
      <c r="C31" s="25">
        <v>0.38</v>
      </c>
      <c r="D31">
        <v>0</v>
      </c>
      <c r="E31">
        <v>0</v>
      </c>
      <c r="F31">
        <v>0</v>
      </c>
      <c r="H31">
        <v>0</v>
      </c>
      <c r="K31">
        <v>0</v>
      </c>
      <c r="L31">
        <v>0</v>
      </c>
      <c r="M31">
        <v>0</v>
      </c>
      <c r="O31">
        <v>0</v>
      </c>
    </row>
    <row r="32" spans="1:15" x14ac:dyDescent="0.25">
      <c r="A32" s="27" t="s">
        <v>166</v>
      </c>
      <c r="B32" s="25">
        <v>300</v>
      </c>
      <c r="C32" s="25">
        <v>0.38</v>
      </c>
      <c r="D32">
        <f>$B32*$C32*'Offroad Tiers EF'!$AN$11</f>
        <v>3.5185185185185187E-2</v>
      </c>
      <c r="E32">
        <f>$B32*$C32*'Offroad Tiers EF'!$AR$11</f>
        <v>0.65343915343915338</v>
      </c>
      <c r="F32">
        <f>$B32*$C32*'Offroad Tiers EF'!$AP$11</f>
        <v>0.37698412698412698</v>
      </c>
      <c r="H32">
        <f>$B32*$C32*'Offroad Tiers EF'!$AT$11</f>
        <v>3.7698412698412695E-3</v>
      </c>
      <c r="K32">
        <f>$B32*$C32*'Offroad Tiers EF'!$AW$11</f>
        <v>3.5185185185185187E-2</v>
      </c>
      <c r="L32">
        <f>$B32*$C32*'Offroad Tiers EF'!$BA$11</f>
        <v>0.55291005291005291</v>
      </c>
      <c r="M32">
        <f>$B32*$C32*'Offroad Tiers EF'!$AY$11</f>
        <v>7.5396825396825393E-2</v>
      </c>
      <c r="O32">
        <f>$B32*$C32*'Offroad Tiers EF'!$BC$11</f>
        <v>3.7698412698412695E-3</v>
      </c>
    </row>
    <row r="33" spans="1:15" x14ac:dyDescent="0.25">
      <c r="A33" s="27" t="s">
        <v>203</v>
      </c>
      <c r="B33" s="25">
        <v>175</v>
      </c>
      <c r="C33" s="25">
        <v>0.38</v>
      </c>
      <c r="D33">
        <f>$B33*$C33*'Offroad Tiers EF'!$AN$10</f>
        <v>2.0524691358024691E-2</v>
      </c>
      <c r="E33">
        <f>$B33*$C33*'Offroad Tiers EF'!$AR$10</f>
        <v>0.38117283950617281</v>
      </c>
      <c r="F33">
        <f>$B33*$C33*'Offroad Tiers EF'!$AP$10</f>
        <v>0.21990740740740738</v>
      </c>
      <c r="H33">
        <f>$B33*$C33*'Offroad Tiers EF'!$AT$10</f>
        <v>2.1990740740740738E-3</v>
      </c>
      <c r="K33">
        <f>$B33*$C33*'Offroad Tiers EF'!$AW$10</f>
        <v>2.0524691358024691E-2</v>
      </c>
      <c r="L33">
        <f>$B33*$C33*'Offroad Tiers EF'!$BA$10</f>
        <v>0.32253086419753085</v>
      </c>
      <c r="M33">
        <f>$B33*$C33*'Offroad Tiers EF'!$AY$10</f>
        <v>4.3981481481481483E-2</v>
      </c>
      <c r="O33">
        <f>$B33*$C33*'Offroad Tiers EF'!$BC$10</f>
        <v>2.1990740740740738E-3</v>
      </c>
    </row>
    <row r="34" spans="1:15" x14ac:dyDescent="0.25">
      <c r="A34" s="27" t="s">
        <v>164</v>
      </c>
      <c r="B34" s="25">
        <v>180</v>
      </c>
      <c r="C34" s="25">
        <v>0.4</v>
      </c>
      <c r="D34">
        <f>$B34*$C34*'Offroad Tiers EF'!$AN$10</f>
        <v>2.2222222222222223E-2</v>
      </c>
      <c r="E34">
        <f>$B34*$C34*'Offroad Tiers EF'!$AR$10</f>
        <v>0.41269841269841268</v>
      </c>
      <c r="F34">
        <f>$B34*$C34*'Offroad Tiers EF'!$AP$10</f>
        <v>0.23809523809523808</v>
      </c>
      <c r="H34">
        <f>$B34*$C34*'Offroad Tiers EF'!$AT$10</f>
        <v>2.3809523809523807E-3</v>
      </c>
      <c r="K34">
        <f>$B34*$C34*'Offroad Tiers EF'!$AW$10</f>
        <v>2.2222222222222223E-2</v>
      </c>
      <c r="L34">
        <f>$B34*$C34*'Offroad Tiers EF'!$BA$10</f>
        <v>0.34920634920634919</v>
      </c>
      <c r="M34">
        <f>$B34*$C34*'Offroad Tiers EF'!$AY$10</f>
        <v>4.7619047619047616E-2</v>
      </c>
      <c r="O34">
        <f>$B34*$C34*'Offroad Tiers EF'!$BC$10</f>
        <v>2.3809523809523807E-3</v>
      </c>
    </row>
    <row r="35" spans="1:15" x14ac:dyDescent="0.25">
      <c r="A35" s="27" t="s">
        <v>166</v>
      </c>
      <c r="B35" s="25">
        <v>235</v>
      </c>
      <c r="C35" s="25">
        <v>0.38</v>
      </c>
      <c r="D35">
        <f>$B35*$C35*'Offroad Tiers EF'!$AN$10</f>
        <v>2.7561728395061727E-2</v>
      </c>
      <c r="E35">
        <f>$B35*$C35*'Offroad Tiers EF'!$AR$10</f>
        <v>0.5118606701940035</v>
      </c>
      <c r="F35">
        <f>$B35*$C35*'Offroad Tiers EF'!$AP$10</f>
        <v>0.29530423280423279</v>
      </c>
      <c r="H35">
        <f>$B35*$C35*'Offroad Tiers EF'!$AT$10</f>
        <v>2.9530423280423276E-3</v>
      </c>
      <c r="K35">
        <f>$B35*$C35*'Offroad Tiers EF'!$AW$10</f>
        <v>2.7561728395061727E-2</v>
      </c>
      <c r="L35">
        <f>$B35*$C35*'Offroad Tiers EF'!$BA$10</f>
        <v>0.43311287477954141</v>
      </c>
      <c r="M35">
        <f>$B35*$C35*'Offroad Tiers EF'!$AY$10</f>
        <v>5.9060846560846557E-2</v>
      </c>
      <c r="O35">
        <f>$B35*$C35*'Offroad Tiers EF'!$BC$10</f>
        <v>2.9530423280423276E-3</v>
      </c>
    </row>
    <row r="36" spans="1:15" x14ac:dyDescent="0.25">
      <c r="A36" s="531" t="s">
        <v>167</v>
      </c>
      <c r="B36" s="25">
        <v>235</v>
      </c>
      <c r="C36" s="25">
        <v>0.38</v>
      </c>
      <c r="D36">
        <f>$B36*$C36*'Offroad Tiers EF'!$AN$10</f>
        <v>2.7561728395061727E-2</v>
      </c>
      <c r="E36">
        <f>$B36*$C36*'Offroad Tiers EF'!$AR$10</f>
        <v>0.5118606701940035</v>
      </c>
      <c r="F36">
        <f>$B36*$C36*'Offroad Tiers EF'!$AP$10</f>
        <v>0.29530423280423279</v>
      </c>
      <c r="H36">
        <f>$B36*$C36*'Offroad Tiers EF'!$AT$10</f>
        <v>2.9530423280423276E-3</v>
      </c>
      <c r="K36">
        <f>$B36*$C36*'Offroad Tiers EF'!$AW$10</f>
        <v>2.7561728395061727E-2</v>
      </c>
      <c r="L36">
        <f>$B36*$C36*'Offroad Tiers EF'!$BA$10</f>
        <v>0.43311287477954141</v>
      </c>
      <c r="M36">
        <f>$B36*$C36*'Offroad Tiers EF'!$AY$10</f>
        <v>5.9060846560846557E-2</v>
      </c>
      <c r="O36">
        <f>$B36*$C36*'Offroad Tiers EF'!$BC$10</f>
        <v>2.9530423280423276E-3</v>
      </c>
    </row>
    <row r="37" spans="1:15" x14ac:dyDescent="0.25">
      <c r="A37" s="27" t="s">
        <v>168</v>
      </c>
      <c r="B37" s="25">
        <v>235</v>
      </c>
      <c r="C37" s="25">
        <v>0.38</v>
      </c>
      <c r="D37">
        <f>$B37*$C37*'Offroad Tiers EF'!$AN$10</f>
        <v>2.7561728395061727E-2</v>
      </c>
      <c r="E37">
        <f>$B37*$C37*'Offroad Tiers EF'!$AR$10</f>
        <v>0.5118606701940035</v>
      </c>
      <c r="F37">
        <f>$B37*$C37*'Offroad Tiers EF'!$AP$10</f>
        <v>0.29530423280423279</v>
      </c>
      <c r="H37">
        <f>$B37*$C37*'Offroad Tiers EF'!$AT$10</f>
        <v>2.9530423280423276E-3</v>
      </c>
      <c r="K37">
        <f>$B37*$C37*'Offroad Tiers EF'!$AW$10</f>
        <v>2.7561728395061727E-2</v>
      </c>
      <c r="L37">
        <f>$B37*$C37*'Offroad Tiers EF'!$BA$10</f>
        <v>0.43311287477954141</v>
      </c>
      <c r="M37">
        <f>$B37*$C37*'Offroad Tiers EF'!$AY$10</f>
        <v>5.9060846560846557E-2</v>
      </c>
      <c r="O37">
        <f>$B37*$C37*'Offroad Tiers EF'!$BC$10</f>
        <v>2.9530423280423276E-3</v>
      </c>
    </row>
    <row r="38" spans="1:15" x14ac:dyDescent="0.25">
      <c r="A38" s="27" t="s">
        <v>213</v>
      </c>
      <c r="B38" s="25">
        <v>175</v>
      </c>
      <c r="C38" s="25">
        <v>0.38</v>
      </c>
      <c r="D38">
        <f>$B38*$C38*'Offroad Tiers EF'!$AN$10</f>
        <v>2.0524691358024691E-2</v>
      </c>
      <c r="E38">
        <f>$B38*$C38*'Offroad Tiers EF'!$AR$10</f>
        <v>0.38117283950617281</v>
      </c>
      <c r="F38">
        <f>$B38*$C38*'Offroad Tiers EF'!$AP$10</f>
        <v>0.21990740740740738</v>
      </c>
      <c r="H38">
        <f>$B38*$C38*'Offroad Tiers EF'!$AT$10</f>
        <v>2.1990740740740738E-3</v>
      </c>
      <c r="K38">
        <f>$B38*$C38*'Offroad Tiers EF'!$AW$10</f>
        <v>2.0524691358024691E-2</v>
      </c>
      <c r="L38">
        <f>$B38*$C38*'Offroad Tiers EF'!$BA$10</f>
        <v>0.32253086419753085</v>
      </c>
      <c r="M38">
        <f>$B38*$C38*'Offroad Tiers EF'!$AY$10</f>
        <v>4.3981481481481483E-2</v>
      </c>
      <c r="O38">
        <f>$B38*$C38*'Offroad Tiers EF'!$BC$10</f>
        <v>2.1990740740740738E-3</v>
      </c>
    </row>
    <row r="39" spans="1:15" x14ac:dyDescent="0.25">
      <c r="A39" s="27" t="s">
        <v>589</v>
      </c>
      <c r="B39" s="532">
        <v>235</v>
      </c>
      <c r="C39" s="25">
        <v>0.38</v>
      </c>
      <c r="D39" s="562">
        <f>$B39*$C39*'Offroad Tiers EF'!$AN$10</f>
        <v>2.7561728395061727E-2</v>
      </c>
      <c r="E39" s="562">
        <f>$B39*$C39*'Offroad Tiers EF'!$AR$10</f>
        <v>0.5118606701940035</v>
      </c>
      <c r="F39" s="562">
        <f>$B39*$C39*'Offroad Tiers EF'!$AP$10</f>
        <v>0.29530423280423279</v>
      </c>
      <c r="G39" s="562"/>
      <c r="H39" s="562">
        <f>$B39*$C39*'Offroad Tiers EF'!$AT$10</f>
        <v>2.9530423280423276E-3</v>
      </c>
      <c r="I39" s="562"/>
      <c r="J39" s="562"/>
      <c r="K39" s="562">
        <f>$B39*$C39*'Offroad Tiers EF'!$AW$10</f>
        <v>2.7561728395061727E-2</v>
      </c>
      <c r="L39" s="562">
        <f>$B39*$C39*'Offroad Tiers EF'!$BA$10</f>
        <v>0.43311287477954141</v>
      </c>
      <c r="M39" s="562">
        <f>$B39*$C39*'Offroad Tiers EF'!$AY$10</f>
        <v>5.9060846560846557E-2</v>
      </c>
      <c r="N39" s="562"/>
      <c r="O39" s="562">
        <f>$B39*$C39*'Offroad Tiers EF'!$BC$10</f>
        <v>2.9530423280423276E-3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workbookViewId="0">
      <selection activeCell="D3" sqref="D3:AS44"/>
    </sheetView>
  </sheetViews>
  <sheetFormatPr defaultRowHeight="13.2" x14ac:dyDescent="0.25"/>
  <cols>
    <col min="1" max="1" width="32.44140625" customWidth="1"/>
  </cols>
  <sheetData>
    <row r="1" spans="1:45" ht="13.8" thickBot="1" x14ac:dyDescent="0.3">
      <c r="D1">
        <v>2015</v>
      </c>
      <c r="E1" s="502">
        <v>2015</v>
      </c>
      <c r="F1" s="502">
        <v>2015</v>
      </c>
      <c r="G1" s="502">
        <v>2015</v>
      </c>
      <c r="H1" s="502">
        <v>2015</v>
      </c>
      <c r="I1" s="502">
        <v>2015</v>
      </c>
      <c r="J1" s="502">
        <v>2015</v>
      </c>
      <c r="K1">
        <v>2016</v>
      </c>
      <c r="L1" s="502">
        <v>2016</v>
      </c>
      <c r="M1" s="502">
        <v>2016</v>
      </c>
      <c r="N1" s="502">
        <v>2016</v>
      </c>
      <c r="O1" s="502">
        <v>2016</v>
      </c>
      <c r="P1" s="502">
        <v>2016</v>
      </c>
      <c r="Q1" s="502">
        <v>2016</v>
      </c>
      <c r="R1">
        <v>2017</v>
      </c>
      <c r="S1" s="502">
        <v>2017</v>
      </c>
      <c r="T1" s="502">
        <v>2017</v>
      </c>
      <c r="U1" s="502">
        <v>2017</v>
      </c>
      <c r="V1" s="502">
        <v>2017</v>
      </c>
      <c r="W1" s="502">
        <v>2017</v>
      </c>
      <c r="X1" s="502">
        <v>2017</v>
      </c>
      <c r="Y1">
        <v>2018</v>
      </c>
      <c r="Z1" s="502">
        <v>2018</v>
      </c>
      <c r="AA1" s="502">
        <v>2018</v>
      </c>
      <c r="AB1" s="502">
        <v>2018</v>
      </c>
      <c r="AC1" s="502">
        <v>2018</v>
      </c>
      <c r="AD1" s="502">
        <v>2018</v>
      </c>
      <c r="AE1" s="502">
        <v>2018</v>
      </c>
      <c r="AF1">
        <v>2019</v>
      </c>
      <c r="AG1" s="502">
        <v>2019</v>
      </c>
      <c r="AH1" s="502">
        <v>2019</v>
      </c>
      <c r="AI1" s="502">
        <v>2019</v>
      </c>
      <c r="AJ1" s="502">
        <v>2019</v>
      </c>
      <c r="AK1" s="502">
        <v>2019</v>
      </c>
      <c r="AL1" s="502">
        <v>2019</v>
      </c>
      <c r="AM1">
        <v>2020</v>
      </c>
      <c r="AN1" s="502">
        <v>2020</v>
      </c>
      <c r="AO1" s="502">
        <v>2020</v>
      </c>
      <c r="AP1" s="502">
        <v>2020</v>
      </c>
      <c r="AQ1" s="502">
        <v>2020</v>
      </c>
      <c r="AR1" s="502">
        <v>2020</v>
      </c>
      <c r="AS1" s="502">
        <v>2020</v>
      </c>
    </row>
    <row r="2" spans="1:45" ht="13.8" thickBot="1" x14ac:dyDescent="0.3">
      <c r="A2" s="97" t="s">
        <v>502</v>
      </c>
      <c r="B2" t="s">
        <v>572</v>
      </c>
      <c r="C2" s="97" t="s">
        <v>5</v>
      </c>
      <c r="D2" s="511" t="s">
        <v>68</v>
      </c>
      <c r="E2" s="511" t="s">
        <v>66</v>
      </c>
      <c r="F2" s="511" t="s">
        <v>362</v>
      </c>
      <c r="G2" s="511" t="s">
        <v>359</v>
      </c>
      <c r="H2" s="511" t="s">
        <v>360</v>
      </c>
      <c r="I2" s="512" t="s">
        <v>72</v>
      </c>
      <c r="J2" s="513" t="s">
        <v>73</v>
      </c>
      <c r="K2" s="511" t="s">
        <v>68</v>
      </c>
      <c r="L2" s="511" t="s">
        <v>66</v>
      </c>
      <c r="M2" s="511" t="s">
        <v>362</v>
      </c>
      <c r="N2" s="511" t="s">
        <v>359</v>
      </c>
      <c r="O2" s="511" t="s">
        <v>360</v>
      </c>
      <c r="P2" s="512" t="s">
        <v>72</v>
      </c>
      <c r="Q2" s="513" t="s">
        <v>73</v>
      </c>
      <c r="R2" s="511" t="s">
        <v>68</v>
      </c>
      <c r="S2" s="511" t="s">
        <v>66</v>
      </c>
      <c r="T2" s="511" t="s">
        <v>362</v>
      </c>
      <c r="U2" s="511" t="s">
        <v>359</v>
      </c>
      <c r="V2" s="511" t="s">
        <v>360</v>
      </c>
      <c r="W2" s="512" t="s">
        <v>72</v>
      </c>
      <c r="X2" s="513" t="s">
        <v>73</v>
      </c>
      <c r="Y2" s="511" t="s">
        <v>68</v>
      </c>
      <c r="Z2" s="511" t="s">
        <v>66</v>
      </c>
      <c r="AA2" s="511" t="s">
        <v>362</v>
      </c>
      <c r="AB2" s="511" t="s">
        <v>359</v>
      </c>
      <c r="AC2" s="511" t="s">
        <v>360</v>
      </c>
      <c r="AD2" s="512" t="s">
        <v>72</v>
      </c>
      <c r="AE2" s="513" t="s">
        <v>73</v>
      </c>
      <c r="AF2" s="511" t="s">
        <v>68</v>
      </c>
      <c r="AG2" s="511" t="s">
        <v>66</v>
      </c>
      <c r="AH2" s="511" t="s">
        <v>362</v>
      </c>
      <c r="AI2" s="511" t="s">
        <v>359</v>
      </c>
      <c r="AJ2" s="511" t="s">
        <v>360</v>
      </c>
      <c r="AK2" s="512" t="s">
        <v>72</v>
      </c>
      <c r="AL2" s="513" t="s">
        <v>73</v>
      </c>
      <c r="AM2" s="511" t="s">
        <v>68</v>
      </c>
      <c r="AN2" s="511" t="s">
        <v>66</v>
      </c>
      <c r="AO2" s="511" t="s">
        <v>362</v>
      </c>
      <c r="AP2" s="511" t="s">
        <v>359</v>
      </c>
      <c r="AQ2" s="511" t="s">
        <v>360</v>
      </c>
      <c r="AR2" s="512" t="s">
        <v>72</v>
      </c>
      <c r="AS2" s="513" t="s">
        <v>73</v>
      </c>
    </row>
    <row r="3" spans="1:45" x14ac:dyDescent="0.25">
      <c r="A3" s="27" t="s">
        <v>193</v>
      </c>
      <c r="B3" s="25">
        <v>350</v>
      </c>
      <c r="C3" s="134">
        <v>0.4</v>
      </c>
      <c r="D3" s="611">
        <f>0.95*[5]OFFROADEFs!D3+0.05*'[5]Tier 4'!$D3</f>
        <v>0.28066021184881418</v>
      </c>
      <c r="E3" s="611">
        <f>0.95*[5]OFFROADEFs!E3+0.05*'[5]Tier 4'!$E3</f>
        <v>1.2234716378508228</v>
      </c>
      <c r="F3" s="611">
        <f>0.95*[5]OFFROADEFs!F3+0.05*'[5]Tier 4'!$F3</f>
        <v>2.2984677151643464</v>
      </c>
      <c r="G3" s="611">
        <f>[5]OFFROADEFs!G3</f>
        <v>2.5998102444893035E-3</v>
      </c>
      <c r="H3" s="611">
        <f>0.95*[5]OFFROADEFs!H3+0.05*'[5]Tier 4'!$H3</f>
        <v>9.3824024160305358E-2</v>
      </c>
      <c r="I3" s="611">
        <f>[5]OFFROADEFs!I3</f>
        <v>264.8725636721183</v>
      </c>
      <c r="J3" s="611">
        <f>[5]OFFROADEFs!J3</f>
        <v>2.6451144743432839E-2</v>
      </c>
      <c r="K3" s="611">
        <f>0.9*[5]OFFROADEFs!K3+0.1*'[5]Tier 4'!$K3</f>
        <v>0.2557578409919421</v>
      </c>
      <c r="L3" s="611">
        <f>0.9*[5]OFFROADEFs!L3+0.1*'[5]Tier 4'!$L3</f>
        <v>1.1189343582037012</v>
      </c>
      <c r="M3" s="611">
        <f>0.9*[5]OFFROADEFs!M3+0.1*'[5]Tier 4'!$M3</f>
        <v>2.0238173119322376</v>
      </c>
      <c r="N3" s="611">
        <f>[5]OFFROADEFs!N3</f>
        <v>2.5998104036399888E-3</v>
      </c>
      <c r="O3" s="611">
        <f>0.9*[5]OFFROADEFs!O3+0.1*'[5]Tier 4'!$O3</f>
        <v>8.2830482530944383E-2</v>
      </c>
      <c r="P3" s="611">
        <f>[5]OFFROADEFs!P3</f>
        <v>264.87256951539769</v>
      </c>
      <c r="Q3" s="611">
        <f>[5]OFFROADEFs!Q3</f>
        <v>2.5207486969571574E-2</v>
      </c>
      <c r="R3" s="611">
        <f>0.8*[5]OFFROADEFs!R3+0.2*'[5]Tier 4'!$K3</f>
        <v>0.22145112145961368</v>
      </c>
      <c r="S3" s="611">
        <f>0.8*[5]OFFROADEFs!S3+0.2*'[5]Tier 4'!$L3</f>
        <v>1.0135898251132514</v>
      </c>
      <c r="T3" s="611">
        <f>0.8*[5]OFFROADEFs!T3+0.2*'[5]Tier 4'!$M3</f>
        <v>1.689975064592242</v>
      </c>
      <c r="U3" s="611">
        <f>[5]OFFROADEFs!U3</f>
        <v>2.5998100409794032E-3</v>
      </c>
      <c r="V3" s="611">
        <f>0.8*[5]OFFROADEFs!V3+0.2*'[5]Tier 4'!$O3</f>
        <v>6.8853609846035307E-2</v>
      </c>
      <c r="W3" s="611">
        <f>[5]OFFROADEFs!W3</f>
        <v>264.87250666353776</v>
      </c>
      <c r="X3" s="611">
        <f>[5]OFFROADEFs!X3</f>
        <v>2.4001780874155543E-2</v>
      </c>
      <c r="Y3" s="611">
        <f>0.7*[5]OFFROADEFs!Y3+0.3*'[5]Tier 4'!$K3</f>
        <v>0.19010885208217745</v>
      </c>
      <c r="Z3" s="611">
        <f>0.7*[5]OFFROADEFs!Z3+0.3*'[5]Tier 4'!$L3</f>
        <v>0.92733674311132774</v>
      </c>
      <c r="AA3" s="611">
        <f>0.7*[5]OFFROADEFs!AA3+0.3*'[5]Tier 4'!$M3</f>
        <v>1.3911192919446005</v>
      </c>
      <c r="AB3" s="611">
        <f>[5]OFFROADEFs!AB3</f>
        <v>2.5998107214987693E-3</v>
      </c>
      <c r="AC3" s="611">
        <f>0.7*[5]OFFROADEFs!AC3+0.3*'[5]Tier 4'!$O3</f>
        <v>5.6463798849572006E-2</v>
      </c>
      <c r="AD3" s="611">
        <f>[5]OFFROADEFs!AD3</f>
        <v>264.87253998784388</v>
      </c>
      <c r="AE3" s="611">
        <f>[5]OFFROADEFs!AE3</f>
        <v>2.2833695420172207E-2</v>
      </c>
      <c r="AF3" s="611">
        <f>0.6*[5]OFFROADEFs!AF3+0.4*'[5]Tier 4'!$K3</f>
        <v>0.16170672025220467</v>
      </c>
      <c r="AG3" s="611">
        <f>0.6*[5]OFFROADEFs!AG3+0.4*'[5]Tier 4'!$L3</f>
        <v>0.85799129832501397</v>
      </c>
      <c r="AH3" s="611">
        <f>0.6*[5]OFFROADEFs!AH3+0.4*'[5]Tier 4'!$M3</f>
        <v>1.1250881073923746</v>
      </c>
      <c r="AI3" s="611">
        <f>[5]OFFROADEFs!AI3</f>
        <v>2.599810147793907E-3</v>
      </c>
      <c r="AJ3" s="611">
        <f>0.6*[5]OFFROADEFs!AJ3+0.4*'[5]Tier 4'!$O3</f>
        <v>4.554369024504213E-2</v>
      </c>
      <c r="AK3" s="611">
        <f>[5]OFFROADEFs!AK3</f>
        <v>264.87254421657707</v>
      </c>
      <c r="AL3" s="611">
        <f>[5]OFFROADEFs!AL3</f>
        <v>2.1718388632719882E-2</v>
      </c>
      <c r="AM3" s="611">
        <f>0.5*[5]OFFROADEFs!AM3+0.5*'[5]Tier 4'!$K3</f>
        <v>0.13615919955496442</v>
      </c>
      <c r="AN3" s="611">
        <f>0.5*[5]OFFROADEFs!AN3+0.5*'[5]Tier 4'!$L3</f>
        <v>0.80332723727592048</v>
      </c>
      <c r="AO3" s="611">
        <f>0.5*[5]OFFROADEFs!AO3+0.5*'[5]Tier 4'!$M3</f>
        <v>0.88968145700350976</v>
      </c>
      <c r="AP3" s="611">
        <f>[5]OFFROADEFs!AP3</f>
        <v>2.5998101519380768E-3</v>
      </c>
      <c r="AQ3" s="611">
        <f>0.5*[5]OFFROADEFs!AQ3+0.5*'[5]Tier 4'!$O3</f>
        <v>3.5977964323809883E-2</v>
      </c>
      <c r="AR3" s="611">
        <f>[5]OFFROADEFs!AR3</f>
        <v>264.87248137307603</v>
      </c>
      <c r="AS3" s="611">
        <f>[5]OFFROADEFs!AS3</f>
        <v>2.0672093441887248E-2</v>
      </c>
    </row>
    <row r="4" spans="1:45" x14ac:dyDescent="0.25">
      <c r="A4" s="27" t="s">
        <v>194</v>
      </c>
      <c r="B4" s="25">
        <v>350</v>
      </c>
      <c r="C4" s="134">
        <v>0.41</v>
      </c>
      <c r="D4" s="611">
        <f>0.95*[5]OFFROADEFs!D4+0.05*'[5]Tier 4'!$D4</f>
        <v>0.16050268261922351</v>
      </c>
      <c r="E4" s="611">
        <f>0.95*[5]OFFROADEFs!E4+0.05*'[5]Tier 4'!$E4</f>
        <v>0.58634095857918989</v>
      </c>
      <c r="F4" s="611">
        <f>0.95*[5]OFFROADEFs!F4+0.05*'[5]Tier 4'!$F4</f>
        <v>1.3309478779062127</v>
      </c>
      <c r="G4" s="611">
        <f>[5]OFFROADEFs!G4</f>
        <v>2.2524633622208845E-3</v>
      </c>
      <c r="H4" s="611">
        <f>0.95*[5]OFFROADEFs!H4+0.05*'[5]Tier 4'!$H4</f>
        <v>4.7321529971864722E-2</v>
      </c>
      <c r="I4" s="611">
        <f>[5]OFFROADEFs!I4</f>
        <v>229.48430404511782</v>
      </c>
      <c r="J4" s="611">
        <f>[5]OFFROADEFs!J4</f>
        <v>1.5033778692192376E-2</v>
      </c>
      <c r="K4" s="611">
        <f>0.9*[5]OFFROADEFs!K4+0.1*'[5]Tier 4'!$K4</f>
        <v>0.14651052375647014</v>
      </c>
      <c r="L4" s="611">
        <f>0.9*[5]OFFROADEFs!L4+0.1*'[5]Tier 4'!$L4</f>
        <v>0.56681044061980379</v>
      </c>
      <c r="M4" s="611">
        <f>0.9*[5]OFFROADEFs!M4+0.1*'[5]Tier 4'!$M4</f>
        <v>1.1249463591257944</v>
      </c>
      <c r="N4" s="611">
        <f>[5]OFFROADEFs!N4</f>
        <v>2.2524634107676184E-3</v>
      </c>
      <c r="O4" s="611">
        <f>0.9*[5]OFFROADEFs!O4+0.1*'[5]Tier 4'!$O4</f>
        <v>4.0605643141673767E-2</v>
      </c>
      <c r="P4" s="611">
        <f>[5]OFFROADEFs!P4</f>
        <v>229.48431544436346</v>
      </c>
      <c r="Q4" s="611">
        <f>[5]OFFROADEFs!Q4</f>
        <v>1.4244206783455365E-2</v>
      </c>
      <c r="R4" s="611">
        <f>0.8*[5]OFFROADEFs!R4+0.2*'[5]Tier 4'!$K4</f>
        <v>0.12859424881759116</v>
      </c>
      <c r="S4" s="611">
        <f>0.8*[5]OFFROADEFs!S4+0.2*'[5]Tier 4'!$L4</f>
        <v>0.56672529164515606</v>
      </c>
      <c r="T4" s="611">
        <f>0.8*[5]OFFROADEFs!T4+0.2*'[5]Tier 4'!$M4</f>
        <v>0.91006625906627936</v>
      </c>
      <c r="U4" s="611">
        <f>[5]OFFROADEFs!U4</f>
        <v>2.252463434596794E-3</v>
      </c>
      <c r="V4" s="611">
        <f>0.8*[5]OFFROADEFs!V4+0.2*'[5]Tier 4'!$O4</f>
        <v>3.298833801066816E-2</v>
      </c>
      <c r="W4" s="611">
        <f>[5]OFFROADEFs!W4</f>
        <v>229.48428583366018</v>
      </c>
      <c r="X4" s="611">
        <f>[5]OFFROADEFs!X4</f>
        <v>1.3504507514594796E-2</v>
      </c>
      <c r="Y4" s="611">
        <f>0.7*[5]OFFROADEFs!Y4+0.3*'[5]Tier 4'!$K4</f>
        <v>0.11271974728864882</v>
      </c>
      <c r="Z4" s="611">
        <f>0.7*[5]OFFROADEFs!Z4+0.3*'[5]Tier 4'!$L4</f>
        <v>0.57241121436476616</v>
      </c>
      <c r="AA4" s="611">
        <f>0.7*[5]OFFROADEFs!AA4+0.3*'[5]Tier 4'!$M4</f>
        <v>0.72770024308986958</v>
      </c>
      <c r="AB4" s="611">
        <f>[5]OFFROADEFs!AB4</f>
        <v>2.2524626963553339E-3</v>
      </c>
      <c r="AC4" s="611">
        <f>0.7*[5]OFFROADEFs!AC4+0.3*'[5]Tier 4'!$O4</f>
        <v>2.6573602078387052E-2</v>
      </c>
      <c r="AD4" s="611">
        <f>[5]OFFROADEFs!AD4</f>
        <v>229.48424083111456</v>
      </c>
      <c r="AE4" s="611">
        <f>[5]OFFROADEFs!AE4</f>
        <v>1.2816646598928946E-2</v>
      </c>
      <c r="AF4" s="611">
        <f>0.6*[5]OFFROADEFs!AF4+0.4*'[5]Tier 4'!$K4</f>
        <v>9.8702022682727431E-2</v>
      </c>
      <c r="AG4" s="611">
        <f>0.6*[5]OFFROADEFs!AG4+0.4*'[5]Tier 4'!$L4</f>
        <v>0.58273413827780207</v>
      </c>
      <c r="AH4" s="611">
        <f>0.6*[5]OFFROADEFs!AH4+0.4*'[5]Tier 4'!$M4</f>
        <v>0.57434158476764108</v>
      </c>
      <c r="AI4" s="611">
        <f>[5]OFFROADEFs!AI4</f>
        <v>2.2524636529229324E-3</v>
      </c>
      <c r="AJ4" s="611">
        <f>0.6*[5]OFFROADEFs!AJ4+0.4*'[5]Tier 4'!$O4</f>
        <v>2.1220188327076863E-2</v>
      </c>
      <c r="AK4" s="611">
        <f>[5]OFFROADEFs!AK4</f>
        <v>229.48421950990104</v>
      </c>
      <c r="AL4" s="611">
        <f>[5]OFFROADEFs!AL4</f>
        <v>1.2178721396469788E-2</v>
      </c>
      <c r="AM4" s="611">
        <f>0.5*[5]OFFROADEFs!AM4+0.5*'[5]Tier 4'!$K4</f>
        <v>8.6324717064820797E-2</v>
      </c>
      <c r="AN4" s="611">
        <f>0.5*[5]OFFROADEFs!AN4+0.5*'[5]Tier 4'!$L4</f>
        <v>0.59631454330490463</v>
      </c>
      <c r="AO4" s="611">
        <f>0.5*[5]OFFROADEFs!AO4+0.5*'[5]Tier 4'!$M4</f>
        <v>0.44653029889120027</v>
      </c>
      <c r="AP4" s="611">
        <f>[5]OFFROADEFs!AP4</f>
        <v>2.2524632483109158E-3</v>
      </c>
      <c r="AQ4" s="611">
        <f>0.5*[5]OFFROADEFs!AQ4+0.5*'[5]Tier 4'!$O4</f>
        <v>1.6789340928603329E-2</v>
      </c>
      <c r="AR4" s="611">
        <f>[5]OFFROADEFs!AR4</f>
        <v>229.48426254447057</v>
      </c>
      <c r="AS4" s="611">
        <f>[5]OFFROADEFs!AS4</f>
        <v>1.1581652574076154E-2</v>
      </c>
    </row>
    <row r="5" spans="1:45" x14ac:dyDescent="0.25">
      <c r="A5" s="27" t="s">
        <v>195</v>
      </c>
      <c r="B5" s="25">
        <v>350</v>
      </c>
      <c r="C5" s="134">
        <v>0.48</v>
      </c>
      <c r="D5" s="611">
        <f>0.95*[5]OFFROADEFs!D5+0.05*'[5]Tier 4'!$D5</f>
        <v>0.27645201730360836</v>
      </c>
      <c r="E5" s="611">
        <f>0.95*[5]OFFROADEFs!E5+0.05*'[5]Tier 4'!$E5</f>
        <v>1.0635193230957918</v>
      </c>
      <c r="F5" s="611">
        <f>0.95*[5]OFFROADEFs!F5+0.05*'[5]Tier 4'!$F5</f>
        <v>2.3176715449187282</v>
      </c>
      <c r="G5" s="611">
        <f>[5]OFFROADEFs!G5</f>
        <v>3.1549252143876689E-3</v>
      </c>
      <c r="H5" s="611">
        <f>0.95*[5]OFFROADEFs!H5+0.05*'[5]Tier 4'!$H5</f>
        <v>8.8586968740131236E-2</v>
      </c>
      <c r="I5" s="611">
        <f>[5]OFFROADEFs!I5</f>
        <v>321.42846035935588</v>
      </c>
      <c r="J5" s="611">
        <f>[5]OFFROADEFs!J5</f>
        <v>2.6010420981454316E-2</v>
      </c>
      <c r="K5" s="611">
        <f>0.9*[5]OFFROADEFs!K5+0.1*'[5]Tier 4'!$K5</f>
        <v>0.2514430376401327</v>
      </c>
      <c r="L5" s="611">
        <f>0.9*[5]OFFROADEFs!L5+0.1*'[5]Tier 4'!$L5</f>
        <v>0.99109696815177406</v>
      </c>
      <c r="M5" s="611">
        <f>0.9*[5]OFFROADEFs!M5+0.1*'[5]Tier 4'!$M5</f>
        <v>2.0075927195057486</v>
      </c>
      <c r="N5" s="611">
        <f>[5]OFFROADEFs!N5</f>
        <v>3.1549257046389317E-3</v>
      </c>
      <c r="O5" s="611">
        <f>0.9*[5]OFFROADEFs!O5+0.1*'[5]Tier 4'!$O5</f>
        <v>7.7143187339819549E-2</v>
      </c>
      <c r="P5" s="611">
        <f>[5]OFFROADEFs!P5</f>
        <v>321.42846751610921</v>
      </c>
      <c r="Q5" s="611">
        <f>[5]OFFROADEFs!Q5</f>
        <v>2.4688277766915231E-2</v>
      </c>
      <c r="R5" s="611">
        <f>0.8*[5]OFFROADEFs!R5+0.2*'[5]Tier 4'!$K5</f>
        <v>0.21792636194908874</v>
      </c>
      <c r="S5" s="611">
        <f>0.8*[5]OFFROADEFs!S5+0.2*'[5]Tier 4'!$L5</f>
        <v>0.93114922897044761</v>
      </c>
      <c r="T5" s="611">
        <f>0.8*[5]OFFROADEFs!T5+0.2*'[5]Tier 4'!$M5</f>
        <v>1.6522402065662012</v>
      </c>
      <c r="U5" s="611">
        <f>[5]OFFROADEFs!U5</f>
        <v>3.1549252848218547E-3</v>
      </c>
      <c r="V5" s="611">
        <f>0.8*[5]OFFROADEFs!V5+0.2*'[5]Tier 4'!$O5</f>
        <v>6.3250329156374574E-2</v>
      </c>
      <c r="W5" s="611">
        <f>[5]OFFROADEFs!W5</f>
        <v>321.42849811261823</v>
      </c>
      <c r="X5" s="611">
        <f>[5]OFFROADEFs!X5</f>
        <v>2.3409296751328711E-2</v>
      </c>
      <c r="Y5" s="611">
        <f>0.7*[5]OFFROADEFs!Y5+0.3*'[5]Tier 4'!$K5</f>
        <v>0.18763802971858667</v>
      </c>
      <c r="Z5" s="611">
        <f>0.7*[5]OFFROADEFs!Z5+0.3*'[5]Tier 4'!$L5</f>
        <v>0.88597384260811585</v>
      </c>
      <c r="AA5" s="611">
        <f>0.7*[5]OFFROADEFs!AA5+0.3*'[5]Tier 4'!$M5</f>
        <v>1.3408039950378134</v>
      </c>
      <c r="AB5" s="611">
        <f>[5]OFFROADEFs!AB5</f>
        <v>3.1549262583779004E-3</v>
      </c>
      <c r="AC5" s="611">
        <f>0.7*[5]OFFROADEFs!AC5+0.3*'[5]Tier 4'!$O5</f>
        <v>5.1155338632109804E-2</v>
      </c>
      <c r="AD5" s="611">
        <f>[5]OFFROADEFs!AD5</f>
        <v>321.42848144577874</v>
      </c>
      <c r="AE5" s="611">
        <f>[5]OFFROADEFs!AE5</f>
        <v>2.2181037455302012E-2</v>
      </c>
      <c r="AF5" s="611">
        <f>0.6*[5]OFFROADEFs!AF5+0.4*'[5]Tier 4'!$K5</f>
        <v>0.1605582423299094</v>
      </c>
      <c r="AG5" s="611">
        <f>0.6*[5]OFFROADEFs!AG5+0.4*'[5]Tier 4'!$L5</f>
        <v>0.8530099475615206</v>
      </c>
      <c r="AH5" s="611">
        <f>0.6*[5]OFFROADEFs!AH5+0.4*'[5]Tier 4'!$M5</f>
        <v>1.0699706323957581</v>
      </c>
      <c r="AI5" s="611">
        <f>[5]OFFROADEFs!AI5</f>
        <v>3.1549256422564666E-3</v>
      </c>
      <c r="AJ5" s="611">
        <f>0.6*[5]OFFROADEFs!AJ5+0.4*'[5]Tier 4'!$O5</f>
        <v>4.0782230728342743E-2</v>
      </c>
      <c r="AK5" s="611">
        <f>[5]OFFROADEFs!AK5</f>
        <v>321.42843554242222</v>
      </c>
      <c r="AL5" s="611">
        <f>[5]OFFROADEFs!AL5</f>
        <v>2.1025852051004948E-2</v>
      </c>
      <c r="AM5" s="611">
        <f>0.5*[5]OFFROADEFs!AM5+0.5*'[5]Tier 4'!$K5</f>
        <v>0.1364999779739714</v>
      </c>
      <c r="AN5" s="611">
        <f>0.5*[5]OFFROADEFs!AN5+0.5*'[5]Tier 4'!$L5</f>
        <v>0.8301374696971533</v>
      </c>
      <c r="AO5" s="611">
        <f>0.5*[5]OFFROADEFs!AO5+0.5*'[5]Tier 4'!$M5</f>
        <v>0.83629167421805861</v>
      </c>
      <c r="AP5" s="611">
        <f>[5]OFFROADEFs!AP5</f>
        <v>3.154926820014955E-3</v>
      </c>
      <c r="AQ5" s="611">
        <f>0.5*[5]OFFROADEFs!AQ5+0.5*'[5]Tier 4'!$O5</f>
        <v>3.198417576787084E-2</v>
      </c>
      <c r="AR5" s="611">
        <f>[5]OFFROADEFs!AR5</f>
        <v>321.42849079555151</v>
      </c>
      <c r="AS5" s="611">
        <f>[5]OFFROADEFs!AS5</f>
        <v>1.9953838118355136E-2</v>
      </c>
    </row>
    <row r="6" spans="1:45" x14ac:dyDescent="0.25">
      <c r="A6" s="27" t="s">
        <v>196</v>
      </c>
      <c r="B6" s="25">
        <v>250</v>
      </c>
      <c r="C6" s="134">
        <v>0.38</v>
      </c>
      <c r="D6" s="611">
        <f>0.95*[5]OFFROADEFs!D6+0.05*'[5]Tier 4'!$D6</f>
        <v>0.10659360197116201</v>
      </c>
      <c r="E6" s="611">
        <f>0.95*[5]OFFROADEFs!E6+0.05*'[5]Tier 4'!$E6</f>
        <v>0.36686319474726009</v>
      </c>
      <c r="F6" s="611">
        <f>0.95*[5]OFFROADEFs!F6+0.05*'[5]Tier 4'!$F6</f>
        <v>1.0557516810303123</v>
      </c>
      <c r="G6" s="611">
        <f>[5]OFFROADEFs!G6</f>
        <v>1.7225234988951081E-3</v>
      </c>
      <c r="H6" s="611">
        <f>0.95*[5]OFFROADEFs!H6+0.05*'[5]Tier 4'!$H6</f>
        <v>3.5131941225937512E-2</v>
      </c>
      <c r="I6" s="611">
        <f>[5]OFFROADEFs!I6</f>
        <v>153.0897857268109</v>
      </c>
      <c r="J6" s="611">
        <f>[5]OFFROADEFs!J6</f>
        <v>9.9847277011502044E-3</v>
      </c>
      <c r="K6" s="611">
        <f>0.9*[5]OFFROADEFs!K6+0.1*'[5]Tier 4'!$K6</f>
        <v>9.6724769789427623E-2</v>
      </c>
      <c r="L6" s="611">
        <f>0.9*[5]OFFROADEFs!L6+0.1*'[5]Tier 4'!$L6</f>
        <v>0.3577820874321771</v>
      </c>
      <c r="M6" s="611">
        <f>0.9*[5]OFFROADEFs!M6+0.1*'[5]Tier 4'!$M6</f>
        <v>0.90277961977021004</v>
      </c>
      <c r="N6" s="611">
        <f>[5]OFFROADEFs!N6</f>
        <v>1.7225238017196767E-3</v>
      </c>
      <c r="O6" s="611">
        <f>0.9*[5]OFFROADEFs!O6+0.1*'[5]Tier 4'!$O6</f>
        <v>3.0307506810758091E-2</v>
      </c>
      <c r="P6" s="611">
        <f>[5]OFFROADEFs!P6</f>
        <v>153.08990422247768</v>
      </c>
      <c r="Q6" s="611">
        <f>[5]OFFROADEFs!Q6</f>
        <v>9.4030671029605162E-3</v>
      </c>
      <c r="R6" s="611">
        <f>0.8*[5]OFFROADEFs!R6+0.2*'[5]Tier 4'!$K6</f>
        <v>8.4660598997014863E-2</v>
      </c>
      <c r="S6" s="611">
        <f>0.8*[5]OFFROADEFs!S6+0.2*'[5]Tier 4'!$L6</f>
        <v>0.36219012553465224</v>
      </c>
      <c r="T6" s="611">
        <f>0.8*[5]OFFROADEFs!T6+0.2*'[5]Tier 4'!$M6</f>
        <v>0.73535107265427568</v>
      </c>
      <c r="U6" s="611">
        <f>[5]OFFROADEFs!U6</f>
        <v>1.7225228533016813E-3</v>
      </c>
      <c r="V6" s="611">
        <f>0.8*[5]OFFROADEFs!V6+0.2*'[5]Tier 4'!$O6</f>
        <v>2.47861712058868E-2</v>
      </c>
      <c r="W6" s="611">
        <f>[5]OFFROADEFs!W6</f>
        <v>153.08978374428989</v>
      </c>
      <c r="X6" s="611">
        <f>[5]OFFROADEFs!X6</f>
        <v>8.8870914540412384E-3</v>
      </c>
      <c r="Y6" s="611">
        <f>0.7*[5]OFFROADEFs!Y6+0.3*'[5]Tier 4'!$K6</f>
        <v>7.4149915068081579E-2</v>
      </c>
      <c r="Z6" s="611">
        <f>0.7*[5]OFFROADEFs!Z6+0.3*'[5]Tier 4'!$L6</f>
        <v>0.36965336086439693</v>
      </c>
      <c r="AA6" s="611">
        <f>0.7*[5]OFFROADEFs!AA6+0.3*'[5]Tier 4'!$M6</f>
        <v>0.59034226834521442</v>
      </c>
      <c r="AB6" s="611">
        <f>[5]OFFROADEFs!AB6</f>
        <v>1.7225228680334771E-3</v>
      </c>
      <c r="AC6" s="611">
        <f>0.7*[5]OFFROADEFs!AC6+0.3*'[5]Tier 4'!$O6</f>
        <v>2.009726870738451E-2</v>
      </c>
      <c r="AD6" s="611">
        <f>[5]OFFROADEFs!AD6</f>
        <v>153.0898468576824</v>
      </c>
      <c r="AE6" s="611">
        <f>[5]OFFROADEFs!AE6</f>
        <v>8.4239312734354869E-3</v>
      </c>
      <c r="AF6" s="611">
        <f>0.6*[5]OFFROADEFs!AF6+0.4*'[5]Tier 4'!$K6</f>
        <v>6.4907591581502125E-2</v>
      </c>
      <c r="AG6" s="611">
        <f>0.6*[5]OFFROADEFs!AG6+0.4*'[5]Tier 4'!$L6</f>
        <v>0.37926042703511742</v>
      </c>
      <c r="AH6" s="611">
        <f>0.6*[5]OFFROADEFs!AH6+0.4*'[5]Tier 4'!$M6</f>
        <v>0.46592493202644208</v>
      </c>
      <c r="AI6" s="611">
        <f>[5]OFFROADEFs!AI6</f>
        <v>1.7225238768631813E-3</v>
      </c>
      <c r="AJ6" s="611">
        <f>0.6*[5]OFFROADEFs!AJ6+0.4*'[5]Tier 4'!$O6</f>
        <v>1.6111419358862331E-2</v>
      </c>
      <c r="AK6" s="611">
        <f>[5]OFFROADEFs!AK6</f>
        <v>153.08987122896906</v>
      </c>
      <c r="AL6" s="611">
        <f>[5]OFFROADEFs!AL6</f>
        <v>7.9971216054625441E-3</v>
      </c>
      <c r="AM6" s="611">
        <f>0.5*[5]OFFROADEFs!AM6+0.5*'[5]Tier 4'!$K6</f>
        <v>5.6751800870460556E-2</v>
      </c>
      <c r="AN6" s="611">
        <f>0.5*[5]OFFROADEFs!AN6+0.5*'[5]Tier 4'!$L6</f>
        <v>0.39041445622655258</v>
      </c>
      <c r="AO6" s="611">
        <f>0.5*[5]OFFROADEFs!AO6+0.5*'[5]Tier 4'!$M6</f>
        <v>0.36046250974546989</v>
      </c>
      <c r="AP6" s="611">
        <f>[5]OFFROADEFs!AP6</f>
        <v>1.7225233568523399E-3</v>
      </c>
      <c r="AQ6" s="611">
        <f>0.5*[5]OFFROADEFs!AQ6+0.5*'[5]Tier 4'!$O6</f>
        <v>1.2736855352226477E-2</v>
      </c>
      <c r="AR6" s="611">
        <f>[5]OFFROADEFs!AR6</f>
        <v>153.08982237295896</v>
      </c>
      <c r="AS6" s="611">
        <f>[5]OFFROADEFs!AS6</f>
        <v>7.5956615609982479E-3</v>
      </c>
    </row>
    <row r="7" spans="1:45" x14ac:dyDescent="0.25">
      <c r="A7" s="27" t="s">
        <v>197</v>
      </c>
      <c r="B7" s="134">
        <v>200</v>
      </c>
      <c r="C7" s="134">
        <v>0.36</v>
      </c>
      <c r="D7" s="611">
        <f>0.95*[5]OFFROADEFs!D7+0.05*'[5]Tier 4'!$D7</f>
        <v>0.10736823912786365</v>
      </c>
      <c r="E7" s="611">
        <f>0.95*[5]OFFROADEFs!E7+0.05*'[5]Tier 4'!$E7</f>
        <v>0.34779590495709528</v>
      </c>
      <c r="F7" s="611">
        <f>0.95*[5]OFFROADEFs!F7+0.05*'[5]Tier 4'!$F7</f>
        <v>0.95148079591778234</v>
      </c>
      <c r="G7" s="611">
        <f>[5]OFFROADEFs!G7</f>
        <v>1.676243123421701E-3</v>
      </c>
      <c r="H7" s="611">
        <f>0.95*[5]OFFROADEFs!H7+0.05*'[5]Tier 4'!$H7</f>
        <v>3.2120532550839874E-2</v>
      </c>
      <c r="I7" s="611">
        <f>[5]OFFROADEFs!I7</f>
        <v>148.97664453593197</v>
      </c>
      <c r="J7" s="611">
        <f>[5]OFFROADEFs!J7</f>
        <v>1.0092011106863865E-2</v>
      </c>
      <c r="K7" s="611">
        <f>0.9*[5]OFFROADEFs!K7+0.1*'[5]Tier 4'!$K7</f>
        <v>9.729792471015461E-2</v>
      </c>
      <c r="L7" s="611">
        <f>0.9*[5]OFFROADEFs!L7+0.1*'[5]Tier 4'!$L7</f>
        <v>0.33702924568892922</v>
      </c>
      <c r="M7" s="611">
        <f>0.9*[5]OFFROADEFs!M7+0.1*'[5]Tier 4'!$M7</f>
        <v>0.80550520916128832</v>
      </c>
      <c r="N7" s="611">
        <f>[5]OFFROADEFs!N7</f>
        <v>1.6762428138747331E-3</v>
      </c>
      <c r="O7" s="611">
        <f>0.9*[5]OFFROADEFs!O7+0.1*'[5]Tier 4'!$O7</f>
        <v>2.7459392732358621E-2</v>
      </c>
      <c r="P7" s="611">
        <f>[5]OFFROADEFs!P7</f>
        <v>148.97666793125595</v>
      </c>
      <c r="Q7" s="611">
        <f>[5]OFFROADEFs!Q7</f>
        <v>9.5316980170715351E-3</v>
      </c>
      <c r="R7" s="611">
        <f>0.8*[5]OFFROADEFs!R7+0.2*'[5]Tier 4'!$K7</f>
        <v>8.4406642295059356E-2</v>
      </c>
      <c r="S7" s="611">
        <f>0.8*[5]OFFROADEFs!S7+0.2*'[5]Tier 4'!$L7</f>
        <v>0.33307907265202508</v>
      </c>
      <c r="T7" s="611">
        <f>0.8*[5]OFFROADEFs!T7+0.2*'[5]Tier 4'!$M7</f>
        <v>0.64825897359369522</v>
      </c>
      <c r="U7" s="611">
        <f>[5]OFFROADEFs!U7</f>
        <v>1.6762431040541262E-3</v>
      </c>
      <c r="V7" s="611">
        <f>0.8*[5]OFFROADEFs!V7+0.2*'[5]Tier 4'!$O7</f>
        <v>2.2210315689099164E-2</v>
      </c>
      <c r="W7" s="611">
        <f>[5]OFFROADEFs!W7</f>
        <v>148.97664558315503</v>
      </c>
      <c r="X7" s="611">
        <f>[5]OFFROADEFs!X7</f>
        <v>9.0185753542049527E-3</v>
      </c>
      <c r="Y7" s="611">
        <f>0.7*[5]OFFROADEFs!Y7+0.3*'[5]Tier 4'!$K7</f>
        <v>7.2887346010641285E-2</v>
      </c>
      <c r="Z7" s="611">
        <f>0.7*[5]OFFROADEFs!Z7+0.3*'[5]Tier 4'!$L7</f>
        <v>0.33135948621040862</v>
      </c>
      <c r="AA7" s="611">
        <f>0.7*[5]OFFROADEFs!AA7+0.3*'[5]Tier 4'!$M7</f>
        <v>0.51421364396110203</v>
      </c>
      <c r="AB7" s="611">
        <f>[5]OFFROADEFs!AB7</f>
        <v>1.6762429502385828E-3</v>
      </c>
      <c r="AC7" s="611">
        <f>0.7*[5]OFFROADEFs!AC7+0.3*'[5]Tier 4'!$O7</f>
        <v>1.7760280708673921E-2</v>
      </c>
      <c r="AD7" s="611">
        <f>[5]OFFROADEFs!AD7</f>
        <v>148.97670143852574</v>
      </c>
      <c r="AE7" s="611">
        <f>[5]OFFROADEFs!AE7</f>
        <v>8.5356955520187617E-3</v>
      </c>
      <c r="AF7" s="611">
        <f>0.6*[5]OFFROADEFs!AF7+0.4*'[5]Tier 4'!$K7</f>
        <v>6.2620965153998093E-2</v>
      </c>
      <c r="AG7" s="611">
        <f>0.6*[5]OFFROADEFs!AG7+0.4*'[5]Tier 4'!$L7</f>
        <v>0.33133639961939571</v>
      </c>
      <c r="AH7" s="611">
        <f>0.6*[5]OFFROADEFs!AH7+0.4*'[5]Tier 4'!$M7</f>
        <v>0.4010295074054433</v>
      </c>
      <c r="AI7" s="611">
        <f>[5]OFFROADEFs!AI7</f>
        <v>1.6762437114831023E-3</v>
      </c>
      <c r="AJ7" s="611">
        <f>0.6*[5]OFFROADEFs!AJ7+0.4*'[5]Tier 4'!$O7</f>
        <v>1.4015045851226302E-2</v>
      </c>
      <c r="AK7" s="611">
        <f>[5]OFFROADEFs!AK7</f>
        <v>148.97671844641377</v>
      </c>
      <c r="AL7" s="611">
        <f>[5]OFFROADEFs!AL7</f>
        <v>8.0802618506061671E-3</v>
      </c>
      <c r="AM7" s="611">
        <f>0.5*[5]OFFROADEFs!AM7+0.5*'[5]Tier 4'!$K7</f>
        <v>5.3515780486374981E-2</v>
      </c>
      <c r="AN7" s="611">
        <f>0.5*[5]OFFROADEFs!AN7+0.5*'[5]Tier 4'!$L7</f>
        <v>0.33254931786059394</v>
      </c>
      <c r="AO7" s="611">
        <f>0.5*[5]OFFROADEFs!AO7+0.5*'[5]Tier 4'!$M7</f>
        <v>0.30657467104185876</v>
      </c>
      <c r="AP7" s="611">
        <f>[5]OFFROADEFs!AP7</f>
        <v>1.6762430885479793E-3</v>
      </c>
      <c r="AQ7" s="611">
        <f>0.5*[5]OFFROADEFs!AQ7+0.5*'[5]Tier 4'!$O7</f>
        <v>1.0898969382037922E-2</v>
      </c>
      <c r="AR7" s="611">
        <f>[5]OFFROADEFs!AR7</f>
        <v>148.97665813539152</v>
      </c>
      <c r="AS7" s="611">
        <f>[5]OFFROADEFs!AS7</f>
        <v>7.6522122922095251E-3</v>
      </c>
    </row>
    <row r="8" spans="1:45" x14ac:dyDescent="0.25">
      <c r="A8" s="27" t="s">
        <v>199</v>
      </c>
      <c r="B8" s="25">
        <v>175</v>
      </c>
      <c r="C8" s="134">
        <v>0.38</v>
      </c>
      <c r="D8" s="611">
        <f>0.95*[5]OFFROADEFs!D8+0.05*'[5]Tier 4'!$D8</f>
        <v>0.11992127080629632</v>
      </c>
      <c r="E8" s="611">
        <f>0.95*[5]OFFROADEFs!E8+0.05*'[5]Tier 4'!$E8</f>
        <v>0.37073007054215767</v>
      </c>
      <c r="F8" s="611">
        <f>0.95*[5]OFFROADEFs!F8+0.05*'[5]Tier 4'!$F8</f>
        <v>0.94368289767104196</v>
      </c>
      <c r="G8" s="611">
        <f>[5]OFFROADEFs!G8</f>
        <v>1.8739213528134147E-3</v>
      </c>
      <c r="H8" s="611">
        <f>0.95*[5]OFFROADEFs!H8+0.05*'[5]Tier 4'!$H8</f>
        <v>3.1241039634901123E-2</v>
      </c>
      <c r="I8" s="611">
        <f>[5]OFFROADEFs!I8</f>
        <v>166.54539483446186</v>
      </c>
      <c r="J8" s="611">
        <f>[5]OFFROADEFs!J8</f>
        <v>1.1292325418869483E-2</v>
      </c>
      <c r="K8" s="611">
        <f>0.9*[5]OFFROADEFs!K8+0.1*'[5]Tier 4'!$K8</f>
        <v>0.10818245578273432</v>
      </c>
      <c r="L8" s="611">
        <f>0.9*[5]OFFROADEFs!L8+0.1*'[5]Tier 4'!$L8</f>
        <v>0.36086282658912588</v>
      </c>
      <c r="M8" s="611">
        <f>0.9*[5]OFFROADEFs!M8+0.1*'[5]Tier 4'!$M8</f>
        <v>0.78543132668854698</v>
      </c>
      <c r="N8" s="611">
        <f>[5]OFFROADEFs!N8</f>
        <v>1.8739217498104396E-3</v>
      </c>
      <c r="O8" s="611">
        <f>0.9*[5]OFFROADEFs!O8+0.1*'[5]Tier 4'!$O8</f>
        <v>2.6357448473438287E-2</v>
      </c>
      <c r="P8" s="611">
        <f>[5]OFFROADEFs!P8</f>
        <v>166.54541562452522</v>
      </c>
      <c r="Q8" s="611">
        <f>[5]OFFROADEFs!Q8</f>
        <v>1.063993297769634E-2</v>
      </c>
      <c r="R8" s="611">
        <f>0.8*[5]OFFROADEFs!R8+0.2*'[5]Tier 4'!$K8</f>
        <v>9.2806998677456537E-2</v>
      </c>
      <c r="S8" s="611">
        <f>0.8*[5]OFFROADEFs!S8+0.2*'[5]Tier 4'!$L8</f>
        <v>0.35317864819658679</v>
      </c>
      <c r="T8" s="611">
        <f>0.8*[5]OFFROADEFs!T8+0.2*'[5]Tier 4'!$M8</f>
        <v>0.61881284265398218</v>
      </c>
      <c r="U8" s="611">
        <f>[5]OFFROADEFs!U8</f>
        <v>1.8739208211501423E-3</v>
      </c>
      <c r="V8" s="611">
        <f>0.8*[5]OFFROADEFs!V8+0.2*'[5]Tier 4'!$O8</f>
        <v>2.0951407107446925E-2</v>
      </c>
      <c r="W8" s="611">
        <f>[5]OFFROADEFs!W8</f>
        <v>166.54536773790227</v>
      </c>
      <c r="X8" s="611">
        <f>[5]OFFROADEFs!X8</f>
        <v>1.0004303079381925E-2</v>
      </c>
      <c r="Y8" s="611">
        <f>0.7*[5]OFFROADEFs!Y8+0.3*'[5]Tier 4'!$K8</f>
        <v>7.9081129965351771E-2</v>
      </c>
      <c r="Z8" s="611">
        <f>0.7*[5]OFFROADEFs!Z8+0.3*'[5]Tier 4'!$L8</f>
        <v>0.34676739816471558</v>
      </c>
      <c r="AA8" s="611">
        <f>0.7*[5]OFFROADEFs!AA8+0.3*'[5]Tier 4'!$M8</f>
        <v>0.47942104722757106</v>
      </c>
      <c r="AB8" s="611">
        <f>[5]OFFROADEFs!AB8</f>
        <v>1.873921930245647E-3</v>
      </c>
      <c r="AC8" s="611">
        <f>0.7*[5]OFFROADEFs!AC8+0.3*'[5]Tier 4'!$O8</f>
        <v>1.6439369112649978E-2</v>
      </c>
      <c r="AD8" s="611">
        <f>[5]OFFROADEFs!AD8</f>
        <v>166.54543379579488</v>
      </c>
      <c r="AE8" s="611">
        <f>[5]OFFROADEFs!AE8</f>
        <v>9.3996999235005617E-3</v>
      </c>
      <c r="AF8" s="611">
        <f>0.6*[5]OFFROADEFs!AF8+0.4*'[5]Tier 4'!$K8</f>
        <v>6.7085777655213327E-2</v>
      </c>
      <c r="AG8" s="611">
        <f>0.6*[5]OFFROADEFs!AG8+0.4*'[5]Tier 4'!$L8</f>
        <v>0.34144226313529447</v>
      </c>
      <c r="AH8" s="611">
        <f>0.6*[5]OFFROADEFs!AH8+0.4*'[5]Tier 4'!$M8</f>
        <v>0.36542804294942877</v>
      </c>
      <c r="AI8" s="611">
        <f>[5]OFFROADEFs!AI8</f>
        <v>1.8739219985869813E-3</v>
      </c>
      <c r="AJ8" s="611">
        <f>0.6*[5]OFFROADEFs!AJ8+0.4*'[5]Tier 4'!$O8</f>
        <v>1.2739176001638888E-2</v>
      </c>
      <c r="AK8" s="611">
        <f>[5]OFFROADEFs!AK8</f>
        <v>166.54541132463186</v>
      </c>
      <c r="AL8" s="611">
        <f>[5]OFFROADEFs!AL8</f>
        <v>8.8537970071824509E-3</v>
      </c>
      <c r="AM8" s="611">
        <f>0.5*[5]OFFROADEFs!AM8+0.5*'[5]Tier 4'!$K8</f>
        <v>5.6624968735151403E-2</v>
      </c>
      <c r="AN8" s="611">
        <f>0.5*[5]OFFROADEFs!AN8+0.5*'[5]Tier 4'!$L8</f>
        <v>0.33698254165636399</v>
      </c>
      <c r="AO8" s="611">
        <f>0.5*[5]OFFROADEFs!AO8+0.5*'[5]Tier 4'!$M8</f>
        <v>0.27411119268865514</v>
      </c>
      <c r="AP8" s="611">
        <f>[5]OFFROADEFs!AP8</f>
        <v>1.8739212869985323E-3</v>
      </c>
      <c r="AQ8" s="611">
        <f>0.5*[5]OFFROADEFs!AQ8+0.5*'[5]Tier 4'!$O8</f>
        <v>9.753223926346026E-3</v>
      </c>
      <c r="AR8" s="611">
        <f>[5]OFFROADEFs!AR8</f>
        <v>166.54540745667055</v>
      </c>
      <c r="AS8" s="611">
        <f>[5]OFFROADEFs!AS8</f>
        <v>8.3664496800051249E-3</v>
      </c>
    </row>
    <row r="9" spans="1:45" x14ac:dyDescent="0.25">
      <c r="A9" s="27" t="s">
        <v>200</v>
      </c>
      <c r="B9" s="25">
        <v>235</v>
      </c>
      <c r="C9" s="134">
        <v>0.38</v>
      </c>
      <c r="D9" s="611">
        <f>0.95*[5]OFFROADEFs!D9+0.05*'[5]Tier 4'!$D9</f>
        <v>0.12027312265814816</v>
      </c>
      <c r="E9" s="611">
        <f>0.95*[5]OFFROADEFs!E9+0.05*'[5]Tier 4'!$E9</f>
        <v>0.37726446207654918</v>
      </c>
      <c r="F9" s="611">
        <f>0.95*[5]OFFROADEFs!F9+0.05*'[5]Tier 4'!$F9</f>
        <v>0.94745273894088322</v>
      </c>
      <c r="G9" s="611">
        <f>[5]OFFROADEFs!G9</f>
        <v>1.8739213528134147E-3</v>
      </c>
      <c r="H9" s="611">
        <f>0.95*[5]OFFROADEFs!H9+0.05*'[5]Tier 4'!$H9</f>
        <v>3.1278738047599536E-2</v>
      </c>
      <c r="I9" s="611">
        <f>[5]OFFROADEFs!I9</f>
        <v>166.54539483446186</v>
      </c>
      <c r="J9" s="611">
        <f>[5]OFFROADEFs!J9</f>
        <v>1.1292325418869483E-2</v>
      </c>
      <c r="K9" s="611">
        <f>0.9*[5]OFFROADEFs!K9+0.1*'[5]Tier 4'!$K9</f>
        <v>0.10888615948643803</v>
      </c>
      <c r="L9" s="611">
        <f>0.9*[5]OFFROADEFs!L9+0.1*'[5]Tier 4'!$L9</f>
        <v>0.37192102764732693</v>
      </c>
      <c r="M9" s="611">
        <f>0.9*[5]OFFROADEFs!M9+0.1*'[5]Tier 4'!$M9</f>
        <v>0.78693926319648355</v>
      </c>
      <c r="N9" s="611">
        <f>[5]OFFROADEFs!N9</f>
        <v>1.8739217498104396E-3</v>
      </c>
      <c r="O9" s="611">
        <f>0.9*[5]OFFROADEFs!O9+0.1*'[5]Tier 4'!$O9</f>
        <v>2.6432845298835113E-2</v>
      </c>
      <c r="P9" s="611">
        <f>[5]OFFROADEFs!P9</f>
        <v>166.54541562452522</v>
      </c>
      <c r="Q9" s="611">
        <f>[5]OFFROADEFs!Q9</f>
        <v>1.063993297769634E-2</v>
      </c>
      <c r="R9" s="611">
        <f>0.8*[5]OFFROADEFs!R9+0.2*'[5]Tier 4'!$K9</f>
        <v>9.421440608486395E-2</v>
      </c>
      <c r="S9" s="611">
        <f>0.8*[5]OFFROADEFs!S9+0.2*'[5]Tier 4'!$L9</f>
        <v>0.37529505031298893</v>
      </c>
      <c r="T9" s="611">
        <f>0.8*[5]OFFROADEFs!T9+0.2*'[5]Tier 4'!$M9</f>
        <v>0.6218287156698552</v>
      </c>
      <c r="U9" s="611">
        <f>[5]OFFROADEFs!U9</f>
        <v>1.8739208211501423E-3</v>
      </c>
      <c r="V9" s="611">
        <f>0.8*[5]OFFROADEFs!V9+0.2*'[5]Tier 4'!$O9</f>
        <v>2.1102200758240576E-2</v>
      </c>
      <c r="W9" s="611">
        <f>[5]OFFROADEFs!W9</f>
        <v>166.54536773790227</v>
      </c>
      <c r="X9" s="611">
        <f>[5]OFFROADEFs!X9</f>
        <v>1.0004303079381925E-2</v>
      </c>
      <c r="Y9" s="611">
        <f>0.7*[5]OFFROADEFs!Y9+0.3*'[5]Tier 4'!$K9</f>
        <v>8.119224107646289E-2</v>
      </c>
      <c r="Z9" s="611">
        <f>0.7*[5]OFFROADEFs!Z9+0.3*'[5]Tier 4'!$L9</f>
        <v>0.37994200133931877</v>
      </c>
      <c r="AA9" s="611">
        <f>0.7*[5]OFFROADEFs!AA9+0.3*'[5]Tier 4'!$M9</f>
        <v>0.48394485675138055</v>
      </c>
      <c r="AB9" s="611">
        <f>[5]OFFROADEFs!AB9</f>
        <v>1.873921930245647E-3</v>
      </c>
      <c r="AC9" s="611">
        <f>0.7*[5]OFFROADEFs!AC9+0.3*'[5]Tier 4'!$O9</f>
        <v>1.6665559588840455E-2</v>
      </c>
      <c r="AD9" s="611">
        <f>[5]OFFROADEFs!AD9</f>
        <v>166.54543379579488</v>
      </c>
      <c r="AE9" s="611">
        <f>[5]OFFROADEFs!AE9</f>
        <v>9.3996999235005617E-3</v>
      </c>
      <c r="AF9" s="611">
        <f>0.6*[5]OFFROADEFs!AF9+0.4*'[5]Tier 4'!$K9</f>
        <v>6.9900592470028153E-2</v>
      </c>
      <c r="AG9" s="611">
        <f>0.6*[5]OFFROADEFs!AG9+0.4*'[5]Tier 4'!$L9</f>
        <v>0.38567506736809876</v>
      </c>
      <c r="AH9" s="611">
        <f>0.6*[5]OFFROADEFs!AH9+0.4*'[5]Tier 4'!$M9</f>
        <v>0.37145978898117477</v>
      </c>
      <c r="AI9" s="611">
        <f>[5]OFFROADEFs!AI9</f>
        <v>1.8739219985869813E-3</v>
      </c>
      <c r="AJ9" s="611">
        <f>0.6*[5]OFFROADEFs!AJ9+0.4*'[5]Tier 4'!$O9</f>
        <v>1.3040763303226189E-2</v>
      </c>
      <c r="AK9" s="611">
        <f>[5]OFFROADEFs!AK9</f>
        <v>166.54541132463186</v>
      </c>
      <c r="AL9" s="611">
        <f>[5]OFFROADEFs!AL9</f>
        <v>8.8537970071824509E-3</v>
      </c>
      <c r="AM9" s="611">
        <f>0.5*[5]OFFROADEFs!AM9+0.5*'[5]Tier 4'!$K9</f>
        <v>6.0143487253669921E-2</v>
      </c>
      <c r="AN9" s="611">
        <f>0.5*[5]OFFROADEFs!AN9+0.5*'[5]Tier 4'!$L9</f>
        <v>0.39227354694736927</v>
      </c>
      <c r="AO9" s="611">
        <f>0.5*[5]OFFROADEFs!AO9+0.5*'[5]Tier 4'!$M9</f>
        <v>0.28165087522833765</v>
      </c>
      <c r="AP9" s="611">
        <f>[5]OFFROADEFs!AP9</f>
        <v>1.8739212869985323E-3</v>
      </c>
      <c r="AQ9" s="611">
        <f>0.5*[5]OFFROADEFs!AQ9+0.5*'[5]Tier 4'!$O9</f>
        <v>1.0130208053330153E-2</v>
      </c>
      <c r="AR9" s="611">
        <f>[5]OFFROADEFs!AR9</f>
        <v>166.54540745667055</v>
      </c>
      <c r="AS9" s="611">
        <f>[5]OFFROADEFs!AS9</f>
        <v>8.3664496800051249E-3</v>
      </c>
    </row>
    <row r="10" spans="1:45" x14ac:dyDescent="0.25">
      <c r="A10" s="27" t="s">
        <v>201</v>
      </c>
      <c r="B10" s="25">
        <v>300</v>
      </c>
      <c r="C10" s="134">
        <v>0.38</v>
      </c>
      <c r="D10" s="611">
        <f>0.95*[5]OFFROADEFs!D10+0.05*'[5]Tier 4'!$D10</f>
        <v>0.15156273531486869</v>
      </c>
      <c r="E10" s="611">
        <f>0.95*[5]OFFROADEFs!E10+0.05*'[5]Tier 4'!$E10</f>
        <v>0.5042955535817204</v>
      </c>
      <c r="F10" s="611">
        <f>0.95*[5]OFFROADEFs!F10+0.05*'[5]Tier 4'!$F10</f>
        <v>1.1226784907797649</v>
      </c>
      <c r="G10" s="611">
        <f>[5]OFFROADEFs!G10</f>
        <v>2.2941891037024571E-3</v>
      </c>
      <c r="H10" s="611">
        <f>0.95*[5]OFFROADEFs!H10+0.05*'[5]Tier 4'!$H10</f>
        <v>3.945202890717215E-2</v>
      </c>
      <c r="I10" s="611">
        <f>[5]OFFROADEFs!I10</f>
        <v>233.73532966705815</v>
      </c>
      <c r="J10" s="611">
        <f>[5]OFFROADEFs!J10</f>
        <v>1.4227923455147638E-2</v>
      </c>
      <c r="K10" s="611">
        <f>0.9*[5]OFFROADEFs!K10+0.1*'[5]Tier 4'!$K10</f>
        <v>0.1381142190897551</v>
      </c>
      <c r="L10" s="611">
        <f>0.9*[5]OFFROADEFs!L10+0.1*'[5]Tier 4'!$L10</f>
        <v>0.49183840998979317</v>
      </c>
      <c r="M10" s="611">
        <f>0.9*[5]OFFROADEFs!M10+0.1*'[5]Tier 4'!$M10</f>
        <v>0.92879862084536025</v>
      </c>
      <c r="N10" s="611">
        <f>[5]OFFROADEFs!N10</f>
        <v>2.2941887108755294E-3</v>
      </c>
      <c r="O10" s="611">
        <f>0.9*[5]OFFROADEFs!O10+0.1*'[5]Tier 4'!$O10</f>
        <v>3.3330140460280537E-2</v>
      </c>
      <c r="P10" s="611">
        <f>[5]OFFROADEFs!P10</f>
        <v>233.73531392991876</v>
      </c>
      <c r="Q10" s="611">
        <f>[5]OFFROADEFs!Q10</f>
        <v>1.3493728077234307E-2</v>
      </c>
      <c r="R10" s="611">
        <f>0.8*[5]OFFROADEFs!R10+0.2*'[5]Tier 4'!$K10</f>
        <v>0.12026232442156529</v>
      </c>
      <c r="S10" s="611">
        <f>0.8*[5]OFFROADEFs!S10+0.2*'[5]Tier 4'!$L10</f>
        <v>0.491521125488383</v>
      </c>
      <c r="T10" s="611">
        <f>0.8*[5]OFFROADEFs!T10+0.2*'[5]Tier 4'!$M10</f>
        <v>0.73411802534607107</v>
      </c>
      <c r="U10" s="611">
        <f>[5]OFFROADEFs!U10</f>
        <v>2.2941882966723329E-3</v>
      </c>
      <c r="V10" s="611">
        <f>0.8*[5]OFFROADEFs!V10+0.2*'[5]Tier 4'!$O10</f>
        <v>2.6581291294641821E-2</v>
      </c>
      <c r="W10" s="611">
        <f>[5]OFFROADEFs!W10</f>
        <v>233.73535169013226</v>
      </c>
      <c r="X10" s="611">
        <f>[5]OFFROADEFs!X10</f>
        <v>1.2770166630775929E-2</v>
      </c>
      <c r="Y10" s="611">
        <f>0.7*[5]OFFROADEFs!Y10+0.3*'[5]Tier 4'!$K10</f>
        <v>0.10426204652182813</v>
      </c>
      <c r="Z10" s="611">
        <f>0.7*[5]OFFROADEFs!Z10+0.3*'[5]Tier 4'!$L10</f>
        <v>0.49410087136290803</v>
      </c>
      <c r="AA10" s="611">
        <f>0.7*[5]OFFROADEFs!AA10+0.3*'[5]Tier 4'!$M10</f>
        <v>0.57429575315352943</v>
      </c>
      <c r="AB10" s="611">
        <f>[5]OFFROADEFs!AB10</f>
        <v>2.2941887362225512E-3</v>
      </c>
      <c r="AC10" s="611">
        <f>0.7*[5]OFFROADEFs!AC10+0.3*'[5]Tier 4'!$O10</f>
        <v>2.1028845132339352E-2</v>
      </c>
      <c r="AD10" s="611">
        <f>[5]OFFROADEFs!AD10</f>
        <v>233.73535326026993</v>
      </c>
      <c r="AE10" s="611">
        <f>[5]OFFROADEFs!AE10</f>
        <v>1.2078550367923749E-2</v>
      </c>
      <c r="AF10" s="611">
        <f>0.6*[5]OFFROADEFs!AF10+0.4*'[5]Tier 4'!$K10</f>
        <v>9.0027095659543435E-2</v>
      </c>
      <c r="AG10" s="611">
        <f>0.6*[5]OFFROADEFs!AG10+0.4*'[5]Tier 4'!$L10</f>
        <v>0.49909307769164696</v>
      </c>
      <c r="AH10" s="611">
        <f>0.6*[5]OFFROADEFs!AH10+0.4*'[5]Tier 4'!$M10</f>
        <v>0.44416145719239825</v>
      </c>
      <c r="AI10" s="611">
        <f>[5]OFFROADEFs!AI10</f>
        <v>2.2941889803797964E-3</v>
      </c>
      <c r="AJ10" s="611">
        <f>0.6*[5]OFFROADEFs!AJ10+0.4*'[5]Tier 4'!$O10</f>
        <v>1.6503674071042872E-2</v>
      </c>
      <c r="AK10" s="611">
        <f>[5]OFFROADEFs!AK10</f>
        <v>233.73530479202901</v>
      </c>
      <c r="AL10" s="611">
        <f>[5]OFFROADEFs!AL10</f>
        <v>1.1421864606287866E-2</v>
      </c>
      <c r="AM10" s="611">
        <f>0.5*[5]OFFROADEFs!AM10+0.5*'[5]Tier 4'!$K10</f>
        <v>7.7506246154943781E-2</v>
      </c>
      <c r="AN10" s="611">
        <f>0.5*[5]OFFROADEFs!AN10+0.5*'[5]Tier 4'!$L10</f>
        <v>0.50598055840465317</v>
      </c>
      <c r="AO10" s="611">
        <f>0.5*[5]OFFROADEFs!AO10+0.5*'[5]Tier 4'!$M10</f>
        <v>0.33908677348864613</v>
      </c>
      <c r="AP10" s="611">
        <f>[5]OFFROADEFs!AP10</f>
        <v>2.2941896155419489E-3</v>
      </c>
      <c r="AQ10" s="611">
        <f>0.5*[5]OFFROADEFs!AQ10+0.5*'[5]Tier 4'!$O10</f>
        <v>1.2840106589462316E-2</v>
      </c>
      <c r="AR10" s="611">
        <f>[5]OFFROADEFs!AR10</f>
        <v>233.73539751528082</v>
      </c>
      <c r="AS10" s="611">
        <f>[5]OFFROADEFs!AS10</f>
        <v>1.0811824504505494E-2</v>
      </c>
    </row>
    <row r="11" spans="1:45" x14ac:dyDescent="0.25">
      <c r="A11" s="27" t="s">
        <v>155</v>
      </c>
      <c r="B11" s="134">
        <v>82</v>
      </c>
      <c r="C11" s="134">
        <v>0.5</v>
      </c>
      <c r="D11" s="611">
        <f>0.95*[5]OFFROADEFs!D11+0.05*'[5]Tier 4'!$D11</f>
        <v>3.6309327217992599E-2</v>
      </c>
      <c r="E11" s="611">
        <f>0.95*[5]OFFROADEFs!E11+0.05*'[5]Tier 4'!$E11</f>
        <v>0.46093801457747435</v>
      </c>
      <c r="F11" s="611">
        <f>0.95*[5]OFFROADEFs!F11+0.05*'[5]Tier 4'!$F11</f>
        <v>0.36619894798559588</v>
      </c>
      <c r="G11" s="611">
        <f>[5]OFFROADEFs!G11</f>
        <v>9.0467796015684726E-4</v>
      </c>
      <c r="H11" s="611">
        <f>0.95*[5]OFFROADEFs!H11+0.05*'[5]Tier 4'!$H11</f>
        <v>1.5314374699910852E-2</v>
      </c>
      <c r="I11" s="611">
        <f>[5]OFFROADEFs!I11</f>
        <v>77.121767330485099</v>
      </c>
      <c r="J11" s="611">
        <f>[5]OFFROADEFs!J11</f>
        <v>3.3884664579035585E-3</v>
      </c>
      <c r="K11" s="611">
        <f>0.9*[5]OFFROADEFs!K11+0.1*'[5]Tier 4'!$K11</f>
        <v>3.2676882569317077E-2</v>
      </c>
      <c r="L11" s="611">
        <f>0.9*[5]OFFROADEFs!L11+0.1*'[5]Tier 4'!$L11</f>
        <v>0.45381045354696059</v>
      </c>
      <c r="M11" s="611">
        <f>0.9*[5]OFFROADEFs!M11+0.1*'[5]Tier 4'!$M11</f>
        <v>0.30042047018448315</v>
      </c>
      <c r="N11" s="611">
        <f>[5]OFFROADEFs!N11</f>
        <v>9.0467784425450159E-4</v>
      </c>
      <c r="O11" s="611">
        <f>0.9*[5]OFFROADEFs!O11+0.1*'[5]Tier 4'!$O11</f>
        <v>1.1371697081817145E-2</v>
      </c>
      <c r="P11" s="611">
        <f>[5]OFFROADEFs!P11</f>
        <v>77.121750016602093</v>
      </c>
      <c r="Q11" s="611">
        <f>[5]OFFROADEFs!Q11</f>
        <v>3.149115809265884E-3</v>
      </c>
      <c r="R11" s="611">
        <f>0.8*[5]OFFROADEFs!R11+0.2*'[5]Tier 4'!$K11</f>
        <v>2.8645728987334414E-2</v>
      </c>
      <c r="S11" s="611">
        <f>0.8*[5]OFFROADEFs!S11+0.2*'[5]Tier 4'!$L11</f>
        <v>0.44025763525150252</v>
      </c>
      <c r="T11" s="611">
        <f>0.8*[5]OFFROADEFs!T11+0.2*'[5]Tier 4'!$M11</f>
        <v>0.24240070469108477</v>
      </c>
      <c r="U11" s="611">
        <f>[5]OFFROADEFs!U11</f>
        <v>9.0467810829659545E-4</v>
      </c>
      <c r="V11" s="611">
        <f>0.8*[5]OFFROADEFs!V11+0.2*'[5]Tier 4'!$O11</f>
        <v>7.9062461683871519E-3</v>
      </c>
      <c r="W11" s="611">
        <f>[5]OFFROADEFs!W11</f>
        <v>77.121776116023071</v>
      </c>
      <c r="X11" s="611">
        <f>[5]OFFROADEFs!X11</f>
        <v>2.9453779842965266E-3</v>
      </c>
      <c r="Y11" s="611">
        <f>0.7*[5]OFFROADEFs!Y11+0.3*'[5]Tier 4'!$K11</f>
        <v>2.539041750948743E-2</v>
      </c>
      <c r="Z11" s="611">
        <f>0.7*[5]OFFROADEFs!Z11+0.3*'[5]Tier 4'!$L11</f>
        <v>0.42688220139286698</v>
      </c>
      <c r="AA11" s="611">
        <f>0.7*[5]OFFROADEFs!AA11+0.3*'[5]Tier 4'!$M11</f>
        <v>0.19783712892298524</v>
      </c>
      <c r="AB11" s="611">
        <f>[5]OFFROADEFs!AB11</f>
        <v>9.0467818141783509E-4</v>
      </c>
      <c r="AC11" s="611">
        <f>0.7*[5]OFFROADEFs!AC11+0.3*'[5]Tier 4'!$O11</f>
        <v>5.4756277580109121E-3</v>
      </c>
      <c r="AD11" s="611">
        <f>[5]OFFROADEFs!AD11</f>
        <v>77.121786625322102</v>
      </c>
      <c r="AE11" s="611">
        <f>[5]OFFROADEFs!AE11</f>
        <v>2.7834325013313161E-3</v>
      </c>
      <c r="AF11" s="611">
        <f>0.6*[5]OFFROADEFs!AF11+0.4*'[5]Tier 4'!$K11</f>
        <v>2.2638771537541364E-2</v>
      </c>
      <c r="AG11" s="611">
        <f>0.6*[5]OFFROADEFs!AG11+0.4*'[5]Tier 4'!$L11</f>
        <v>0.41357942053287283</v>
      </c>
      <c r="AH11" s="611">
        <f>0.6*[5]OFFROADEFs!AH11+0.4*'[5]Tier 4'!$M11</f>
        <v>0.160886432215434</v>
      </c>
      <c r="AI11" s="611">
        <f>[5]OFFROADEFs!AI11</f>
        <v>9.046777577488526E-4</v>
      </c>
      <c r="AJ11" s="611">
        <f>0.6*[5]OFFROADEFs!AJ11+0.4*'[5]Tier 4'!$O11</f>
        <v>3.7752492862157534E-3</v>
      </c>
      <c r="AK11" s="611">
        <f>[5]OFFROADEFs!AK11</f>
        <v>77.121752202638532</v>
      </c>
      <c r="AL11" s="611">
        <f>[5]OFFROADEFs!AL11</f>
        <v>2.6432463875258158E-3</v>
      </c>
      <c r="AM11" s="611">
        <f>0.5*[5]OFFROADEFs!AM11+0.5*'[5]Tier 4'!$K11</f>
        <v>2.0322862690302396E-2</v>
      </c>
      <c r="AN11" s="611">
        <f>0.5*[5]OFFROADEFs!AN11+0.5*'[5]Tier 4'!$L11</f>
        <v>0.40032860958692951</v>
      </c>
      <c r="AO11" s="611">
        <f>0.5*[5]OFFROADEFs!AO11+0.5*'[5]Tier 4'!$M11</f>
        <v>0.13001567244095247</v>
      </c>
      <c r="AP11" s="611">
        <f>[5]OFFROADEFs!AP11</f>
        <v>9.0467776054069422E-4</v>
      </c>
      <c r="AQ11" s="611">
        <f>0.5*[5]OFFROADEFs!AQ11+0.5*'[5]Tier 4'!$O11</f>
        <v>2.6628236131493268E-3</v>
      </c>
      <c r="AR11" s="611">
        <f>[5]OFFROADEFs!AR11</f>
        <v>77.121793273199756</v>
      </c>
      <c r="AS11" s="611">
        <f>[5]OFFROADEFs!AS11</f>
        <v>2.5256197261084475E-3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611">
        <f>0.95*[5]OFFROADEFs!D12+0.05*'[5]Tier 4'!$D12</f>
        <v>7.6361523310359322E-2</v>
      </c>
      <c r="E12" s="611">
        <f>0.95*[5]OFFROADEFs!E12+0.05*'[5]Tier 4'!$E12</f>
        <v>0.34700607793748495</v>
      </c>
      <c r="F12" s="611">
        <f>0.95*[5]OFFROADEFs!F12+0.05*'[5]Tier 4'!$F12</f>
        <v>0.46405567062959902</v>
      </c>
      <c r="G12" s="611">
        <f>[5]OFFROADEFs!G12</f>
        <v>5.8826133700071506E-4</v>
      </c>
      <c r="H12" s="611">
        <f>0.95*[5]OFFROADEFs!H12+0.05*'[5]Tier 4'!$H12</f>
        <v>3.9464685082802008E-2</v>
      </c>
      <c r="I12" s="611">
        <f>[5]OFFROADEFs!I12</f>
        <v>50.147957636658056</v>
      </c>
      <c r="J12" s="611">
        <f>[5]OFFROADEFs!J12</f>
        <v>7.2207285788506471E-3</v>
      </c>
      <c r="K12" s="611">
        <f>0.9*[5]OFFROADEFs!K12+0.1*'[5]Tier 4'!$K12</f>
        <v>6.7622575092812595E-2</v>
      </c>
      <c r="L12" s="611">
        <f>0.9*[5]OFFROADEFs!L12+0.1*'[5]Tier 4'!$L12</f>
        <v>0.33572135988655399</v>
      </c>
      <c r="M12" s="611">
        <f>0.9*[5]OFFROADEFs!M12+0.1*'[5]Tier 4'!$M12</f>
        <v>0.40429473843070329</v>
      </c>
      <c r="N12" s="611">
        <f>[5]OFFROADEFs!N12</f>
        <v>5.8826123668460656E-4</v>
      </c>
      <c r="O12" s="611">
        <f>0.9*[5]OFFROADEFs!O12+0.1*'[5]Tier 4'!$O12</f>
        <v>3.4059644036434848E-2</v>
      </c>
      <c r="P12" s="611">
        <f>[5]OFFROADEFs!P12</f>
        <v>50.14796460866976</v>
      </c>
      <c r="Q12" s="611">
        <f>[5]OFFROADEFs!Q12</f>
        <v>6.7121175739670268E-3</v>
      </c>
      <c r="R12" s="611">
        <f>0.8*[5]OFFROADEFs!R12+0.2*'[5]Tier 4'!$K12</f>
        <v>5.6547868604351598E-2</v>
      </c>
      <c r="S12" s="611">
        <f>0.8*[5]OFFROADEFs!S12+0.2*'[5]Tier 4'!$L12</f>
        <v>0.31618811642064365</v>
      </c>
      <c r="T12" s="611">
        <f>0.8*[5]OFFROADEFs!T12+0.2*'[5]Tier 4'!$M12</f>
        <v>0.33529952431029442</v>
      </c>
      <c r="U12" s="611">
        <f>[5]OFFROADEFs!U12</f>
        <v>5.8826136417032418E-4</v>
      </c>
      <c r="V12" s="611">
        <f>0.8*[5]OFFROADEFs!V12+0.2*'[5]Tier 4'!$O12</f>
        <v>2.745818710850171E-2</v>
      </c>
      <c r="W12" s="611">
        <f>[5]OFFROADEFs!W12</f>
        <v>50.147965783398881</v>
      </c>
      <c r="X12" s="611">
        <f>[5]OFFROADEFs!X12</f>
        <v>6.2263543562003903E-3</v>
      </c>
      <c r="Y12" s="611">
        <f>0.7*[5]OFFROADEFs!Y12+0.3*'[5]Tier 4'!$K12</f>
        <v>4.6723352066517031E-2</v>
      </c>
      <c r="Z12" s="611">
        <f>0.7*[5]OFFROADEFs!Z12+0.3*'[5]Tier 4'!$L12</f>
        <v>0.29726544857788689</v>
      </c>
      <c r="AA12" s="611">
        <f>0.7*[5]OFFROADEFs!AA12+0.3*'[5]Tier 4'!$M12</f>
        <v>0.27434017818861878</v>
      </c>
      <c r="AB12" s="611">
        <f>[5]OFFROADEFs!AB12</f>
        <v>5.8826139268297324E-4</v>
      </c>
      <c r="AC12" s="611">
        <f>0.7*[5]OFFROADEFs!AC12+0.3*'[5]Tier 4'!$O12</f>
        <v>2.1664914086788938E-2</v>
      </c>
      <c r="AD12" s="611">
        <f>[5]OFFROADEFs!AD12</f>
        <v>50.147969714257975</v>
      </c>
      <c r="AE12" s="611">
        <f>[5]OFFROADEFs!AE12</f>
        <v>5.7629472413349841E-3</v>
      </c>
      <c r="AF12" s="611">
        <f>0.6*[5]OFFROADEFs!AF12+0.4*'[5]Tier 4'!$K12</f>
        <v>3.8046255521407342E-2</v>
      </c>
      <c r="AG12" s="611">
        <f>0.6*[5]OFFROADEFs!AG12+0.4*'[5]Tier 4'!$L12</f>
        <v>0.27888114578186085</v>
      </c>
      <c r="AH12" s="611">
        <f>0.6*[5]OFFROADEFs!AH12+0.4*'[5]Tier 4'!$M12</f>
        <v>0.22047187018750058</v>
      </c>
      <c r="AI12" s="611">
        <f>[5]OFFROADEFs!AI12</f>
        <v>5.8826119369513683E-4</v>
      </c>
      <c r="AJ12" s="611">
        <f>0.6*[5]OFFROADEFs!AJ12+0.4*'[5]Tier 4'!$O12</f>
        <v>1.66364993658683E-2</v>
      </c>
      <c r="AK12" s="611">
        <f>[5]OFFROADEFs!AK12</f>
        <v>50.147949925498153</v>
      </c>
      <c r="AL12" s="611">
        <f>[5]OFFROADEFs!AL12</f>
        <v>5.3176226032023424E-3</v>
      </c>
      <c r="AM12" s="611">
        <f>0.5*[5]OFFROADEFs!AM12+0.5*'[5]Tier 4'!$K12</f>
        <v>3.0471404126858958E-2</v>
      </c>
      <c r="AN12" s="611">
        <f>0.5*[5]OFFROADEFs!AN12+0.5*'[5]Tier 4'!$L12</f>
        <v>0.26099641237183524</v>
      </c>
      <c r="AO12" s="611">
        <f>0.5*[5]OFFROADEFs!AO12+0.5*'[5]Tier 4'!$M12</f>
        <v>0.17301839960294127</v>
      </c>
      <c r="AP12" s="611">
        <f>[5]OFFROADEFs!AP12</f>
        <v>5.8826128478513143E-4</v>
      </c>
      <c r="AQ12" s="611">
        <f>0.5*[5]OFFROADEFs!AQ12+0.5*'[5]Tier 4'!$O12</f>
        <v>1.2357031752958535E-2</v>
      </c>
      <c r="AR12" s="611">
        <f>[5]OFFROADEFs!AR12</f>
        <v>50.147962813164384</v>
      </c>
      <c r="AS12" s="611">
        <f>[5]OFFROADEFs!AS12</f>
        <v>4.8930722914384411E-3</v>
      </c>
    </row>
    <row r="13" spans="1:45" x14ac:dyDescent="0.25">
      <c r="A13" s="531" t="s">
        <v>157</v>
      </c>
      <c r="B13" s="25">
        <v>235</v>
      </c>
      <c r="C13" s="134">
        <v>0.38</v>
      </c>
      <c r="D13" s="611">
        <f>0.95*[5]OFFROADEFs!D13+0.05*'[5]Tier 4'!$D13</f>
        <v>0.12027312265814816</v>
      </c>
      <c r="E13" s="611">
        <f>0.95*[5]OFFROADEFs!E13+0.05*'[5]Tier 4'!$E13</f>
        <v>0.37726446207654918</v>
      </c>
      <c r="F13" s="611">
        <f>0.95*[5]OFFROADEFs!F13+0.05*'[5]Tier 4'!$F13</f>
        <v>0.94745273894088322</v>
      </c>
      <c r="G13" s="611">
        <f>[5]OFFROADEFs!G13</f>
        <v>1.8739213528134147E-3</v>
      </c>
      <c r="H13" s="611">
        <f>0.95*[5]OFFROADEFs!H13+0.05*'[5]Tier 4'!$H13</f>
        <v>3.1278738047599536E-2</v>
      </c>
      <c r="I13" s="611">
        <f>[5]OFFROADEFs!I13</f>
        <v>166.54539483446186</v>
      </c>
      <c r="J13" s="611">
        <f>[5]OFFROADEFs!J13</f>
        <v>1.1292325418869483E-2</v>
      </c>
      <c r="K13" s="611">
        <f>0.9*[5]OFFROADEFs!K13+0.1*'[5]Tier 4'!$K13</f>
        <v>0.10888615948643803</v>
      </c>
      <c r="L13" s="611">
        <f>0.9*[5]OFFROADEFs!L13+0.1*'[5]Tier 4'!$L13</f>
        <v>0.37192102764732693</v>
      </c>
      <c r="M13" s="611">
        <f>0.9*[5]OFFROADEFs!M13+0.1*'[5]Tier 4'!$M13</f>
        <v>0.78693926319648355</v>
      </c>
      <c r="N13" s="611">
        <f>[5]OFFROADEFs!N13</f>
        <v>1.8739217498104396E-3</v>
      </c>
      <c r="O13" s="611">
        <f>0.9*[5]OFFROADEFs!O13+0.1*'[5]Tier 4'!$O13</f>
        <v>2.6432845298835113E-2</v>
      </c>
      <c r="P13" s="611">
        <f>[5]OFFROADEFs!P13</f>
        <v>166.54541562452522</v>
      </c>
      <c r="Q13" s="611">
        <f>[5]OFFROADEFs!Q13</f>
        <v>1.063993297769634E-2</v>
      </c>
      <c r="R13" s="611">
        <f>0.8*[5]OFFROADEFs!R13+0.2*'[5]Tier 4'!$K13</f>
        <v>9.421440608486395E-2</v>
      </c>
      <c r="S13" s="611">
        <f>0.8*[5]OFFROADEFs!S13+0.2*'[5]Tier 4'!$L13</f>
        <v>0.37529505031298893</v>
      </c>
      <c r="T13" s="611">
        <f>0.8*[5]OFFROADEFs!T13+0.2*'[5]Tier 4'!$M13</f>
        <v>0.6218287156698552</v>
      </c>
      <c r="U13" s="611">
        <f>[5]OFFROADEFs!U13</f>
        <v>1.8739208211501423E-3</v>
      </c>
      <c r="V13" s="611">
        <f>0.8*[5]OFFROADEFs!V13+0.2*'[5]Tier 4'!$O13</f>
        <v>2.1102200758240576E-2</v>
      </c>
      <c r="W13" s="611">
        <f>[5]OFFROADEFs!W13</f>
        <v>166.54536773790227</v>
      </c>
      <c r="X13" s="611">
        <f>[5]OFFROADEFs!X13</f>
        <v>1.0004303079381925E-2</v>
      </c>
      <c r="Y13" s="611">
        <f>0.7*[5]OFFROADEFs!Y13+0.3*'[5]Tier 4'!$K13</f>
        <v>8.119224107646289E-2</v>
      </c>
      <c r="Z13" s="611">
        <f>0.7*[5]OFFROADEFs!Z13+0.3*'[5]Tier 4'!$L13</f>
        <v>0.37994200133931877</v>
      </c>
      <c r="AA13" s="611">
        <f>0.7*[5]OFFROADEFs!AA13+0.3*'[5]Tier 4'!$M13</f>
        <v>0.48394485675138055</v>
      </c>
      <c r="AB13" s="611">
        <f>[5]OFFROADEFs!AB13</f>
        <v>1.873921930245647E-3</v>
      </c>
      <c r="AC13" s="611">
        <f>0.7*[5]OFFROADEFs!AC13+0.3*'[5]Tier 4'!$O13</f>
        <v>1.6665559588840455E-2</v>
      </c>
      <c r="AD13" s="611">
        <f>[5]OFFROADEFs!AD13</f>
        <v>166.54543379579488</v>
      </c>
      <c r="AE13" s="611">
        <f>[5]OFFROADEFs!AE13</f>
        <v>9.3996999235005617E-3</v>
      </c>
      <c r="AF13" s="611">
        <f>0.6*[5]OFFROADEFs!AF13+0.4*'[5]Tier 4'!$K13</f>
        <v>6.9900592470028153E-2</v>
      </c>
      <c r="AG13" s="611">
        <f>0.6*[5]OFFROADEFs!AG13+0.4*'[5]Tier 4'!$L13</f>
        <v>0.38567506736809876</v>
      </c>
      <c r="AH13" s="611">
        <f>0.6*[5]OFFROADEFs!AH13+0.4*'[5]Tier 4'!$M13</f>
        <v>0.37145978898117477</v>
      </c>
      <c r="AI13" s="611">
        <f>[5]OFFROADEFs!AI13</f>
        <v>1.8739219985869813E-3</v>
      </c>
      <c r="AJ13" s="611">
        <f>0.6*[5]OFFROADEFs!AJ13+0.4*'[5]Tier 4'!$O13</f>
        <v>1.3040763303226189E-2</v>
      </c>
      <c r="AK13" s="611">
        <f>[5]OFFROADEFs!AK13</f>
        <v>166.54541132463186</v>
      </c>
      <c r="AL13" s="611">
        <f>[5]OFFROADEFs!AL13</f>
        <v>8.8537970071824509E-3</v>
      </c>
      <c r="AM13" s="611">
        <f>0.5*[5]OFFROADEFs!AM13+0.5*'[5]Tier 4'!$K13</f>
        <v>6.0143487253669921E-2</v>
      </c>
      <c r="AN13" s="611">
        <f>0.5*[5]OFFROADEFs!AN13+0.5*'[5]Tier 4'!$L13</f>
        <v>0.39227354694736927</v>
      </c>
      <c r="AO13" s="611">
        <f>0.5*[5]OFFROADEFs!AO13+0.5*'[5]Tier 4'!$M13</f>
        <v>0.28165087522833765</v>
      </c>
      <c r="AP13" s="611">
        <f>[5]OFFROADEFs!AP13</f>
        <v>1.8739212869985323E-3</v>
      </c>
      <c r="AQ13" s="611">
        <f>0.5*[5]OFFROADEFs!AQ13+0.5*'[5]Tier 4'!$O13</f>
        <v>1.0130208053330153E-2</v>
      </c>
      <c r="AR13" s="611">
        <f>[5]OFFROADEFs!AR13</f>
        <v>166.54540745667055</v>
      </c>
      <c r="AS13" s="611">
        <f>[5]OFFROADEFs!AS13</f>
        <v>8.3664496800051249E-3</v>
      </c>
    </row>
    <row r="14" spans="1:45" x14ac:dyDescent="0.25">
      <c r="A14" s="530" t="s">
        <v>62</v>
      </c>
      <c r="B14" s="25">
        <v>85</v>
      </c>
      <c r="C14" s="134">
        <v>0.36</v>
      </c>
      <c r="D14" s="611">
        <f>0.95*[5]OFFROADEFs!D14+0.05*'[5]Tier 4'!$D14</f>
        <v>7.9801484832556724E-2</v>
      </c>
      <c r="E14" s="611">
        <f>0.95*[5]OFFROADEFs!E14+0.05*'[5]Tier 4'!$E14</f>
        <v>0.40100742191945721</v>
      </c>
      <c r="F14" s="611">
        <f>0.95*[5]OFFROADEFs!F14+0.05*'[5]Tier 4'!$F14</f>
        <v>0.50491905800089187</v>
      </c>
      <c r="G14" s="611">
        <f>[5]OFFROADEFs!G14</f>
        <v>6.9108572612879135E-4</v>
      </c>
      <c r="H14" s="611">
        <f>0.95*[5]OFFROADEFs!H14+0.05*'[5]Tier 4'!$H14</f>
        <v>4.0955217982968535E-2</v>
      </c>
      <c r="I14" s="611">
        <f>[5]OFFROADEFs!I14</f>
        <v>58.913512015277149</v>
      </c>
      <c r="J14" s="611">
        <f>[5]OFFROADEFs!J14</f>
        <v>7.5344751889799754E-3</v>
      </c>
      <c r="K14" s="611">
        <f>0.9*[5]OFFROADEFs!K14+0.1*'[5]Tier 4'!$K14</f>
        <v>7.0472327021646672E-2</v>
      </c>
      <c r="L14" s="611">
        <f>0.9*[5]OFFROADEFs!L14+0.1*'[5]Tier 4'!$L14</f>
        <v>0.39060550026585111</v>
      </c>
      <c r="M14" s="611">
        <f>0.9*[5]OFFROADEFs!M14+0.1*'[5]Tier 4'!$M14</f>
        <v>0.43652693917262747</v>
      </c>
      <c r="N14" s="611">
        <f>[5]OFFROADEFs!N14</f>
        <v>6.9108553659227932E-4</v>
      </c>
      <c r="O14" s="611">
        <f>0.9*[5]OFFROADEFs!O14+0.1*'[5]Tier 4'!$O14</f>
        <v>3.492009842986301E-2</v>
      </c>
      <c r="P14" s="611">
        <f>[5]OFFROADEFs!P14</f>
        <v>58.913523330624749</v>
      </c>
      <c r="Q14" s="611">
        <f>[5]OFFROADEFs!Q14</f>
        <v>6.9704339147860696E-3</v>
      </c>
      <c r="R14" s="611">
        <f>0.8*[5]OFFROADEFs!R14+0.2*'[5]Tier 4'!$K14</f>
        <v>5.901623608284385E-2</v>
      </c>
      <c r="S14" s="611">
        <f>0.8*[5]OFFROADEFs!S14+0.2*'[5]Tier 4'!$L14</f>
        <v>0.37296505549448378</v>
      </c>
      <c r="T14" s="611">
        <f>0.8*[5]OFFROADEFs!T14+0.2*'[5]Tier 4'!$M14</f>
        <v>0.36080865524220801</v>
      </c>
      <c r="U14" s="611">
        <f>[5]OFFROADEFs!U14</f>
        <v>6.9108569734204601E-4</v>
      </c>
      <c r="V14" s="611">
        <f>0.8*[5]OFFROADEFs!V14+0.2*'[5]Tier 4'!$O14</f>
        <v>2.7850368199284443E-2</v>
      </c>
      <c r="W14" s="611">
        <f>[5]OFFROADEFs!W14</f>
        <v>58.91351479134542</v>
      </c>
      <c r="X14" s="611">
        <f>[5]OFFROADEFs!X14</f>
        <v>6.4431355607304829E-3</v>
      </c>
      <c r="Y14" s="611">
        <f>0.7*[5]OFFROADEFs!Y14+0.3*'[5]Tier 4'!$K14</f>
        <v>4.9009458509410124E-2</v>
      </c>
      <c r="Z14" s="611">
        <f>0.7*[5]OFFROADEFs!Z14+0.3*'[5]Tier 4'!$L14</f>
        <v>0.35597152405712146</v>
      </c>
      <c r="AA14" s="611">
        <f>0.7*[5]OFFROADEFs!AA14+0.3*'[5]Tier 4'!$M14</f>
        <v>0.2945711828715753</v>
      </c>
      <c r="AB14" s="611">
        <f>[5]OFFROADEFs!AB14</f>
        <v>6.9108543215850075E-4</v>
      </c>
      <c r="AC14" s="611">
        <f>0.7*[5]OFFROADEFs!AC14+0.3*'[5]Tier 4'!$O14</f>
        <v>2.1783222351132885E-2</v>
      </c>
      <c r="AD14" s="611">
        <f>[5]OFFROADEFs!AD14</f>
        <v>58.913506914239804</v>
      </c>
      <c r="AE14" s="611">
        <f>[5]OFFROADEFs!AE14</f>
        <v>5.9519955114860921E-3</v>
      </c>
      <c r="AF14" s="611">
        <f>0.6*[5]OFFROADEFs!AF14+0.4*'[5]Tier 4'!$K14</f>
        <v>4.0326567741176787E-2</v>
      </c>
      <c r="AG14" s="611">
        <f>0.6*[5]OFFROADEFs!AG14+0.4*'[5]Tier 4'!$L14</f>
        <v>0.33955044677951485</v>
      </c>
      <c r="AH14" s="611">
        <f>0.6*[5]OFFROADEFs!AH14+0.4*'[5]Tier 4'!$M14</f>
        <v>0.23683421861049553</v>
      </c>
      <c r="AI14" s="611">
        <f>[5]OFFROADEFs!AI14</f>
        <v>6.9108563338163027E-4</v>
      </c>
      <c r="AJ14" s="611">
        <f>0.6*[5]OFFROADEFs!AJ14+0.4*'[5]Tier 4'!$O14</f>
        <v>1.6640099806405521E-2</v>
      </c>
      <c r="AK14" s="611">
        <f>[5]OFFROADEFs!AK14</f>
        <v>58.913511433127063</v>
      </c>
      <c r="AL14" s="611">
        <f>[5]OFFROADEFs!AL14</f>
        <v>5.4962315456010581E-3</v>
      </c>
      <c r="AM14" s="611">
        <f>0.5*[5]OFFROADEFs!AM14+0.5*'[5]Tier 4'!$K14</f>
        <v>3.284960736195533E-2</v>
      </c>
      <c r="AN14" s="611">
        <f>0.5*[5]OFFROADEFs!AN14+0.5*'[5]Tier 4'!$L14</f>
        <v>0.32363598273876659</v>
      </c>
      <c r="AO14" s="611">
        <f>0.5*[5]OFFROADEFs!AO14+0.5*'[5]Tier 4'!$M14</f>
        <v>0.18656817524346153</v>
      </c>
      <c r="AP14" s="611">
        <f>[5]OFFROADEFs!AP14</f>
        <v>6.9108557140033007E-4</v>
      </c>
      <c r="AQ14" s="611">
        <f>0.5*[5]OFFROADEFs!AQ14+0.5*'[5]Tier 4'!$O14</f>
        <v>1.2351981307621154E-2</v>
      </c>
      <c r="AR14" s="611">
        <f>[5]OFFROADEFs!AR14</f>
        <v>58.91350482958574</v>
      </c>
      <c r="AS14" s="611">
        <f>[5]OFFROADEFs!AS14</f>
        <v>5.075776224453629E-3</v>
      </c>
    </row>
    <row r="15" spans="1:45" x14ac:dyDescent="0.25">
      <c r="A15" s="530" t="s">
        <v>61</v>
      </c>
      <c r="B15" s="25">
        <v>235</v>
      </c>
      <c r="C15" s="134">
        <v>0.38</v>
      </c>
      <c r="D15" s="611">
        <f>0.95*[5]OFFROADEFs!D15+0.05*'[5]Tier 4'!$D15</f>
        <v>0.12027312265814816</v>
      </c>
      <c r="E15" s="611">
        <f>0.95*[5]OFFROADEFs!E15+0.05*'[5]Tier 4'!$E15</f>
        <v>0.37726446207654918</v>
      </c>
      <c r="F15" s="611">
        <f>0.95*[5]OFFROADEFs!F15+0.05*'[5]Tier 4'!$F15</f>
        <v>0.94745273894088322</v>
      </c>
      <c r="G15" s="611">
        <f>[5]OFFROADEFs!G15</f>
        <v>1.8739213528134147E-3</v>
      </c>
      <c r="H15" s="611">
        <f>0.95*[5]OFFROADEFs!H15+0.05*'[5]Tier 4'!$H15</f>
        <v>3.1278738047599536E-2</v>
      </c>
      <c r="I15" s="611">
        <f>[5]OFFROADEFs!I15</f>
        <v>166.54539483446186</v>
      </c>
      <c r="J15" s="611">
        <f>[5]OFFROADEFs!J15</f>
        <v>1.1292325418869483E-2</v>
      </c>
      <c r="K15" s="611">
        <f>0.9*[5]OFFROADEFs!K15+0.1*'[5]Tier 4'!$K15</f>
        <v>0.10888615948643803</v>
      </c>
      <c r="L15" s="611">
        <f>0.9*[5]OFFROADEFs!L15+0.1*'[5]Tier 4'!$L15</f>
        <v>0.37192102764732693</v>
      </c>
      <c r="M15" s="611">
        <f>0.9*[5]OFFROADEFs!M15+0.1*'[5]Tier 4'!$M15</f>
        <v>0.78693926319648355</v>
      </c>
      <c r="N15" s="611">
        <f>[5]OFFROADEFs!N15</f>
        <v>1.8739217498104396E-3</v>
      </c>
      <c r="O15" s="611">
        <f>0.9*[5]OFFROADEFs!O15+0.1*'[5]Tier 4'!$O15</f>
        <v>2.6432845298835113E-2</v>
      </c>
      <c r="P15" s="611">
        <f>[5]OFFROADEFs!P15</f>
        <v>166.54541562452522</v>
      </c>
      <c r="Q15" s="611">
        <f>[5]OFFROADEFs!Q15</f>
        <v>1.063993297769634E-2</v>
      </c>
      <c r="R15" s="611">
        <f>0.8*[5]OFFROADEFs!R15+0.2*'[5]Tier 4'!$K15</f>
        <v>9.421440608486395E-2</v>
      </c>
      <c r="S15" s="611">
        <f>0.8*[5]OFFROADEFs!S15+0.2*'[5]Tier 4'!$L15</f>
        <v>0.37529505031298893</v>
      </c>
      <c r="T15" s="611">
        <f>0.8*[5]OFFROADEFs!T15+0.2*'[5]Tier 4'!$M15</f>
        <v>0.6218287156698552</v>
      </c>
      <c r="U15" s="611">
        <f>[5]OFFROADEFs!U15</f>
        <v>1.8739208211501423E-3</v>
      </c>
      <c r="V15" s="611">
        <f>0.8*[5]OFFROADEFs!V15+0.2*'[5]Tier 4'!$O15</f>
        <v>2.1102200758240576E-2</v>
      </c>
      <c r="W15" s="611">
        <f>[5]OFFROADEFs!W15</f>
        <v>166.54536773790227</v>
      </c>
      <c r="X15" s="611">
        <f>[5]OFFROADEFs!X15</f>
        <v>1.0004303079381925E-2</v>
      </c>
      <c r="Y15" s="611">
        <f>0.7*[5]OFFROADEFs!Y15+0.3*'[5]Tier 4'!$K15</f>
        <v>8.119224107646289E-2</v>
      </c>
      <c r="Z15" s="611">
        <f>0.7*[5]OFFROADEFs!Z15+0.3*'[5]Tier 4'!$L15</f>
        <v>0.37994200133931877</v>
      </c>
      <c r="AA15" s="611">
        <f>0.7*[5]OFFROADEFs!AA15+0.3*'[5]Tier 4'!$M15</f>
        <v>0.48394485675138055</v>
      </c>
      <c r="AB15" s="611">
        <f>[5]OFFROADEFs!AB15</f>
        <v>1.873921930245647E-3</v>
      </c>
      <c r="AC15" s="611">
        <f>0.7*[5]OFFROADEFs!AC15+0.3*'[5]Tier 4'!$O15</f>
        <v>1.6665559588840455E-2</v>
      </c>
      <c r="AD15" s="611">
        <f>[5]OFFROADEFs!AD15</f>
        <v>166.54543379579488</v>
      </c>
      <c r="AE15" s="611">
        <f>[5]OFFROADEFs!AE15</f>
        <v>9.3996999235005617E-3</v>
      </c>
      <c r="AF15" s="611">
        <f>0.6*[5]OFFROADEFs!AF15+0.4*'[5]Tier 4'!$K15</f>
        <v>6.9900592470028153E-2</v>
      </c>
      <c r="AG15" s="611">
        <f>0.6*[5]OFFROADEFs!AG15+0.4*'[5]Tier 4'!$L15</f>
        <v>0.38567506736809876</v>
      </c>
      <c r="AH15" s="611">
        <f>0.6*[5]OFFROADEFs!AH15+0.4*'[5]Tier 4'!$M15</f>
        <v>0.37145978898117477</v>
      </c>
      <c r="AI15" s="611">
        <f>[5]OFFROADEFs!AI15</f>
        <v>1.8739219985869813E-3</v>
      </c>
      <c r="AJ15" s="611">
        <f>0.6*[5]OFFROADEFs!AJ15+0.4*'[5]Tier 4'!$O15</f>
        <v>1.3040763303226189E-2</v>
      </c>
      <c r="AK15" s="611">
        <f>[5]OFFROADEFs!AK15</f>
        <v>166.54541132463186</v>
      </c>
      <c r="AL15" s="611">
        <f>[5]OFFROADEFs!AL15</f>
        <v>8.8537970071824509E-3</v>
      </c>
      <c r="AM15" s="611">
        <f>0.5*[5]OFFROADEFs!AM15+0.5*'[5]Tier 4'!$K15</f>
        <v>6.0143487253669921E-2</v>
      </c>
      <c r="AN15" s="611">
        <f>0.5*[5]OFFROADEFs!AN15+0.5*'[5]Tier 4'!$L15</f>
        <v>0.39227354694736927</v>
      </c>
      <c r="AO15" s="611">
        <f>0.5*[5]OFFROADEFs!AO15+0.5*'[5]Tier 4'!$M15</f>
        <v>0.28165087522833765</v>
      </c>
      <c r="AP15" s="611">
        <f>[5]OFFROADEFs!AP15</f>
        <v>1.8739212869985323E-3</v>
      </c>
      <c r="AQ15" s="611">
        <f>0.5*[5]OFFROADEFs!AQ15+0.5*'[5]Tier 4'!$O15</f>
        <v>1.0130208053330153E-2</v>
      </c>
      <c r="AR15" s="611">
        <f>[5]OFFROADEFs!AR15</f>
        <v>166.54540745667055</v>
      </c>
      <c r="AS15" s="611">
        <f>[5]OFFROADEFs!AS15</f>
        <v>8.3664496800051249E-3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611">
        <f>0.95*[5]OFFROADEFs!D16+0.05*'[5]Tier 4'!$D16</f>
        <v>0.13409687669306566</v>
      </c>
      <c r="E16" s="611">
        <f>0.95*[5]OFFROADEFs!E16+0.05*'[5]Tier 4'!$E16</f>
        <v>0.47613955125877999</v>
      </c>
      <c r="F16" s="611">
        <f>0.95*[5]OFFROADEFs!F16+0.05*'[5]Tier 4'!$F16</f>
        <v>1.1412855646229325</v>
      </c>
      <c r="G16" s="611">
        <f>[5]OFFROADEFs!G16</f>
        <v>1.7677534033125378E-3</v>
      </c>
      <c r="H16" s="611">
        <f>0.95*[5]OFFROADEFs!H16+0.05*'[5]Tier 4'!$H16</f>
        <v>4.0693642888068586E-2</v>
      </c>
      <c r="I16" s="611">
        <f>[5]OFFROADEFs!I16</f>
        <v>180.10128501905464</v>
      </c>
      <c r="J16" s="611">
        <f>[5]OFFROADEFs!J16</f>
        <v>1.256655716560515E-2</v>
      </c>
      <c r="K16" s="611">
        <f>0.9*[5]OFFROADEFs!K16+0.1*'[5]Tier 4'!$K16</f>
        <v>0.1228188382407441</v>
      </c>
      <c r="L16" s="611">
        <f>0.9*[5]OFFROADEFs!L16+0.1*'[5]Tier 4'!$L16</f>
        <v>0.45492412964990703</v>
      </c>
      <c r="M16" s="611">
        <f>0.9*[5]OFFROADEFs!M16+0.1*'[5]Tier 4'!$M16</f>
        <v>0.97275799069431301</v>
      </c>
      <c r="N16" s="611">
        <f>[5]OFFROADEFs!N16</f>
        <v>1.7677532588218458E-3</v>
      </c>
      <c r="O16" s="611">
        <f>0.9*[5]OFFROADEFs!O16+0.1*'[5]Tier 4'!$O16</f>
        <v>3.5216325713369134E-2</v>
      </c>
      <c r="P16" s="611">
        <f>[5]OFFROADEFs!P16</f>
        <v>180.10130637401463</v>
      </c>
      <c r="Q16" s="611">
        <f>[5]OFFROADEFs!Q16</f>
        <v>1.1955016897318338E-2</v>
      </c>
      <c r="R16" s="611">
        <f>0.8*[5]OFFROADEFs!R16+0.2*'[5]Tier 4'!$K16</f>
        <v>0.10810494153261915</v>
      </c>
      <c r="S16" s="611">
        <f>0.8*[5]OFFROADEFs!S16+0.2*'[5]Tier 4'!$L16</f>
        <v>0.45165133700519433</v>
      </c>
      <c r="T16" s="611">
        <f>0.8*[5]OFFROADEFs!T16+0.2*'[5]Tier 4'!$M16</f>
        <v>0.7915966097530136</v>
      </c>
      <c r="U16" s="611">
        <f>[5]OFFROADEFs!U16</f>
        <v>1.7677528907548289E-3</v>
      </c>
      <c r="V16" s="611">
        <f>0.8*[5]OFFROADEFs!V16+0.2*'[5]Tier 4'!$O16</f>
        <v>2.8846164608865917E-2</v>
      </c>
      <c r="W16" s="611">
        <f>[5]OFFROADEFs!W16</f>
        <v>180.101275871506</v>
      </c>
      <c r="X16" s="611">
        <f>[5]OFFROADEFs!X16</f>
        <v>1.1387086879682689E-2</v>
      </c>
      <c r="Y16" s="611">
        <f>0.7*[5]OFFROADEFs!Y16+0.3*'[5]Tier 4'!$K16</f>
        <v>9.4826505737279188E-2</v>
      </c>
      <c r="Z16" s="611">
        <f>0.7*[5]OFFROADEFs!Z16+0.3*'[5]Tier 4'!$L16</f>
        <v>0.45434236467617739</v>
      </c>
      <c r="AA16" s="611">
        <f>0.7*[5]OFFROADEFs!AA16+0.3*'[5]Tier 4'!$M16</f>
        <v>0.63535292909985608</v>
      </c>
      <c r="AB16" s="611">
        <f>[5]OFFROADEFs!AB16</f>
        <v>1.7677529466161633E-3</v>
      </c>
      <c r="AC16" s="611">
        <f>0.7*[5]OFFROADEFs!AC16+0.3*'[5]Tier 4'!$O16</f>
        <v>2.3360137726921776E-2</v>
      </c>
      <c r="AD16" s="611">
        <f>[5]OFFROADEFs!AD16</f>
        <v>180.10127182932982</v>
      </c>
      <c r="AE16" s="611">
        <f>[5]OFFROADEFs!AE16</f>
        <v>1.0841920844072756E-2</v>
      </c>
      <c r="AF16" s="611">
        <f>0.6*[5]OFFROADEFs!AF16+0.4*'[5]Tier 4'!$K16</f>
        <v>8.2871583486714584E-2</v>
      </c>
      <c r="AG16" s="611">
        <f>0.6*[5]OFFROADEFs!AG16+0.4*'[5]Tier 4'!$L16</f>
        <v>0.46156953515221461</v>
      </c>
      <c r="AH16" s="611">
        <f>0.6*[5]OFFROADEFs!AH16+0.4*'[5]Tier 4'!$M16</f>
        <v>0.50226025133659624</v>
      </c>
      <c r="AI16" s="611">
        <f>[5]OFFROADEFs!AI16</f>
        <v>1.7677526386481268E-3</v>
      </c>
      <c r="AJ16" s="611">
        <f>0.6*[5]OFFROADEFs!AJ16+0.4*'[5]Tier 4'!$O16</f>
        <v>1.8680963218576596E-2</v>
      </c>
      <c r="AK16" s="611">
        <f>[5]OFFROADEFs!AK16</f>
        <v>180.10124840521706</v>
      </c>
      <c r="AL16" s="611">
        <f>[5]OFFROADEFs!AL16</f>
        <v>1.031406718152144E-2</v>
      </c>
      <c r="AM16" s="611">
        <f>0.5*[5]OFFROADEFs!AM16+0.5*'[5]Tier 4'!$K16</f>
        <v>7.2230270108486982E-2</v>
      </c>
      <c r="AN16" s="611">
        <f>0.5*[5]OFFROADEFs!AN16+0.5*'[5]Tier 4'!$L16</f>
        <v>0.47254102223366623</v>
      </c>
      <c r="AO16" s="611">
        <f>0.5*[5]OFFROADEFs!AO16+0.5*'[5]Tier 4'!$M16</f>
        <v>0.39060344164754407</v>
      </c>
      <c r="AP16" s="611">
        <f>[5]OFFROADEFs!AP16</f>
        <v>1.7677530586477012E-3</v>
      </c>
      <c r="AQ16" s="611">
        <f>0.5*[5]OFFROADEFs!AQ16+0.5*'[5]Tier 4'!$O16</f>
        <v>1.4766132645050114E-2</v>
      </c>
      <c r="AR16" s="611">
        <f>[5]OFFROADEFs!AR16</f>
        <v>180.10126628693308</v>
      </c>
      <c r="AS16" s="611">
        <f>[5]OFFROADEFs!AS16</f>
        <v>9.812119107308389E-3</v>
      </c>
    </row>
    <row r="17" spans="1:45" x14ac:dyDescent="0.25">
      <c r="A17" s="27" t="s">
        <v>205</v>
      </c>
      <c r="B17" s="25">
        <v>235</v>
      </c>
      <c r="C17" s="134">
        <v>0.38</v>
      </c>
      <c r="D17" s="611">
        <f>0.95*[5]OFFROADEFs!D17+0.05*'[5]Tier 4'!$D17</f>
        <v>0.12027312265814816</v>
      </c>
      <c r="E17" s="611">
        <f>0.95*[5]OFFROADEFs!E17+0.05*'[5]Tier 4'!$E17</f>
        <v>0.37726446207654918</v>
      </c>
      <c r="F17" s="611">
        <f>0.95*[5]OFFROADEFs!F17+0.05*'[5]Tier 4'!$F17</f>
        <v>0.94745273894088322</v>
      </c>
      <c r="G17" s="611">
        <f>[5]OFFROADEFs!G17</f>
        <v>1.8739213528134147E-3</v>
      </c>
      <c r="H17" s="611">
        <f>0.95*[5]OFFROADEFs!H17+0.05*'[5]Tier 4'!$H17</f>
        <v>3.1278738047599536E-2</v>
      </c>
      <c r="I17" s="611">
        <f>[5]OFFROADEFs!I17</f>
        <v>166.54539483446186</v>
      </c>
      <c r="J17" s="611">
        <f>[5]OFFROADEFs!J17</f>
        <v>1.1292325418869483E-2</v>
      </c>
      <c r="K17" s="611">
        <f>0.9*[5]OFFROADEFs!K17+0.1*'[5]Tier 4'!$K17</f>
        <v>0.10888615948643803</v>
      </c>
      <c r="L17" s="611">
        <f>0.9*[5]OFFROADEFs!L17+0.1*'[5]Tier 4'!$L17</f>
        <v>0.37192102764732693</v>
      </c>
      <c r="M17" s="611">
        <f>0.9*[5]OFFROADEFs!M17+0.1*'[5]Tier 4'!$M17</f>
        <v>0.78693926319648355</v>
      </c>
      <c r="N17" s="611">
        <f>[5]OFFROADEFs!N17</f>
        <v>1.8739217498104396E-3</v>
      </c>
      <c r="O17" s="611">
        <f>0.9*[5]OFFROADEFs!O17+0.1*'[5]Tier 4'!$O17</f>
        <v>2.6432845298835113E-2</v>
      </c>
      <c r="P17" s="611">
        <f>[5]OFFROADEFs!P17</f>
        <v>166.54541562452522</v>
      </c>
      <c r="Q17" s="611">
        <f>[5]OFFROADEFs!Q17</f>
        <v>1.063993297769634E-2</v>
      </c>
      <c r="R17" s="611">
        <f>0.8*[5]OFFROADEFs!R17+0.2*'[5]Tier 4'!$K17</f>
        <v>9.421440608486395E-2</v>
      </c>
      <c r="S17" s="611">
        <f>0.8*[5]OFFROADEFs!S17+0.2*'[5]Tier 4'!$L17</f>
        <v>0.37529505031298893</v>
      </c>
      <c r="T17" s="611">
        <f>0.8*[5]OFFROADEFs!T17+0.2*'[5]Tier 4'!$M17</f>
        <v>0.6218287156698552</v>
      </c>
      <c r="U17" s="611">
        <f>[5]OFFROADEFs!U17</f>
        <v>1.8739208211501423E-3</v>
      </c>
      <c r="V17" s="611">
        <f>0.8*[5]OFFROADEFs!V17+0.2*'[5]Tier 4'!$O17</f>
        <v>2.1102200758240576E-2</v>
      </c>
      <c r="W17" s="611">
        <f>[5]OFFROADEFs!W17</f>
        <v>166.54536773790227</v>
      </c>
      <c r="X17" s="611">
        <f>[5]OFFROADEFs!X17</f>
        <v>1.0004303079381925E-2</v>
      </c>
      <c r="Y17" s="611">
        <f>0.7*[5]OFFROADEFs!Y17+0.3*'[5]Tier 4'!$K17</f>
        <v>8.119224107646289E-2</v>
      </c>
      <c r="Z17" s="611">
        <f>0.7*[5]OFFROADEFs!Z17+0.3*'[5]Tier 4'!$L17</f>
        <v>0.37994200133931877</v>
      </c>
      <c r="AA17" s="611">
        <f>0.7*[5]OFFROADEFs!AA17+0.3*'[5]Tier 4'!$M17</f>
        <v>0.48394485675138055</v>
      </c>
      <c r="AB17" s="611">
        <f>[5]OFFROADEFs!AB17</f>
        <v>1.873921930245647E-3</v>
      </c>
      <c r="AC17" s="611">
        <f>0.7*[5]OFFROADEFs!AC17+0.3*'[5]Tier 4'!$O17</f>
        <v>1.6665559588840455E-2</v>
      </c>
      <c r="AD17" s="611">
        <f>[5]OFFROADEFs!AD17</f>
        <v>166.54543379579488</v>
      </c>
      <c r="AE17" s="611">
        <f>[5]OFFROADEFs!AE17</f>
        <v>9.3996999235005617E-3</v>
      </c>
      <c r="AF17" s="611">
        <f>0.6*[5]OFFROADEFs!AF17+0.4*'[5]Tier 4'!$K17</f>
        <v>6.9900592470028153E-2</v>
      </c>
      <c r="AG17" s="611">
        <f>0.6*[5]OFFROADEFs!AG17+0.4*'[5]Tier 4'!$L17</f>
        <v>0.38567506736809876</v>
      </c>
      <c r="AH17" s="611">
        <f>0.6*[5]OFFROADEFs!AH17+0.4*'[5]Tier 4'!$M17</f>
        <v>0.37145978898117477</v>
      </c>
      <c r="AI17" s="611">
        <f>[5]OFFROADEFs!AI17</f>
        <v>1.8739219985869813E-3</v>
      </c>
      <c r="AJ17" s="611">
        <f>0.6*[5]OFFROADEFs!AJ17+0.4*'[5]Tier 4'!$O17</f>
        <v>1.3040763303226189E-2</v>
      </c>
      <c r="AK17" s="611">
        <f>[5]OFFROADEFs!AK17</f>
        <v>166.54541132463186</v>
      </c>
      <c r="AL17" s="611">
        <f>[5]OFFROADEFs!AL17</f>
        <v>8.8537970071824509E-3</v>
      </c>
      <c r="AM17" s="611">
        <f>0.5*[5]OFFROADEFs!AM17+0.5*'[5]Tier 4'!$K17</f>
        <v>6.0143487253669921E-2</v>
      </c>
      <c r="AN17" s="611">
        <f>0.5*[5]OFFROADEFs!AN17+0.5*'[5]Tier 4'!$L17</f>
        <v>0.39227354694736927</v>
      </c>
      <c r="AO17" s="611">
        <f>0.5*[5]OFFROADEFs!AO17+0.5*'[5]Tier 4'!$M17</f>
        <v>0.28165087522833765</v>
      </c>
      <c r="AP17" s="611">
        <f>[5]OFFROADEFs!AP17</f>
        <v>1.8739212869985323E-3</v>
      </c>
      <c r="AQ17" s="611">
        <f>0.5*[5]OFFROADEFs!AQ17+0.5*'[5]Tier 4'!$O17</f>
        <v>1.0130208053330153E-2</v>
      </c>
      <c r="AR17" s="611">
        <f>[5]OFFROADEFs!AR17</f>
        <v>166.54540745667055</v>
      </c>
      <c r="AS17" s="611">
        <f>[5]OFFROADEFs!AS17</f>
        <v>8.3664496800051249E-3</v>
      </c>
    </row>
    <row r="18" spans="1:45" x14ac:dyDescent="0.25">
      <c r="A18" s="27" t="s">
        <v>163</v>
      </c>
      <c r="B18" s="25">
        <v>75</v>
      </c>
      <c r="C18" s="25">
        <v>0.31</v>
      </c>
      <c r="D18" s="611">
        <f>0.95*[5]OFFROADEFs!D18+0.05*'[5]Tier 4'!$D18</f>
        <v>4.4076900613026021E-2</v>
      </c>
      <c r="E18" s="611">
        <f>0.95*[5]OFFROADEFs!E18+0.05*'[5]Tier 4'!$E18</f>
        <v>0.23533863205747899</v>
      </c>
      <c r="F18" s="611">
        <f>0.95*[5]OFFROADEFs!F18+0.05*'[5]Tier 4'!$F18</f>
        <v>0.3172440428712176</v>
      </c>
      <c r="G18" s="611">
        <f>[5]OFFROADEFs!G18</f>
        <v>4.4660189176329328E-4</v>
      </c>
      <c r="H18" s="611">
        <f>0.95*[5]OFFROADEFs!H18+0.05*'[5]Tier 4'!$H18</f>
        <v>2.3373300034597182E-2</v>
      </c>
      <c r="I18" s="611">
        <f>[5]OFFROADEFs!I18</f>
        <v>38.071821072900271</v>
      </c>
      <c r="J18" s="611">
        <f>[5]OFFROADEFs!J18</f>
        <v>4.1522265780973748E-3</v>
      </c>
      <c r="K18" s="611">
        <f>0.9*[5]OFFROADEFs!K18+0.1*'[5]Tier 4'!$K18</f>
        <v>3.7848085547672369E-2</v>
      </c>
      <c r="L18" s="611">
        <f>0.9*[5]OFFROADEFs!L18+0.1*'[5]Tier 4'!$L18</f>
        <v>0.23095739347567587</v>
      </c>
      <c r="M18" s="611">
        <f>0.9*[5]OFFROADEFs!M18+0.1*'[5]Tier 4'!$M18</f>
        <v>0.27347169152642881</v>
      </c>
      <c r="N18" s="611">
        <f>[5]OFFROADEFs!N18</f>
        <v>4.4660184460307463E-4</v>
      </c>
      <c r="O18" s="611">
        <f>0.9*[5]OFFROADEFs!O18+0.1*'[5]Tier 4'!$O18</f>
        <v>1.9787803716078484E-2</v>
      </c>
      <c r="P18" s="611">
        <f>[5]OFFROADEFs!P18</f>
        <v>38.071823208441309</v>
      </c>
      <c r="Q18" s="611">
        <f>[5]OFFROADEFs!Q18</f>
        <v>3.7224725625345937E-3</v>
      </c>
      <c r="R18" s="611">
        <f>0.8*[5]OFFROADEFs!R18+0.2*'[5]Tier 4'!$K18</f>
        <v>3.0893954987389453E-2</v>
      </c>
      <c r="S18" s="611">
        <f>0.8*[5]OFFROADEFs!S18+0.2*'[5]Tier 4'!$L18</f>
        <v>0.22482241351057566</v>
      </c>
      <c r="T18" s="611">
        <f>0.8*[5]OFFROADEFs!T18+0.2*'[5]Tier 4'!$M18</f>
        <v>0.22603586731633477</v>
      </c>
      <c r="U18" s="611">
        <f>[5]OFFROADEFs!U18</f>
        <v>4.4660191069222039E-4</v>
      </c>
      <c r="V18" s="611">
        <f>0.8*[5]OFFROADEFs!V18+0.2*'[5]Tier 4'!$O18</f>
        <v>1.5650220264446981E-2</v>
      </c>
      <c r="W18" s="611">
        <f>[5]OFFROADEFs!W18</f>
        <v>38.071819829304054</v>
      </c>
      <c r="X18" s="611">
        <f>[5]OFFROADEFs!X18</f>
        <v>3.3225215947608622E-3</v>
      </c>
      <c r="Y18" s="611">
        <f>0.7*[5]OFFROADEFs!Y18+0.3*'[5]Tier 4'!$K18</f>
        <v>2.503304302758573E-2</v>
      </c>
      <c r="Z18" s="611">
        <f>0.7*[5]OFFROADEFs!Z18+0.3*'[5]Tier 4'!$L18</f>
        <v>0.21923257911050123</v>
      </c>
      <c r="AA18" s="611">
        <f>0.7*[5]OFFROADEFs!AA18+0.3*'[5]Tier 4'!$M18</f>
        <v>0.18418335618414555</v>
      </c>
      <c r="AB18" s="611">
        <f>[5]OFFROADEFs!AB18</f>
        <v>4.466019753080203E-4</v>
      </c>
      <c r="AC18" s="611">
        <f>0.7*[5]OFFROADEFs!AC18+0.3*'[5]Tier 4'!$O18</f>
        <v>1.2096076420543793E-2</v>
      </c>
      <c r="AD18" s="611">
        <f>[5]OFFROADEFs!AD18</f>
        <v>38.071830204285249</v>
      </c>
      <c r="AE18" s="611">
        <f>[5]OFFROADEFs!AE18</f>
        <v>2.9492141591912126E-3</v>
      </c>
      <c r="AF18" s="611">
        <f>0.6*[5]OFFROADEFs!AF18+0.4*'[5]Tier 4'!$K18</f>
        <v>2.0166176667999011E-2</v>
      </c>
      <c r="AG18" s="611">
        <f>0.6*[5]OFFROADEFs!AG18+0.4*'[5]Tier 4'!$L18</f>
        <v>0.21408068490373316</v>
      </c>
      <c r="AH18" s="611">
        <f>0.6*[5]OFFROADEFs!AH18+0.4*'[5]Tier 4'!$M18</f>
        <v>0.14741234027371314</v>
      </c>
      <c r="AI18" s="611">
        <f>[5]OFFROADEFs!AI18</f>
        <v>4.4660186125796705E-4</v>
      </c>
      <c r="AJ18" s="611">
        <f>0.6*[5]OFFROADEFs!AJ18+0.4*'[5]Tier 4'!$O18</f>
        <v>9.08355309983307E-3</v>
      </c>
      <c r="AK18" s="611">
        <f>[5]OFFROADEFs!AK18</f>
        <v>38.07181772268865</v>
      </c>
      <c r="AL18" s="611">
        <f>[5]OFFROADEFs!AL18</f>
        <v>2.6009543106440729E-3</v>
      </c>
      <c r="AM18" s="611">
        <f>0.5*[5]OFFROADEFs!AM18+0.5*'[5]Tier 4'!$K18</f>
        <v>1.6539933625842183E-2</v>
      </c>
      <c r="AN18" s="611">
        <f>0.5*[5]OFFROADEFs!AN18+0.5*'[5]Tier 4'!$L18</f>
        <v>0.20944561071938492</v>
      </c>
      <c r="AO18" s="611">
        <f>0.5*[5]OFFROADEFs!AO18+0.5*'[5]Tier 4'!$M18</f>
        <v>0.11600955386994313</v>
      </c>
      <c r="AP18" s="611">
        <f>[5]OFFROADEFs!AP18</f>
        <v>4.4660198806364737E-4</v>
      </c>
      <c r="AQ18" s="611">
        <f>0.5*[5]OFFROADEFs!AQ18+0.5*'[5]Tier 4'!$O18</f>
        <v>6.7486596146919021E-3</v>
      </c>
      <c r="AR18" s="611">
        <f>[5]OFFROADEFs!AR18</f>
        <v>38.071813147043628</v>
      </c>
      <c r="AS18" s="611">
        <f>[5]OFFROADEFs!AS18</f>
        <v>2.3372706875200077E-3</v>
      </c>
    </row>
    <row r="19" spans="1:45" x14ac:dyDescent="0.25">
      <c r="A19" s="27" t="s">
        <v>192</v>
      </c>
      <c r="B19" s="25">
        <v>45</v>
      </c>
      <c r="C19" s="25">
        <v>1</v>
      </c>
      <c r="D19" s="611">
        <f>[5]OFFROADEFs!D19</f>
        <v>7.4731714184131492E-2</v>
      </c>
      <c r="E19" s="611">
        <f>0.95*[5]OFFROADEFs!E19+0.05*'[5]Tier 4'!$E19</f>
        <v>0.24453724453802805</v>
      </c>
      <c r="F19" s="611">
        <f>0.95*[5]OFFROADEFs!F19+0.05*'[5]Tier 4'!$F19</f>
        <v>0.22305455439379515</v>
      </c>
      <c r="G19" s="611">
        <f>[5]OFFROADEFs!G19</f>
        <v>2.8791180196343529E-4</v>
      </c>
      <c r="H19" s="611">
        <f>0.95*[5]OFFROADEFs!H19+0.05*'[5]Tier 4'!$H19</f>
        <v>1.8470024929196412E-2</v>
      </c>
      <c r="I19" s="611">
        <f>[5]OFFROADEFs!I19</f>
        <v>22.271261510097837</v>
      </c>
      <c r="J19" s="611">
        <f>[5]OFFROADEFs!J19</f>
        <v>6.7429224274720354E-3</v>
      </c>
      <c r="K19" s="611">
        <f>0.9*[5]OFFROADEFs!K19+0.1*'[5]Tier 4'!$K19</f>
        <v>6.0031826185753062E-2</v>
      </c>
      <c r="L19" s="611">
        <f>0.9*[5]OFFROADEFs!L19+0.1*'[5]Tier 4'!$L19</f>
        <v>0.24597366704095389</v>
      </c>
      <c r="M19" s="611">
        <f>0.9*[5]OFFROADEFs!M19+0.1*'[5]Tier 4'!$M19</f>
        <v>0.21311283631353706</v>
      </c>
      <c r="N19" s="611">
        <f>[5]OFFROADEFs!N19</f>
        <v>2.8791175201714529E-4</v>
      </c>
      <c r="O19" s="611">
        <f>0.9*[5]OFFROADEFs!O19+0.1*'[5]Tier 4'!$O19</f>
        <v>1.5037193593767375E-2</v>
      </c>
      <c r="P19" s="611">
        <f>[5]OFFROADEFs!P19</f>
        <v>22.271256112007169</v>
      </c>
      <c r="Q19" s="611">
        <f>[5]OFFROADEFs!Q19</f>
        <v>6.0184173846369749E-3</v>
      </c>
      <c r="R19" s="611">
        <f>0.8*[5]OFFROADEFs!R19+0.2*'[5]Tier 4'!$K19</f>
        <v>4.7254984778210878E-2</v>
      </c>
      <c r="S19" s="611">
        <f>0.8*[5]OFFROADEFs!S19+0.2*'[5]Tier 4'!$L19</f>
        <v>0.25807532276457046</v>
      </c>
      <c r="T19" s="611">
        <f>0.8*[5]OFFROADEFs!T19+0.2*'[5]Tier 4'!$M19</f>
        <v>0.22252555428648887</v>
      </c>
      <c r="U19" s="611">
        <f>[5]OFFROADEFs!U19</f>
        <v>2.8791182684222128E-4</v>
      </c>
      <c r="V19" s="611">
        <f>0.8*[5]OFFROADEFs!V19+0.2*'[5]Tier 4'!$O19</f>
        <v>1.2197200319964813E-2</v>
      </c>
      <c r="W19" s="611">
        <f>[5]OFFROADEFs!W19</f>
        <v>22.271263489608529</v>
      </c>
      <c r="X19" s="611">
        <f>[5]OFFROADEFs!X19</f>
        <v>5.3296756081269462E-3</v>
      </c>
      <c r="Y19" s="611">
        <f>0.7*[5]OFFROADEFs!Y19+0.3*'[5]Tier 4'!$K19</f>
        <v>3.624756413896417E-2</v>
      </c>
      <c r="Z19" s="611">
        <f>0.7*[5]OFFROADEFs!Z19+0.3*'[5]Tier 4'!$L19</f>
        <v>0.2719453796022327</v>
      </c>
      <c r="AA19" s="611">
        <f>0.7*[5]OFFROADEFs!AA19+0.3*'[5]Tier 4'!$M19</f>
        <v>0.23351800673201462</v>
      </c>
      <c r="AB19" s="611">
        <f>[5]OFFROADEFs!AB19</f>
        <v>2.8791179873332629E-4</v>
      </c>
      <c r="AC19" s="611">
        <f>0.7*[5]OFFROADEFs!AC19+0.3*'[5]Tier 4'!$O19</f>
        <v>9.7345573023806791E-3</v>
      </c>
      <c r="AD19" s="611">
        <f>[5]OFFROADEFs!AD19</f>
        <v>22.27125815267382</v>
      </c>
      <c r="AE19" s="611">
        <f>[5]OFFROADEFs!AE19</f>
        <v>4.6722271755845939E-3</v>
      </c>
      <c r="AF19" s="611">
        <f>0.6*[5]OFFROADEFs!AF19+0.4*'[5]Tier 4'!$K19</f>
        <v>2.697378470435937E-2</v>
      </c>
      <c r="AG19" s="611">
        <f>0.6*[5]OFFROADEFs!AG19+0.4*'[5]Tier 4'!$L19</f>
        <v>0.28740197709984749</v>
      </c>
      <c r="AH19" s="611">
        <f>0.6*[5]OFFROADEFs!AH19+0.4*'[5]Tier 4'!$M19</f>
        <v>0.24591872324439579</v>
      </c>
      <c r="AI19" s="611">
        <f>[5]OFFROADEFs!AI19</f>
        <v>2.8791177699648187E-4</v>
      </c>
      <c r="AJ19" s="611">
        <f>0.6*[5]OFFROADEFs!AJ19+0.4*'[5]Tier 4'!$O19</f>
        <v>7.6352718123643224E-3</v>
      </c>
      <c r="AK19" s="611">
        <f>[5]OFFROADEFs!AK19</f>
        <v>22.271260851643145</v>
      </c>
      <c r="AL19" s="611">
        <f>[5]OFFROADEFs!AL19</f>
        <v>4.0563354650994263E-3</v>
      </c>
      <c r="AM19" s="611">
        <f>0.5*[5]OFFROADEFs!AM19+0.5*'[5]Tier 4'!$K19</f>
        <v>1.9923073354728198E-2</v>
      </c>
      <c r="AN19" s="611">
        <f>0.5*[5]OFFROADEFs!AN19+0.5*'[5]Tier 4'!$L19</f>
        <v>0.30488468077411202</v>
      </c>
      <c r="AO19" s="611">
        <f>0.5*[5]OFFROADEFs!AO19+0.5*'[5]Tier 4'!$M19</f>
        <v>0.25985727814502335</v>
      </c>
      <c r="AP19" s="611">
        <f>[5]OFFROADEFs!AP19</f>
        <v>2.87911782171829E-4</v>
      </c>
      <c r="AQ19" s="611">
        <f>0.5*[5]OFFROADEFs!AQ19+0.5*'[5]Tier 4'!$O19</f>
        <v>5.9610457509514797E-3</v>
      </c>
      <c r="AR19" s="611">
        <f>[5]OFFROADEFs!AR19</f>
        <v>22.271257718128961</v>
      </c>
      <c r="AS19" s="611">
        <f>[5]OFFROADEFs!AS19</f>
        <v>3.5952550833409889E-3</v>
      </c>
    </row>
    <row r="20" spans="1:45" x14ac:dyDescent="0.25">
      <c r="A20" s="27" t="s">
        <v>206</v>
      </c>
      <c r="B20" s="25">
        <v>300</v>
      </c>
      <c r="C20" s="25">
        <v>0.42</v>
      </c>
      <c r="D20" s="611">
        <f>0.95*[5]OFFROADEFs!D20+0.05*'[5]Tier 4'!$D20</f>
        <v>0.12634860383051666</v>
      </c>
      <c r="E20" s="611">
        <f>0.95*[5]OFFROADEFs!E20+0.05*'[5]Tier 4'!$E20</f>
        <v>0.50758739181396961</v>
      </c>
      <c r="F20" s="611">
        <f>0.95*[5]OFFROADEFs!F20+0.05*'[5]Tier 4'!$F20</f>
        <v>1.1481509547445321</v>
      </c>
      <c r="G20" s="611">
        <f>[5]OFFROADEFs!G20</f>
        <v>2.4954346257058686E-3</v>
      </c>
      <c r="H20" s="611">
        <f>0.95*[5]OFFROADEFs!H20+0.05*'[5]Tier 4'!$H20</f>
        <v>3.7613858140880155E-2</v>
      </c>
      <c r="I20" s="611">
        <f>[5]OFFROADEFs!I20</f>
        <v>254.23854571385056</v>
      </c>
      <c r="J20" s="611">
        <f>[5]OFFROADEFs!J20</f>
        <v>1.1815564023556229E-2</v>
      </c>
      <c r="K20" s="611">
        <f>0.9*[5]OFFROADEFs!K20+0.1*'[5]Tier 4'!$K20</f>
        <v>0.11577475029587816</v>
      </c>
      <c r="L20" s="611">
        <f>0.9*[5]OFFROADEFs!L20+0.1*'[5]Tier 4'!$L20</f>
        <v>0.49927069740964902</v>
      </c>
      <c r="M20" s="611">
        <f>0.9*[5]OFFROADEFs!M20+0.1*'[5]Tier 4'!$M20</f>
        <v>0.94570260397547923</v>
      </c>
      <c r="N20" s="611">
        <f>[5]OFFROADEFs!N20</f>
        <v>2.4954334272364047E-3</v>
      </c>
      <c r="O20" s="611">
        <f>0.9*[5]OFFROADEFs!O20+0.1*'[5]Tier 4'!$O20</f>
        <v>3.1927098880034817E-2</v>
      </c>
      <c r="P20" s="611">
        <f>[5]OFFROADEFs!P20</f>
        <v>254.23851177178003</v>
      </c>
      <c r="Q20" s="611">
        <f>[5]OFFROADEFs!Q20</f>
        <v>1.1216977037398481E-2</v>
      </c>
      <c r="R20" s="611">
        <f>0.8*[5]OFFROADEFs!R20+0.2*'[5]Tier 4'!$K20</f>
        <v>0.10224540819147032</v>
      </c>
      <c r="S20" s="611">
        <f>0.8*[5]OFFROADEFs!S20+0.2*'[5]Tier 4'!$L20</f>
        <v>0.5059376637450087</v>
      </c>
      <c r="T20" s="611">
        <f>0.8*[5]OFFROADEFs!T20+0.2*'[5]Tier 4'!$M20</f>
        <v>0.7475804786143414</v>
      </c>
      <c r="U20" s="611">
        <f>[5]OFFROADEFs!U20</f>
        <v>2.4954333425274682E-3</v>
      </c>
      <c r="V20" s="611">
        <f>0.8*[5]OFFROADEFs!V20+0.2*'[5]Tier 4'!$O20</f>
        <v>2.5700450817083765E-2</v>
      </c>
      <c r="W20" s="611">
        <f>[5]OFFROADEFs!W20</f>
        <v>254.23847707292109</v>
      </c>
      <c r="X20" s="611">
        <f>[5]OFFROADEFs!X20</f>
        <v>1.0654580267680711E-2</v>
      </c>
      <c r="Y20" s="611">
        <f>0.7*[5]OFFROADEFs!Y20+0.3*'[5]Tier 4'!$K20</f>
        <v>9.0225805917190885E-2</v>
      </c>
      <c r="Z20" s="611">
        <f>0.7*[5]OFFROADEFs!Z20+0.3*'[5]Tier 4'!$L20</f>
        <v>0.51534614373640708</v>
      </c>
      <c r="AA20" s="611">
        <f>0.7*[5]OFFROADEFs!AA20+0.3*'[5]Tier 4'!$M20</f>
        <v>0.58526223609575434</v>
      </c>
      <c r="AB20" s="611">
        <f>[5]OFFROADEFs!AB20</f>
        <v>2.4954338651265763E-3</v>
      </c>
      <c r="AC20" s="611">
        <f>0.7*[5]OFFROADEFs!AC20+0.3*'[5]Tier 4'!$O20</f>
        <v>2.0522530022613474E-2</v>
      </c>
      <c r="AD20" s="611">
        <f>[5]OFFROADEFs!AD20</f>
        <v>254.23847108919361</v>
      </c>
      <c r="AE20" s="611">
        <f>[5]OFFROADEFs!AE20</f>
        <v>1.0126092850486785E-2</v>
      </c>
      <c r="AF20" s="611">
        <f>0.6*[5]OFFROADEFs!AF20+0.4*'[5]Tier 4'!$K20</f>
        <v>7.9524938192631206E-2</v>
      </c>
      <c r="AG20" s="611">
        <f>0.6*[5]OFFROADEFs!AG20+0.4*'[5]Tier 4'!$L20</f>
        <v>0.5267193623565769</v>
      </c>
      <c r="AH20" s="611">
        <f>0.6*[5]OFFROADEFs!AH20+0.4*'[5]Tier 4'!$M20</f>
        <v>0.45244268589912862</v>
      </c>
      <c r="AI20" s="611">
        <f>[5]OFFROADEFs!AI20</f>
        <v>2.4954335273852284E-3</v>
      </c>
      <c r="AJ20" s="611">
        <f>0.6*[5]OFFROADEFs!AJ20+0.4*'[5]Tier 4'!$O20</f>
        <v>1.6223354293036216E-2</v>
      </c>
      <c r="AK20" s="611">
        <f>[5]OFFROADEFs!AK20</f>
        <v>254.23852719541449</v>
      </c>
      <c r="AL20" s="611">
        <f>[5]OFFROADEFs!AL20</f>
        <v>9.6197582224700796E-3</v>
      </c>
      <c r="AM20" s="611">
        <f>0.5*[5]OFFROADEFs!AM20+0.5*'[5]Tier 4'!$K20</f>
        <v>7.0054010550034865E-2</v>
      </c>
      <c r="AN20" s="611">
        <f>0.5*[5]OFFROADEFs!AN20+0.5*'[5]Tier 4'!$L20</f>
        <v>0.53937003610918288</v>
      </c>
      <c r="AO20" s="611">
        <f>0.5*[5]OFFROADEFs!AO20+0.5*'[5]Tier 4'!$M20</f>
        <v>0.3449280266843181</v>
      </c>
      <c r="AP20" s="611">
        <f>[5]OFFROADEFs!AP20</f>
        <v>2.4954341522000403E-3</v>
      </c>
      <c r="AQ20" s="611">
        <f>0.5*[5]OFFROADEFs!AQ20+0.5*'[5]Tier 4'!$O20</f>
        <v>1.2698933981337302E-2</v>
      </c>
      <c r="AR20" s="611">
        <f>[5]OFFROADEFs!AR20</f>
        <v>254.23853104993103</v>
      </c>
      <c r="AS20" s="611">
        <f>[5]OFFROADEFs!AS20</f>
        <v>9.1328399494481263E-3</v>
      </c>
    </row>
    <row r="21" spans="1:45" x14ac:dyDescent="0.25">
      <c r="A21" s="27" t="s">
        <v>207</v>
      </c>
      <c r="B21" s="25">
        <v>300</v>
      </c>
      <c r="C21" s="25">
        <v>0.42</v>
      </c>
      <c r="D21" s="611">
        <f>0.95*[5]OFFROADEFs!D21+0.05*'[5]Tier 4'!$D21</f>
        <v>0.12634860383051666</v>
      </c>
      <c r="E21" s="611">
        <f>0.95*[5]OFFROADEFs!E21+0.05*'[5]Tier 4'!$E21</f>
        <v>0.50758739181396961</v>
      </c>
      <c r="F21" s="611">
        <f>0.95*[5]OFFROADEFs!F21+0.05*'[5]Tier 4'!$F21</f>
        <v>1.1481509547445321</v>
      </c>
      <c r="G21" s="611">
        <f>[5]OFFROADEFs!G21</f>
        <v>2.4954346257058686E-3</v>
      </c>
      <c r="H21" s="611">
        <f>0.95*[5]OFFROADEFs!H21+0.05*'[5]Tier 4'!$H21</f>
        <v>3.7613858140880155E-2</v>
      </c>
      <c r="I21" s="611">
        <f>[5]OFFROADEFs!I21</f>
        <v>254.23854571385056</v>
      </c>
      <c r="J21" s="611">
        <f>[5]OFFROADEFs!J21</f>
        <v>1.1815564023556229E-2</v>
      </c>
      <c r="K21" s="611">
        <f>0.9*[5]OFFROADEFs!K21+0.1*'[5]Tier 4'!$K21</f>
        <v>0.11577475029587816</v>
      </c>
      <c r="L21" s="611">
        <f>0.9*[5]OFFROADEFs!L21+0.1*'[5]Tier 4'!$L21</f>
        <v>0.49927069740964902</v>
      </c>
      <c r="M21" s="611">
        <f>0.9*[5]OFFROADEFs!M21+0.1*'[5]Tier 4'!$M21</f>
        <v>0.94570260397547923</v>
      </c>
      <c r="N21" s="611">
        <f>[5]OFFROADEFs!N21</f>
        <v>2.4954334272364047E-3</v>
      </c>
      <c r="O21" s="611">
        <f>0.9*[5]OFFROADEFs!O21+0.1*'[5]Tier 4'!$O21</f>
        <v>3.1927098880034817E-2</v>
      </c>
      <c r="P21" s="611">
        <f>[5]OFFROADEFs!P21</f>
        <v>254.23851177178003</v>
      </c>
      <c r="Q21" s="611">
        <f>[5]OFFROADEFs!Q21</f>
        <v>1.1216977037398481E-2</v>
      </c>
      <c r="R21" s="611">
        <f>0.8*[5]OFFROADEFs!R21+0.2*'[5]Tier 4'!$K21</f>
        <v>0.10224540819147032</v>
      </c>
      <c r="S21" s="611">
        <f>0.8*[5]OFFROADEFs!S21+0.2*'[5]Tier 4'!$L21</f>
        <v>0.5059376637450087</v>
      </c>
      <c r="T21" s="611">
        <f>0.8*[5]OFFROADEFs!T21+0.2*'[5]Tier 4'!$M21</f>
        <v>0.7475804786143414</v>
      </c>
      <c r="U21" s="611">
        <f>[5]OFFROADEFs!U21</f>
        <v>2.4954333425274682E-3</v>
      </c>
      <c r="V21" s="611">
        <f>0.8*[5]OFFROADEFs!V21+0.2*'[5]Tier 4'!$O21</f>
        <v>2.5700450817083765E-2</v>
      </c>
      <c r="W21" s="611">
        <f>[5]OFFROADEFs!W21</f>
        <v>254.23847707292109</v>
      </c>
      <c r="X21" s="611">
        <f>[5]OFFROADEFs!X21</f>
        <v>1.0654580267680711E-2</v>
      </c>
      <c r="Y21" s="611">
        <f>0.7*[5]OFFROADEFs!Y21+0.3*'[5]Tier 4'!$K21</f>
        <v>9.0225805917190885E-2</v>
      </c>
      <c r="Z21" s="611">
        <f>0.7*[5]OFFROADEFs!Z21+0.3*'[5]Tier 4'!$L21</f>
        <v>0.51534614373640708</v>
      </c>
      <c r="AA21" s="611">
        <f>0.7*[5]OFFROADEFs!AA21+0.3*'[5]Tier 4'!$M21</f>
        <v>0.58526223609575434</v>
      </c>
      <c r="AB21" s="611">
        <f>[5]OFFROADEFs!AB21</f>
        <v>2.4954338651265763E-3</v>
      </c>
      <c r="AC21" s="611">
        <f>0.7*[5]OFFROADEFs!AC21+0.3*'[5]Tier 4'!$O21</f>
        <v>2.0522530022613474E-2</v>
      </c>
      <c r="AD21" s="611">
        <f>[5]OFFROADEFs!AD21</f>
        <v>254.23847108919361</v>
      </c>
      <c r="AE21" s="611">
        <f>[5]OFFROADEFs!AE21</f>
        <v>1.0126092850486785E-2</v>
      </c>
      <c r="AF21" s="611">
        <f>0.6*[5]OFFROADEFs!AF21+0.4*'[5]Tier 4'!$K21</f>
        <v>7.9524938192631206E-2</v>
      </c>
      <c r="AG21" s="611">
        <f>0.6*[5]OFFROADEFs!AG21+0.4*'[5]Tier 4'!$L21</f>
        <v>0.5267193623565769</v>
      </c>
      <c r="AH21" s="611">
        <f>0.6*[5]OFFROADEFs!AH21+0.4*'[5]Tier 4'!$M21</f>
        <v>0.45244268589912862</v>
      </c>
      <c r="AI21" s="611">
        <f>[5]OFFROADEFs!AI21</f>
        <v>2.4954335273852284E-3</v>
      </c>
      <c r="AJ21" s="611">
        <f>0.6*[5]OFFROADEFs!AJ21+0.4*'[5]Tier 4'!$O21</f>
        <v>1.6223354293036216E-2</v>
      </c>
      <c r="AK21" s="611">
        <f>[5]OFFROADEFs!AK21</f>
        <v>254.23852719541449</v>
      </c>
      <c r="AL21" s="611">
        <f>[5]OFFROADEFs!AL21</f>
        <v>9.6197582224700796E-3</v>
      </c>
      <c r="AM21" s="611">
        <f>0.5*[5]OFFROADEFs!AM21+0.5*'[5]Tier 4'!$K21</f>
        <v>7.0054010550034865E-2</v>
      </c>
      <c r="AN21" s="611">
        <f>0.5*[5]OFFROADEFs!AN21+0.5*'[5]Tier 4'!$L21</f>
        <v>0.53937003610918288</v>
      </c>
      <c r="AO21" s="611">
        <f>0.5*[5]OFFROADEFs!AO21+0.5*'[5]Tier 4'!$M21</f>
        <v>0.3449280266843181</v>
      </c>
      <c r="AP21" s="611">
        <f>[5]OFFROADEFs!AP21</f>
        <v>2.4954341522000403E-3</v>
      </c>
      <c r="AQ21" s="611">
        <f>0.5*[5]OFFROADEFs!AQ21+0.5*'[5]Tier 4'!$O21</f>
        <v>1.2698933981337302E-2</v>
      </c>
      <c r="AR21" s="611">
        <f>[5]OFFROADEFs!AR21</f>
        <v>254.23853104993103</v>
      </c>
      <c r="AS21" s="611">
        <f>[5]OFFROADEFs!AS21</f>
        <v>9.1328399494481263E-3</v>
      </c>
    </row>
    <row r="22" spans="1:45" x14ac:dyDescent="0.25">
      <c r="A22" s="27" t="s">
        <v>208</v>
      </c>
      <c r="B22" s="25">
        <v>300</v>
      </c>
      <c r="C22" s="25">
        <v>0.42</v>
      </c>
      <c r="D22" s="611">
        <f>0.95*[5]OFFROADEFs!D22+0.05*'[5]Tier 4'!$D22</f>
        <v>0.12634860383051666</v>
      </c>
      <c r="E22" s="611">
        <f>0.95*[5]OFFROADEFs!E22+0.05*'[5]Tier 4'!$E22</f>
        <v>0.50758739181396961</v>
      </c>
      <c r="F22" s="611">
        <f>0.95*[5]OFFROADEFs!F22+0.05*'[5]Tier 4'!$F22</f>
        <v>1.1481509547445321</v>
      </c>
      <c r="G22" s="611">
        <f>[5]OFFROADEFs!G22</f>
        <v>2.4954346257058686E-3</v>
      </c>
      <c r="H22" s="611">
        <f>0.95*[5]OFFROADEFs!H22+0.05*'[5]Tier 4'!$H22</f>
        <v>3.7613858140880155E-2</v>
      </c>
      <c r="I22" s="611">
        <f>[5]OFFROADEFs!I22</f>
        <v>254.23854571385056</v>
      </c>
      <c r="J22" s="611">
        <f>[5]OFFROADEFs!J22</f>
        <v>1.1815564023556229E-2</v>
      </c>
      <c r="K22" s="611">
        <f>0.9*[5]OFFROADEFs!K22+0.1*'[5]Tier 4'!$K22</f>
        <v>0.11577475029587816</v>
      </c>
      <c r="L22" s="611">
        <f>0.9*[5]OFFROADEFs!L22+0.1*'[5]Tier 4'!$L22</f>
        <v>0.49927069740964902</v>
      </c>
      <c r="M22" s="611">
        <f>0.9*[5]OFFROADEFs!M22+0.1*'[5]Tier 4'!$M22</f>
        <v>0.94570260397547923</v>
      </c>
      <c r="N22" s="611">
        <f>[5]OFFROADEFs!N22</f>
        <v>2.4954334272364047E-3</v>
      </c>
      <c r="O22" s="611">
        <f>0.9*[5]OFFROADEFs!O22+0.1*'[5]Tier 4'!$O22</f>
        <v>3.1927098880034817E-2</v>
      </c>
      <c r="P22" s="611">
        <f>[5]OFFROADEFs!P22</f>
        <v>254.23851177178003</v>
      </c>
      <c r="Q22" s="611">
        <f>[5]OFFROADEFs!Q22</f>
        <v>1.1216977037398481E-2</v>
      </c>
      <c r="R22" s="611">
        <f>0.8*[5]OFFROADEFs!R22+0.2*'[5]Tier 4'!$K22</f>
        <v>0.10224540819147032</v>
      </c>
      <c r="S22" s="611">
        <f>0.8*[5]OFFROADEFs!S22+0.2*'[5]Tier 4'!$L22</f>
        <v>0.5059376637450087</v>
      </c>
      <c r="T22" s="611">
        <f>0.8*[5]OFFROADEFs!T22+0.2*'[5]Tier 4'!$M22</f>
        <v>0.7475804786143414</v>
      </c>
      <c r="U22" s="611">
        <f>[5]OFFROADEFs!U22</f>
        <v>2.4954333425274682E-3</v>
      </c>
      <c r="V22" s="611">
        <f>0.8*[5]OFFROADEFs!V22+0.2*'[5]Tier 4'!$O22</f>
        <v>2.5700450817083765E-2</v>
      </c>
      <c r="W22" s="611">
        <f>[5]OFFROADEFs!W22</f>
        <v>254.23847707292109</v>
      </c>
      <c r="X22" s="611">
        <f>[5]OFFROADEFs!X22</f>
        <v>1.0654580267680711E-2</v>
      </c>
      <c r="Y22" s="611">
        <f>0.7*[5]OFFROADEFs!Y22+0.3*'[5]Tier 4'!$K22</f>
        <v>9.0225805917190885E-2</v>
      </c>
      <c r="Z22" s="611">
        <f>0.7*[5]OFFROADEFs!Z22+0.3*'[5]Tier 4'!$L22</f>
        <v>0.51534614373640708</v>
      </c>
      <c r="AA22" s="611">
        <f>0.7*[5]OFFROADEFs!AA22+0.3*'[5]Tier 4'!$M22</f>
        <v>0.58526223609575434</v>
      </c>
      <c r="AB22" s="611">
        <f>[5]OFFROADEFs!AB22</f>
        <v>2.4954338651265763E-3</v>
      </c>
      <c r="AC22" s="611">
        <f>0.7*[5]OFFROADEFs!AC22+0.3*'[5]Tier 4'!$O22</f>
        <v>2.0522530022613474E-2</v>
      </c>
      <c r="AD22" s="611">
        <f>[5]OFFROADEFs!AD22</f>
        <v>254.23847108919361</v>
      </c>
      <c r="AE22" s="611">
        <f>[5]OFFROADEFs!AE22</f>
        <v>1.0126092850486785E-2</v>
      </c>
      <c r="AF22" s="611">
        <f>0.6*[5]OFFROADEFs!AF22+0.4*'[5]Tier 4'!$K22</f>
        <v>7.9524938192631206E-2</v>
      </c>
      <c r="AG22" s="611">
        <f>0.6*[5]OFFROADEFs!AG22+0.4*'[5]Tier 4'!$L22</f>
        <v>0.5267193623565769</v>
      </c>
      <c r="AH22" s="611">
        <f>0.6*[5]OFFROADEFs!AH22+0.4*'[5]Tier 4'!$M22</f>
        <v>0.45244268589912862</v>
      </c>
      <c r="AI22" s="611">
        <f>[5]OFFROADEFs!AI22</f>
        <v>2.4954335273852284E-3</v>
      </c>
      <c r="AJ22" s="611">
        <f>0.6*[5]OFFROADEFs!AJ22+0.4*'[5]Tier 4'!$O22</f>
        <v>1.6223354293036216E-2</v>
      </c>
      <c r="AK22" s="611">
        <f>[5]OFFROADEFs!AK22</f>
        <v>254.23852719541449</v>
      </c>
      <c r="AL22" s="611">
        <f>[5]OFFROADEFs!AL22</f>
        <v>9.6197582224700796E-3</v>
      </c>
      <c r="AM22" s="611">
        <f>0.5*[5]OFFROADEFs!AM22+0.5*'[5]Tier 4'!$K22</f>
        <v>7.0054010550034865E-2</v>
      </c>
      <c r="AN22" s="611">
        <f>0.5*[5]OFFROADEFs!AN22+0.5*'[5]Tier 4'!$L22</f>
        <v>0.53937003610918288</v>
      </c>
      <c r="AO22" s="611">
        <f>0.5*[5]OFFROADEFs!AO22+0.5*'[5]Tier 4'!$M22</f>
        <v>0.3449280266843181</v>
      </c>
      <c r="AP22" s="611">
        <f>[5]OFFROADEFs!AP22</f>
        <v>2.4954341522000403E-3</v>
      </c>
      <c r="AQ22" s="611">
        <f>0.5*[5]OFFROADEFs!AQ22+0.5*'[5]Tier 4'!$O22</f>
        <v>1.2698933981337302E-2</v>
      </c>
      <c r="AR22" s="611">
        <f>[5]OFFROADEFs!AR22</f>
        <v>254.23853104993103</v>
      </c>
      <c r="AS22" s="611">
        <f>[5]OFFROADEFs!AS22</f>
        <v>9.1328399494481263E-3</v>
      </c>
    </row>
    <row r="23" spans="1:45" x14ac:dyDescent="0.25">
      <c r="A23" s="27" t="s">
        <v>242</v>
      </c>
      <c r="B23" s="25">
        <v>25</v>
      </c>
      <c r="C23" s="25">
        <v>1</v>
      </c>
      <c r="D23" s="611">
        <f>[5]OFFROADEFs!D23</f>
        <v>1.5948887253296615E-2</v>
      </c>
      <c r="E23" s="611">
        <f>0.95*[5]OFFROADEFs!E23+0.05*'[5]Tier 4'!$E23</f>
        <v>6.3000141533904722E-2</v>
      </c>
      <c r="F23" s="611">
        <f>0.95*[5]OFFROADEFs!F23+0.05*'[5]Tier 4'!$F23</f>
        <v>0.11120375249615494</v>
      </c>
      <c r="G23" s="611">
        <f>[5]OFFROADEFs!G23</f>
        <v>1.6770241908781297E-4</v>
      </c>
      <c r="H23" s="611">
        <f>0.95*[5]OFFROADEFs!H23+0.05*'[5]Tier 4'!$H23</f>
        <v>4.2762722436368722E-3</v>
      </c>
      <c r="I23" s="611">
        <f>[5]OFFROADEFs!I23</f>
        <v>13.217293885230841</v>
      </c>
      <c r="J23" s="611">
        <f>[5]OFFROADEFs!J23</f>
        <v>1.4390426214159915E-3</v>
      </c>
      <c r="K23" s="611">
        <f>[5]OFFROADEFs!K23</f>
        <v>1.594510335063087E-2</v>
      </c>
      <c r="L23" s="611">
        <f>0.9*[5]OFFROADEFs!L23+0.1*'[5]Tier 4'!$L23</f>
        <v>7.1577507134053725E-2</v>
      </c>
      <c r="M23" s="611">
        <f>0.9*[5]OFFROADEFs!M23+0.1*'[5]Tier 4'!$M23</f>
        <v>0.10997438255858664</v>
      </c>
      <c r="N23" s="611">
        <f>[5]OFFROADEFs!N23</f>
        <v>1.6770240347751571E-4</v>
      </c>
      <c r="O23" s="611">
        <f>0.9*[5]OFFROADEFs!O23+0.1*'[5]Tier 4'!$O23</f>
        <v>3.5444177512777061E-3</v>
      </c>
      <c r="P23" s="611">
        <f>[5]OFFROADEFs!P23</f>
        <v>13.217292257606214</v>
      </c>
      <c r="Q23" s="611">
        <f>[5]OFFROADEFs!Q23</f>
        <v>1.4387014990348871E-3</v>
      </c>
      <c r="R23" s="611">
        <f>[5]OFFROADEFs!R23</f>
        <v>1.5945103311665532E-2</v>
      </c>
      <c r="S23" s="611">
        <f>0.8*[5]OFFROADEFs!S23+0.2*'[5]Tier 4'!$L23</f>
        <v>8.8732222032637045E-2</v>
      </c>
      <c r="T23" s="611">
        <f>0.8*[5]OFFROADEFs!T23+0.2*'[5]Tier 4'!$M23</f>
        <v>0.11918846462610326</v>
      </c>
      <c r="U23" s="611">
        <f>[5]OFFROADEFs!U23</f>
        <v>1.6770233483260697E-4</v>
      </c>
      <c r="V23" s="611">
        <f>0.8*[5]OFFROADEFs!V23+0.2*'[5]Tier 4'!$O23</f>
        <v>3.2432262669432063E-3</v>
      </c>
      <c r="W23" s="611">
        <f>[5]OFFROADEFs!W23</f>
        <v>13.217291741948072</v>
      </c>
      <c r="X23" s="611">
        <f>[5]OFFROADEFs!X23</f>
        <v>1.4387010542643562E-3</v>
      </c>
      <c r="Y23" s="611">
        <f>[5]OFFROADEFs!Y23</f>
        <v>1.5945098772087649E-2</v>
      </c>
      <c r="Z23" s="611">
        <f>0.7*[5]OFFROADEFs!Z23+0.3*'[5]Tier 4'!$L23</f>
        <v>0.10588694014040713</v>
      </c>
      <c r="AA23" s="611">
        <f>0.7*[5]OFFROADEFs!AA23+0.3*'[5]Tier 4'!$M23</f>
        <v>0.12840254691102099</v>
      </c>
      <c r="AB23" s="611">
        <f>[5]OFFROADEFs!AB23</f>
        <v>1.6770235588901616E-4</v>
      </c>
      <c r="AC23" s="611">
        <f>0.7*[5]OFFROADEFs!AC23+0.3*'[5]Tier 4'!$O23</f>
        <v>2.9641300934263879E-3</v>
      </c>
      <c r="AD23" s="611">
        <f>[5]OFFROADEFs!AD23</f>
        <v>13.217291495541826</v>
      </c>
      <c r="AE23" s="611">
        <f>[5]OFFROADEFs!AE23</f>
        <v>1.4387011113433123E-3</v>
      </c>
      <c r="AF23" s="611">
        <f>[5]OFFROADEFs!AF23</f>
        <v>1.5945101750761009E-2</v>
      </c>
      <c r="AG23" s="611">
        <f>0.6*[5]OFFROADEFs!AG23+0.4*'[5]Tier 4'!$L23</f>
        <v>0.1230416717901647</v>
      </c>
      <c r="AH23" s="611">
        <f>0.6*[5]OFFROADEFs!AH23+0.4*'[5]Tier 4'!$M23</f>
        <v>0.13761665580650345</v>
      </c>
      <c r="AI23" s="611">
        <f>[5]OFFROADEFs!AI23</f>
        <v>1.6770237031265851E-4</v>
      </c>
      <c r="AJ23" s="611">
        <f>0.6*[5]OFFROADEFs!AJ23+0.4*'[5]Tier 4'!$O23</f>
        <v>2.696861130273029E-3</v>
      </c>
      <c r="AK23" s="611">
        <f>[5]OFFROADEFs!AK23</f>
        <v>13.217289175336852</v>
      </c>
      <c r="AL23" s="611">
        <f>[5]OFFROADEFs!AL23</f>
        <v>1.4387009726799956E-3</v>
      </c>
      <c r="AM23" s="611">
        <f>[5]OFFROADEFs!AM23</f>
        <v>1.5945102824719573E-2</v>
      </c>
      <c r="AN23" s="611">
        <f>0.5*[5]OFFROADEFs!AN23+0.5*'[5]Tier 4'!$L23</f>
        <v>0.14019639606271714</v>
      </c>
      <c r="AO23" s="611">
        <f>0.5*[5]OFFROADEFs!AO23+0.5*'[5]Tier 4'!$M23</f>
        <v>0.14683075391866268</v>
      </c>
      <c r="AP23" s="611">
        <f>[5]OFFROADEFs!AP23</f>
        <v>1.6770238827263772E-4</v>
      </c>
      <c r="AQ23" s="611">
        <f>0.5*[5]OFFROADEFs!AQ23+0.5*'[5]Tier 4'!$O23</f>
        <v>2.4326374207062334E-3</v>
      </c>
      <c r="AR23" s="611">
        <f>[5]OFFROADEFs!AR23</f>
        <v>13.217291420484697</v>
      </c>
      <c r="AS23" s="611">
        <f>[5]OFFROADEFs!AS23</f>
        <v>1.4387012607638549E-3</v>
      </c>
    </row>
    <row r="24" spans="1:45" x14ac:dyDescent="0.25">
      <c r="A24" s="531" t="s">
        <v>249</v>
      </c>
      <c r="B24" s="25">
        <v>300</v>
      </c>
      <c r="C24" s="134">
        <v>0.42</v>
      </c>
      <c r="D24" s="611">
        <f>0.95*[5]OFFROADEFs!D24+0.05*'[5]Tier 4'!$D24</f>
        <v>0.12634860383051666</v>
      </c>
      <c r="E24" s="611">
        <f>0.95*[5]OFFROADEFs!E24+0.05*'[5]Tier 4'!$E24</f>
        <v>0.50758739181396961</v>
      </c>
      <c r="F24" s="611">
        <f>0.95*[5]OFFROADEFs!F24+0.05*'[5]Tier 4'!$F24</f>
        <v>1.1481509547445321</v>
      </c>
      <c r="G24" s="611">
        <f>[5]OFFROADEFs!G24</f>
        <v>2.4954346257058686E-3</v>
      </c>
      <c r="H24" s="611">
        <f>0.95*[5]OFFROADEFs!H24+0.05*'[5]Tier 4'!$H24</f>
        <v>3.7613858140880155E-2</v>
      </c>
      <c r="I24" s="611">
        <f>[5]OFFROADEFs!I24</f>
        <v>254.23854571385056</v>
      </c>
      <c r="J24" s="611">
        <f>[5]OFFROADEFs!J24</f>
        <v>1.1815564023556229E-2</v>
      </c>
      <c r="K24" s="611">
        <f>0.9*[5]OFFROADEFs!K24+0.1*'[5]Tier 4'!$K24</f>
        <v>0.11577475029587816</v>
      </c>
      <c r="L24" s="611">
        <f>0.9*[5]OFFROADEFs!L24+0.1*'[5]Tier 4'!$L24</f>
        <v>0.49927069740964902</v>
      </c>
      <c r="M24" s="611">
        <f>0.9*[5]OFFROADEFs!M24+0.1*'[5]Tier 4'!$M24</f>
        <v>0.94570260397547923</v>
      </c>
      <c r="N24" s="611">
        <f>[5]OFFROADEFs!N24</f>
        <v>2.4954334272364047E-3</v>
      </c>
      <c r="O24" s="611">
        <f>0.9*[5]OFFROADEFs!O24+0.1*'[5]Tier 4'!$O24</f>
        <v>3.1927098880034817E-2</v>
      </c>
      <c r="P24" s="611">
        <f>[5]OFFROADEFs!P24</f>
        <v>254.23851177178003</v>
      </c>
      <c r="Q24" s="611">
        <f>[5]OFFROADEFs!Q24</f>
        <v>1.1216977037398481E-2</v>
      </c>
      <c r="R24" s="611">
        <f>0.8*[5]OFFROADEFs!R24+0.2*'[5]Tier 4'!$K24</f>
        <v>0.10224540819147032</v>
      </c>
      <c r="S24" s="611">
        <f>0.8*[5]OFFROADEFs!S24+0.2*'[5]Tier 4'!$L24</f>
        <v>0.5059376637450087</v>
      </c>
      <c r="T24" s="611">
        <f>0.8*[5]OFFROADEFs!T24+0.2*'[5]Tier 4'!$M24</f>
        <v>0.7475804786143414</v>
      </c>
      <c r="U24" s="611">
        <f>[5]OFFROADEFs!U24</f>
        <v>2.4954333425274682E-3</v>
      </c>
      <c r="V24" s="611">
        <f>0.8*[5]OFFROADEFs!V24+0.2*'[5]Tier 4'!$O24</f>
        <v>2.5700450817083765E-2</v>
      </c>
      <c r="W24" s="611">
        <f>[5]OFFROADEFs!W24</f>
        <v>254.23847707292109</v>
      </c>
      <c r="X24" s="611">
        <f>[5]OFFROADEFs!X24</f>
        <v>1.0654580267680711E-2</v>
      </c>
      <c r="Y24" s="611">
        <f>0.7*[5]OFFROADEFs!Y24+0.3*'[5]Tier 4'!$K24</f>
        <v>9.0225805917190885E-2</v>
      </c>
      <c r="Z24" s="611">
        <f>0.7*[5]OFFROADEFs!Z24+0.3*'[5]Tier 4'!$L24</f>
        <v>0.51534614373640708</v>
      </c>
      <c r="AA24" s="611">
        <f>0.7*[5]OFFROADEFs!AA24+0.3*'[5]Tier 4'!$M24</f>
        <v>0.58526223609575434</v>
      </c>
      <c r="AB24" s="611">
        <f>[5]OFFROADEFs!AB24</f>
        <v>2.4954338651265763E-3</v>
      </c>
      <c r="AC24" s="611">
        <f>0.7*[5]OFFROADEFs!AC24+0.3*'[5]Tier 4'!$O24</f>
        <v>2.0522530022613474E-2</v>
      </c>
      <c r="AD24" s="611">
        <f>[5]OFFROADEFs!AD24</f>
        <v>254.23847108919361</v>
      </c>
      <c r="AE24" s="611">
        <f>[5]OFFROADEFs!AE24</f>
        <v>1.0126092850486785E-2</v>
      </c>
      <c r="AF24" s="611">
        <f>0.6*[5]OFFROADEFs!AF24+0.4*'[5]Tier 4'!$K24</f>
        <v>7.9524938192631206E-2</v>
      </c>
      <c r="AG24" s="611">
        <f>0.6*[5]OFFROADEFs!AG24+0.4*'[5]Tier 4'!$L24</f>
        <v>0.5267193623565769</v>
      </c>
      <c r="AH24" s="611">
        <f>0.6*[5]OFFROADEFs!AH24+0.4*'[5]Tier 4'!$M24</f>
        <v>0.45244268589912862</v>
      </c>
      <c r="AI24" s="611">
        <f>[5]OFFROADEFs!AI24</f>
        <v>2.4954335273852284E-3</v>
      </c>
      <c r="AJ24" s="611">
        <f>0.6*[5]OFFROADEFs!AJ24+0.4*'[5]Tier 4'!$O24</f>
        <v>1.6223354293036216E-2</v>
      </c>
      <c r="AK24" s="611">
        <f>[5]OFFROADEFs!AK24</f>
        <v>254.23852719541449</v>
      </c>
      <c r="AL24" s="611">
        <f>[5]OFFROADEFs!AL24</f>
        <v>9.6197582224700796E-3</v>
      </c>
      <c r="AM24" s="611">
        <f>0.5*[5]OFFROADEFs!AM24+0.5*'[5]Tier 4'!$K24</f>
        <v>7.0054010550034865E-2</v>
      </c>
      <c r="AN24" s="611">
        <f>0.5*[5]OFFROADEFs!AN24+0.5*'[5]Tier 4'!$L24</f>
        <v>0.53937003610918288</v>
      </c>
      <c r="AO24" s="611">
        <f>0.5*[5]OFFROADEFs!AO24+0.5*'[5]Tier 4'!$M24</f>
        <v>0.3449280266843181</v>
      </c>
      <c r="AP24" s="611">
        <f>[5]OFFROADEFs!AP24</f>
        <v>2.4954341522000403E-3</v>
      </c>
      <c r="AQ24" s="611">
        <f>0.5*[5]OFFROADEFs!AQ24+0.5*'[5]Tier 4'!$O24</f>
        <v>1.2698933981337302E-2</v>
      </c>
      <c r="AR24" s="611">
        <f>[5]OFFROADEFs!AR24</f>
        <v>254.23853104993103</v>
      </c>
      <c r="AS24" s="611">
        <f>[5]OFFROADEFs!AS24</f>
        <v>9.1328399494481263E-3</v>
      </c>
    </row>
    <row r="25" spans="1:45" x14ac:dyDescent="0.25">
      <c r="A25" s="27" t="s">
        <v>201</v>
      </c>
      <c r="B25" s="25">
        <v>300</v>
      </c>
      <c r="C25" s="25">
        <v>0.38</v>
      </c>
      <c r="D25" s="611">
        <f>0.95*[5]OFFROADEFs!D25+0.05*'[5]Tier 4'!$D25</f>
        <v>0.12616341864533145</v>
      </c>
      <c r="E25" s="611">
        <f>0.95*[5]OFFROADEFs!E25+0.05*'[5]Tier 4'!$E25</f>
        <v>0.50414823837481615</v>
      </c>
      <c r="F25" s="611">
        <f>0.95*[5]OFFROADEFs!F25+0.05*'[5]Tier 4'!$F25</f>
        <v>1.1461668277604051</v>
      </c>
      <c r="G25" s="611">
        <f>[5]OFFROADEFs!G25</f>
        <v>2.4954346257058686E-3</v>
      </c>
      <c r="H25" s="611">
        <f>0.95*[5]OFFROADEFs!H25+0.05*'[5]Tier 4'!$H25</f>
        <v>3.7594016871038888E-2</v>
      </c>
      <c r="I25" s="611">
        <f>[5]OFFROADEFs!I25</f>
        <v>254.23854571385056</v>
      </c>
      <c r="J25" s="611">
        <f>[5]OFFROADEFs!J25</f>
        <v>1.1815564023556229E-2</v>
      </c>
      <c r="K25" s="611">
        <f>0.9*[5]OFFROADEFs!K25+0.1*'[5]Tier 4'!$K25</f>
        <v>0.1154043799255078</v>
      </c>
      <c r="L25" s="611">
        <f>0.9*[5]OFFROADEFs!L25+0.1*'[5]Tier 4'!$L25</f>
        <v>0.49345059158954319</v>
      </c>
      <c r="M25" s="611">
        <f>0.9*[5]OFFROADEFs!M25+0.1*'[5]Tier 4'!$M25</f>
        <v>0.94490895318182844</v>
      </c>
      <c r="N25" s="611">
        <f>[5]OFFROADEFs!N25</f>
        <v>2.4954334272364047E-3</v>
      </c>
      <c r="O25" s="611">
        <f>0.9*[5]OFFROADEFs!O25+0.1*'[5]Tier 4'!$O25</f>
        <v>3.1887416340352276E-2</v>
      </c>
      <c r="P25" s="611">
        <f>[5]OFFROADEFs!P25</f>
        <v>254.23851177178003</v>
      </c>
      <c r="Q25" s="611">
        <f>[5]OFFROADEFs!Q25</f>
        <v>1.1216977037398481E-2</v>
      </c>
      <c r="R25" s="611">
        <f>0.8*[5]OFFROADEFs!R25+0.2*'[5]Tier 4'!$K25</f>
        <v>0.10150466745072959</v>
      </c>
      <c r="S25" s="611">
        <f>0.8*[5]OFFROADEFs!S25+0.2*'[5]Tier 4'!$L25</f>
        <v>0.49429745210479703</v>
      </c>
      <c r="T25" s="611">
        <f>0.8*[5]OFFROADEFs!T25+0.2*'[5]Tier 4'!$M25</f>
        <v>0.74599317702703971</v>
      </c>
      <c r="U25" s="611">
        <f>[5]OFFROADEFs!U25</f>
        <v>2.4954333425274682E-3</v>
      </c>
      <c r="V25" s="611">
        <f>0.8*[5]OFFROADEFs!V25+0.2*'[5]Tier 4'!$O25</f>
        <v>2.5621085737718687E-2</v>
      </c>
      <c r="W25" s="611">
        <f>[5]OFFROADEFs!W25</f>
        <v>254.23847707292109</v>
      </c>
      <c r="X25" s="611">
        <f>[5]OFFROADEFs!X25</f>
        <v>1.0654580267680711E-2</v>
      </c>
      <c r="Y25" s="611">
        <f>0.7*[5]OFFROADEFs!Y25+0.3*'[5]Tier 4'!$K25</f>
        <v>8.9114694806079767E-2</v>
      </c>
      <c r="Z25" s="611">
        <f>0.7*[5]OFFROADEFs!Z25+0.3*'[5]Tier 4'!$L25</f>
        <v>0.49788582627608957</v>
      </c>
      <c r="AA25" s="611">
        <f>0.7*[5]OFFROADEFs!AA25+0.3*'[5]Tier 4'!$M25</f>
        <v>0.58288128371480197</v>
      </c>
      <c r="AB25" s="611">
        <f>[5]OFFROADEFs!AB25</f>
        <v>2.4954338651265763E-3</v>
      </c>
      <c r="AC25" s="611">
        <f>0.7*[5]OFFROADEFs!AC25+0.3*'[5]Tier 4'!$O25</f>
        <v>2.0403482403565855E-2</v>
      </c>
      <c r="AD25" s="611">
        <f>[5]OFFROADEFs!AD25</f>
        <v>254.23847108919361</v>
      </c>
      <c r="AE25" s="611">
        <f>[5]OFFROADEFs!AE25</f>
        <v>1.0126092850486785E-2</v>
      </c>
      <c r="AF25" s="611">
        <f>0.6*[5]OFFROADEFs!AF25+0.4*'[5]Tier 4'!$K25</f>
        <v>7.804345671114972E-2</v>
      </c>
      <c r="AG25" s="611">
        <f>0.6*[5]OFFROADEFs!AG25+0.4*'[5]Tier 4'!$L25</f>
        <v>0.50343893907615356</v>
      </c>
      <c r="AH25" s="611">
        <f>0.6*[5]OFFROADEFs!AH25+0.4*'[5]Tier 4'!$M25</f>
        <v>0.44926808272452545</v>
      </c>
      <c r="AI25" s="611">
        <f>[5]OFFROADEFs!AI25</f>
        <v>2.4954335273852284E-3</v>
      </c>
      <c r="AJ25" s="611">
        <f>0.6*[5]OFFROADEFs!AJ25+0.4*'[5]Tier 4'!$O25</f>
        <v>1.6064624134306055E-2</v>
      </c>
      <c r="AK25" s="611">
        <f>[5]OFFROADEFs!AK25</f>
        <v>254.23852719541449</v>
      </c>
      <c r="AL25" s="611">
        <f>[5]OFFROADEFs!AL25</f>
        <v>9.6197582224700796E-3</v>
      </c>
      <c r="AM25" s="611">
        <f>0.5*[5]OFFROADEFs!AM25+0.5*'[5]Tier 4'!$K25</f>
        <v>6.820215869818301E-2</v>
      </c>
      <c r="AN25" s="611">
        <f>0.5*[5]OFFROADEFs!AN25+0.5*'[5]Tier 4'!$L25</f>
        <v>0.51026950700865381</v>
      </c>
      <c r="AO25" s="611">
        <f>0.5*[5]OFFROADEFs!AO25+0.5*'[5]Tier 4'!$M25</f>
        <v>0.34095977271606409</v>
      </c>
      <c r="AP25" s="611">
        <f>[5]OFFROADEFs!AP25</f>
        <v>2.4954341522000403E-3</v>
      </c>
      <c r="AQ25" s="611">
        <f>0.5*[5]OFFROADEFs!AQ25+0.5*'[5]Tier 4'!$O25</f>
        <v>1.2500521282924604E-2</v>
      </c>
      <c r="AR25" s="611">
        <f>[5]OFFROADEFs!AR25</f>
        <v>254.23853104993103</v>
      </c>
      <c r="AS25" s="611">
        <f>[5]OFFROADEFs!AS25</f>
        <v>9.1328399494481263E-3</v>
      </c>
    </row>
    <row r="26" spans="1:45" x14ac:dyDescent="0.25">
      <c r="A26" s="27" t="s">
        <v>209</v>
      </c>
      <c r="B26" s="25">
        <v>25</v>
      </c>
      <c r="C26" s="25">
        <v>1</v>
      </c>
      <c r="D26" s="611">
        <f>[5]OFFROADEFs!D26</f>
        <v>1.5948887253296615E-2</v>
      </c>
      <c r="E26" s="611">
        <f>0.95*[5]OFFROADEFs!E26+0.05*'[5]Tier 4'!$E26</f>
        <v>6.3000141533904722E-2</v>
      </c>
      <c r="F26" s="611">
        <f>0.95*[5]OFFROADEFs!F26+0.05*'[5]Tier 4'!$F26</f>
        <v>0.11120375249615494</v>
      </c>
      <c r="G26" s="611">
        <f>[5]OFFROADEFs!G26</f>
        <v>1.6770241908781297E-4</v>
      </c>
      <c r="H26" s="611">
        <f>0.95*[5]OFFROADEFs!H26+0.05*'[5]Tier 4'!$H26</f>
        <v>4.2762722436368722E-3</v>
      </c>
      <c r="I26" s="611">
        <f>[5]OFFROADEFs!I26</f>
        <v>13.217293885230841</v>
      </c>
      <c r="J26" s="611">
        <f>[5]OFFROADEFs!J26</f>
        <v>1.4390426214159915E-3</v>
      </c>
      <c r="K26" s="611">
        <f>[5]OFFROADEFs!K26</f>
        <v>1.594510335063087E-2</v>
      </c>
      <c r="L26" s="611">
        <f>0.9*[5]OFFROADEFs!L26+0.1*'[5]Tier 4'!$L26</f>
        <v>7.1577507134053725E-2</v>
      </c>
      <c r="M26" s="611">
        <f>0.9*[5]OFFROADEFs!M26+0.1*'[5]Tier 4'!$M26</f>
        <v>0.10997438255858664</v>
      </c>
      <c r="N26" s="611">
        <f>[5]OFFROADEFs!N26</f>
        <v>1.6770240347751571E-4</v>
      </c>
      <c r="O26" s="611">
        <f>0.9*[5]OFFROADEFs!O26+0.1*'[5]Tier 4'!$O26</f>
        <v>3.5444177512777061E-3</v>
      </c>
      <c r="P26" s="611">
        <f>[5]OFFROADEFs!P26</f>
        <v>13.217292257606214</v>
      </c>
      <c r="Q26" s="611">
        <f>[5]OFFROADEFs!Q26</f>
        <v>1.4387014990348871E-3</v>
      </c>
      <c r="R26" s="611">
        <f>[5]OFFROADEFs!R26</f>
        <v>1.5945103311665532E-2</v>
      </c>
      <c r="S26" s="611">
        <f>0.8*[5]OFFROADEFs!S26+0.2*'[5]Tier 4'!$L26</f>
        <v>8.8732222032637045E-2</v>
      </c>
      <c r="T26" s="611">
        <f>0.8*[5]OFFROADEFs!T26+0.2*'[5]Tier 4'!$M26</f>
        <v>0.11918846462610326</v>
      </c>
      <c r="U26" s="611">
        <f>[5]OFFROADEFs!U26</f>
        <v>1.6770233483260697E-4</v>
      </c>
      <c r="V26" s="611">
        <f>0.8*[5]OFFROADEFs!V26+0.2*'[5]Tier 4'!$O26</f>
        <v>3.2432262669432063E-3</v>
      </c>
      <c r="W26" s="611">
        <f>[5]OFFROADEFs!W26</f>
        <v>13.217291741948072</v>
      </c>
      <c r="X26" s="611">
        <f>[5]OFFROADEFs!X26</f>
        <v>1.4387010542643562E-3</v>
      </c>
      <c r="Y26" s="611">
        <f>[5]OFFROADEFs!Y26</f>
        <v>1.5945098772087649E-2</v>
      </c>
      <c r="Z26" s="611">
        <f>0.7*[5]OFFROADEFs!Z26+0.3*'[5]Tier 4'!$L26</f>
        <v>0.10588694014040713</v>
      </c>
      <c r="AA26" s="611">
        <f>0.7*[5]OFFROADEFs!AA26+0.3*'[5]Tier 4'!$M26</f>
        <v>0.12840254691102099</v>
      </c>
      <c r="AB26" s="611">
        <f>[5]OFFROADEFs!AB26</f>
        <v>1.6770235588901616E-4</v>
      </c>
      <c r="AC26" s="611">
        <f>0.7*[5]OFFROADEFs!AC26+0.3*'[5]Tier 4'!$O26</f>
        <v>2.9641300934263879E-3</v>
      </c>
      <c r="AD26" s="611">
        <f>[5]OFFROADEFs!AD26</f>
        <v>13.217291495541826</v>
      </c>
      <c r="AE26" s="611">
        <f>[5]OFFROADEFs!AE26</f>
        <v>1.4387011113433123E-3</v>
      </c>
      <c r="AF26" s="611">
        <f>[5]OFFROADEFs!AF26</f>
        <v>1.5945101750761009E-2</v>
      </c>
      <c r="AG26" s="611">
        <f>0.6*[5]OFFROADEFs!AG26+0.4*'[5]Tier 4'!$L26</f>
        <v>0.1230416717901647</v>
      </c>
      <c r="AH26" s="611">
        <f>0.6*[5]OFFROADEFs!AH26+0.4*'[5]Tier 4'!$M26</f>
        <v>0.13761665580650345</v>
      </c>
      <c r="AI26" s="611">
        <f>[5]OFFROADEFs!AI26</f>
        <v>1.6770237031265851E-4</v>
      </c>
      <c r="AJ26" s="611">
        <f>0.6*[5]OFFROADEFs!AJ26+0.4*'[5]Tier 4'!$O26</f>
        <v>2.696861130273029E-3</v>
      </c>
      <c r="AK26" s="611">
        <f>[5]OFFROADEFs!AK26</f>
        <v>13.217289175336852</v>
      </c>
      <c r="AL26" s="611">
        <f>[5]OFFROADEFs!AL26</f>
        <v>1.4387009726799956E-3</v>
      </c>
      <c r="AM26" s="611">
        <f>[5]OFFROADEFs!AM26</f>
        <v>1.5945102824719573E-2</v>
      </c>
      <c r="AN26" s="611">
        <f>0.5*[5]OFFROADEFs!AN26+0.5*'[5]Tier 4'!$L26</f>
        <v>0.14019639606271714</v>
      </c>
      <c r="AO26" s="611">
        <f>0.5*[5]OFFROADEFs!AO26+0.5*'[5]Tier 4'!$M26</f>
        <v>0.14683075391866268</v>
      </c>
      <c r="AP26" s="611">
        <f>[5]OFFROADEFs!AP26</f>
        <v>1.6770238827263772E-4</v>
      </c>
      <c r="AQ26" s="611">
        <f>0.5*[5]OFFROADEFs!AQ26+0.5*'[5]Tier 4'!$O26</f>
        <v>2.4326374207062334E-3</v>
      </c>
      <c r="AR26" s="611">
        <f>[5]OFFROADEFs!AR26</f>
        <v>13.217291420484697</v>
      </c>
      <c r="AS26" s="611">
        <f>[5]OFFROADEFs!AS26</f>
        <v>1.4387012607638549E-3</v>
      </c>
    </row>
    <row r="27" spans="1:45" x14ac:dyDescent="0.25">
      <c r="A27" s="27" t="s">
        <v>156</v>
      </c>
      <c r="B27" s="134">
        <v>37</v>
      </c>
      <c r="C27" s="134">
        <v>0.37</v>
      </c>
      <c r="D27" s="611">
        <f>[5]OFFROADEFs!D27</f>
        <v>3.7835624751667511E-2</v>
      </c>
      <c r="E27" s="611">
        <f>0.95*[5]OFFROADEFs!E27+0.05*'[5]Tier 4'!$E27</f>
        <v>0.20932457344446903</v>
      </c>
      <c r="F27" s="611">
        <f>0.95*[5]OFFROADEFs!F27+0.05*'[5]Tier 4'!$F27</f>
        <v>0.20341030443730182</v>
      </c>
      <c r="G27" s="611">
        <f>[5]OFFROADEFs!G27</f>
        <v>3.2989898219504352E-4</v>
      </c>
      <c r="H27" s="611">
        <f>0.95*[5]OFFROADEFs!H27+0.05*'[5]Tier 4'!$H27</f>
        <v>1.1105935287803133E-2</v>
      </c>
      <c r="I27" s="611">
        <f>[5]OFFROADEFs!I27</f>
        <v>25.519145338424273</v>
      </c>
      <c r="J27" s="611">
        <f>[5]OFFROADEFs!J27</f>
        <v>3.413848047070189E-3</v>
      </c>
      <c r="K27" s="611">
        <f>[5]OFFROADEFs!K27</f>
        <v>3.2313389441625637E-2</v>
      </c>
      <c r="L27" s="611">
        <f>0.9*[5]OFFROADEFs!L27+0.1*'[5]Tier 4'!$L27</f>
        <v>0.20037366892983427</v>
      </c>
      <c r="M27" s="611">
        <f>0.9*[5]OFFROADEFs!M27+0.1*'[5]Tier 4'!$M27</f>
        <v>0.18631538743497714</v>
      </c>
      <c r="N27" s="611">
        <f>[5]OFFROADEFs!N27</f>
        <v>3.2989899838564078E-4</v>
      </c>
      <c r="O27" s="611">
        <f>0.9*[5]OFFROADEFs!O27+0.1*'[5]Tier 4'!$O27</f>
        <v>8.5525540544657674E-3</v>
      </c>
      <c r="P27" s="611">
        <f>[5]OFFROADEFs!P27</f>
        <v>25.519155927350894</v>
      </c>
      <c r="Q27" s="611">
        <f>[5]OFFROADEFs!Q27</f>
        <v>2.915585728687426E-3</v>
      </c>
      <c r="R27" s="611">
        <f>[5]OFFROADEFs!R27</f>
        <v>2.8760043847205142E-2</v>
      </c>
      <c r="S27" s="611">
        <f>0.8*[5]OFFROADEFs!S27+0.2*'[5]Tier 4'!$L27</f>
        <v>0.18927800312329326</v>
      </c>
      <c r="T27" s="611">
        <f>0.8*[5]OFFROADEFs!T27+0.2*'[5]Tier 4'!$M27</f>
        <v>0.17033532852494726</v>
      </c>
      <c r="U27" s="611">
        <f>[5]OFFROADEFs!U27</f>
        <v>3.2989891667688166E-4</v>
      </c>
      <c r="V27" s="611">
        <f>0.8*[5]OFFROADEFs!V27+0.2*'[5]Tier 4'!$O27</f>
        <v>6.4072046133089979E-3</v>
      </c>
      <c r="W27" s="611">
        <f>[5]OFFROADEFs!W27</f>
        <v>25.519147952057935</v>
      </c>
      <c r="X27" s="611">
        <f>[5]OFFROADEFs!X27</f>
        <v>2.5949730637661525E-3</v>
      </c>
      <c r="Y27" s="611">
        <f>[5]OFFROADEFs!Y27</f>
        <v>2.6321181794284464E-2</v>
      </c>
      <c r="Z27" s="611">
        <f>0.7*[5]OFFROADEFs!Z27+0.3*'[5]Tier 4'!$L27</f>
        <v>0.17955203678474077</v>
      </c>
      <c r="AA27" s="611">
        <f>0.7*[5]OFFROADEFs!AA27+0.3*'[5]Tier 4'!$M27</f>
        <v>0.15677301180901521</v>
      </c>
      <c r="AB27" s="611">
        <f>[5]OFFROADEFs!AB27</f>
        <v>3.2989903974974726E-4</v>
      </c>
      <c r="AC27" s="611">
        <f>0.7*[5]OFFROADEFs!AC27+0.3*'[5]Tier 4'!$O27</f>
        <v>4.7346803420060734E-3</v>
      </c>
      <c r="AD27" s="611">
        <f>[5]OFFROADEFs!AD27</f>
        <v>25.519164465886792</v>
      </c>
      <c r="AE27" s="611">
        <f>[5]OFFROADEFs!AE27</f>
        <v>2.3749178457344233E-3</v>
      </c>
      <c r="AF27" s="611">
        <f>[5]OFFROADEFs!AF27</f>
        <v>2.4499499630862814E-2</v>
      </c>
      <c r="AG27" s="611">
        <f>0.6*[5]OFFROADEFs!AG27+0.4*'[5]Tier 4'!$L27</f>
        <v>0.17062418961348225</v>
      </c>
      <c r="AH27" s="611">
        <f>0.6*[5]OFFROADEFs!AH27+0.4*'[5]Tier 4'!$M27</f>
        <v>0.14527425870544475</v>
      </c>
      <c r="AI27" s="611">
        <f>[5]OFFROADEFs!AI27</f>
        <v>3.2989903632136842E-4</v>
      </c>
      <c r="AJ27" s="611">
        <f>0.6*[5]OFFROADEFs!AJ27+0.4*'[5]Tier 4'!$O27</f>
        <v>3.4430137077856885E-3</v>
      </c>
      <c r="AK27" s="611">
        <f>[5]OFFROADEFs!AK27</f>
        <v>25.519154699847764</v>
      </c>
      <c r="AL27" s="611">
        <f>[5]OFFROADEFs!AL27</f>
        <v>2.2105503762096354E-3</v>
      </c>
      <c r="AM27" s="611">
        <f>[5]OFFROADEFs!AM27</f>
        <v>2.2997456128846298E-2</v>
      </c>
      <c r="AN27" s="611">
        <f>0.5*[5]OFFROADEFs!AN27+0.5*'[5]Tier 4'!$L27</f>
        <v>0.16217397634163561</v>
      </c>
      <c r="AO27" s="611">
        <f>0.5*[5]OFFROADEFs!AO27+0.5*'[5]Tier 4'!$M27</f>
        <v>0.13555888836817209</v>
      </c>
      <c r="AP27" s="611">
        <f>[5]OFFROADEFs!AP27</f>
        <v>3.2989894237595523E-4</v>
      </c>
      <c r="AQ27" s="611">
        <f>0.5*[5]OFFROADEFs!AQ27+0.5*'[5]Tier 4'!$O27</f>
        <v>2.4617722095257289E-3</v>
      </c>
      <c r="AR27" s="611">
        <f>[5]OFFROADEFs!AR27</f>
        <v>25.519150770246078</v>
      </c>
      <c r="AS27" s="611">
        <f>[5]OFFROADEFs!AS27</f>
        <v>2.075023596652533E-3</v>
      </c>
    </row>
    <row r="28" spans="1:45" x14ac:dyDescent="0.25">
      <c r="A28" s="27" t="s">
        <v>158</v>
      </c>
      <c r="B28" s="532">
        <v>165</v>
      </c>
      <c r="C28" s="134">
        <v>0.42</v>
      </c>
      <c r="D28" s="611">
        <f>0.95*[5]OFFROADEFs!D28+0.05*'[5]Tier 4'!$D28</f>
        <v>7.6718391157238927E-2</v>
      </c>
      <c r="E28" s="611">
        <f>0.95*[5]OFFROADEFs!E28+0.05*'[5]Tier 4'!$E28</f>
        <v>0.57691948043252073</v>
      </c>
      <c r="F28" s="611">
        <f>0.95*[5]OFFROADEFs!F28+0.05*'[5]Tier 4'!$F28</f>
        <v>0.64186104698906621</v>
      </c>
      <c r="G28" s="611">
        <f>[5]OFFROADEFs!G28</f>
        <v>1.1984855682957594E-3</v>
      </c>
      <c r="H28" s="611">
        <f>0.95*[5]OFFROADEFs!H28+0.05*'[5]Tier 4'!$H28</f>
        <v>3.158527929581284E-2</v>
      </c>
      <c r="I28" s="611">
        <f>[5]OFFROADEFs!I28</f>
        <v>106.51583149623336</v>
      </c>
      <c r="J28" s="611">
        <f>[5]OFFROADEFs!J28</f>
        <v>7.184929780442325E-3</v>
      </c>
      <c r="K28" s="611">
        <f>0.9*[5]OFFROADEFs!K28+0.1*'[5]Tier 4'!$K28</f>
        <v>6.7713438407732779E-2</v>
      </c>
      <c r="L28" s="611">
        <f>0.9*[5]OFFROADEFs!L28+0.1*'[5]Tier 4'!$L28</f>
        <v>0.56115626588623435</v>
      </c>
      <c r="M28" s="611">
        <f>0.9*[5]OFFROADEFs!M28+0.1*'[5]Tier 4'!$M28</f>
        <v>0.53163273020702595</v>
      </c>
      <c r="N28" s="611">
        <f>[5]OFFROADEFs!N28</f>
        <v>1.1984861301590408E-3</v>
      </c>
      <c r="O28" s="611">
        <f>0.9*[5]OFFROADEFs!O28+0.1*'[5]Tier 4'!$O28</f>
        <v>2.6383116742669136E-2</v>
      </c>
      <c r="P28" s="611">
        <f>[5]OFFROADEFs!P28</f>
        <v>106.51585692695846</v>
      </c>
      <c r="Q28" s="611">
        <f>[5]OFFROADEFs!Q28</f>
        <v>6.5740964019932796E-3</v>
      </c>
      <c r="R28" s="611">
        <f>0.8*[5]OFFROADEFs!R28+0.2*'[5]Tier 4'!$K28</f>
        <v>5.7492654911296272E-2</v>
      </c>
      <c r="S28" s="611">
        <f>0.8*[5]OFFROADEFs!S28+0.2*'[5]Tier 4'!$L28</f>
        <v>0.53600856490293192</v>
      </c>
      <c r="T28" s="611">
        <f>0.8*[5]OFFROADEFs!T28+0.2*'[5]Tier 4'!$M28</f>
        <v>0.41978071106832393</v>
      </c>
      <c r="U28" s="611">
        <f>[5]OFFROADEFs!U28</f>
        <v>1.1984855559537273E-3</v>
      </c>
      <c r="V28" s="611">
        <f>0.8*[5]OFFROADEFs!V28+0.2*'[5]Tier 4'!$O28</f>
        <v>2.0649549043412065E-2</v>
      </c>
      <c r="W28" s="611">
        <f>[5]OFFROADEFs!W28</f>
        <v>106.51578469673143</v>
      </c>
      <c r="X28" s="611">
        <f>[5]OFFROADEFs!X28</f>
        <v>6.0018670018210487E-3</v>
      </c>
      <c r="Y28" s="611">
        <f>0.7*[5]OFFROADEFs!Y28+0.3*'[5]Tier 4'!$K28</f>
        <v>4.8978950385765892E-2</v>
      </c>
      <c r="Z28" s="611">
        <f>0.7*[5]OFFROADEFs!Z28+0.3*'[5]Tier 4'!$L28</f>
        <v>0.51096761064993668</v>
      </c>
      <c r="AA28" s="611">
        <f>0.7*[5]OFFROADEFs!AA28+0.3*'[5]Tier 4'!$M28</f>
        <v>0.32718702918888704</v>
      </c>
      <c r="AB28" s="611">
        <f>[5]OFFROADEFs!AB28</f>
        <v>1.1984860337219379E-3</v>
      </c>
      <c r="AC28" s="611">
        <f>0.7*[5]OFFROADEFs!AC28+0.3*'[5]Tier 4'!$O28</f>
        <v>1.5921598680219098E-2</v>
      </c>
      <c r="AD28" s="611">
        <f>[5]OFFROADEFs!AD28</f>
        <v>106.5158537913082</v>
      </c>
      <c r="AE28" s="611">
        <f>[5]OFFROADEFs!AE28</f>
        <v>5.4861803870114613E-3</v>
      </c>
      <c r="AF28" s="611">
        <f>0.6*[5]OFFROADEFs!AF28+0.4*'[5]Tier 4'!$K28</f>
        <v>4.2299128336869024E-2</v>
      </c>
      <c r="AG28" s="611">
        <f>0.6*[5]OFFROADEFs!AG28+0.4*'[5]Tier 4'!$L28</f>
        <v>0.48597777467220105</v>
      </c>
      <c r="AH28" s="611">
        <f>0.6*[5]OFFROADEFs!AH28+0.4*'[5]Tier 4'!$M28</f>
        <v>0.25304411242557712</v>
      </c>
      <c r="AI28" s="611">
        <f>[5]OFFROADEFs!AI28</f>
        <v>1.198486146050519E-3</v>
      </c>
      <c r="AJ28" s="611">
        <f>0.6*[5]OFFROADEFs!AJ28+0.4*'[5]Tier 4'!$O28</f>
        <v>1.2244998987628557E-2</v>
      </c>
      <c r="AK28" s="611">
        <f>[5]OFFROADEFs!AK28</f>
        <v>106.51584407134968</v>
      </c>
      <c r="AL28" s="611">
        <f>[5]OFFROADEFs!AL28</f>
        <v>5.0743808831082643E-3</v>
      </c>
      <c r="AM28" s="611">
        <f>0.5*[5]OFFROADEFs!AM28+0.5*'[5]Tier 4'!$K28</f>
        <v>3.6908575206375527E-2</v>
      </c>
      <c r="AN28" s="611">
        <f>0.5*[5]OFFROADEFs!AN28+0.5*'[5]Tier 4'!$L28</f>
        <v>0.46099046652367526</v>
      </c>
      <c r="AO28" s="611">
        <f>0.5*[5]OFFROADEFs!AO28+0.5*'[5]Tier 4'!$M28</f>
        <v>0.19363692091474388</v>
      </c>
      <c r="AP28" s="611">
        <f>[5]OFFROADEFs!AP28</f>
        <v>1.1984859903284837E-3</v>
      </c>
      <c r="AQ28" s="611">
        <f>0.5*[5]OFFROADEFs!AQ28+0.5*'[5]Tier 4'!$O28</f>
        <v>9.3561305914966388E-3</v>
      </c>
      <c r="AR28" s="611">
        <f>[5]OFFROADEFs!AR28</f>
        <v>106.51582542370917</v>
      </c>
      <c r="AS28" s="611">
        <f>[5]OFFROADEFs!AS28</f>
        <v>4.7305181949433943E-3</v>
      </c>
    </row>
    <row r="29" spans="1:45" x14ac:dyDescent="0.25">
      <c r="A29" s="27" t="s">
        <v>159</v>
      </c>
      <c r="B29" s="532">
        <v>8</v>
      </c>
      <c r="C29" s="25">
        <v>1</v>
      </c>
      <c r="D29" s="611">
        <f>[5]OFFROADEFs!D29</f>
        <v>1.1765479299563907E-2</v>
      </c>
      <c r="E29" s="611">
        <f>0.95*[5]OFFROADEFs!E29+0.05*'[5]Tier 4'!$E29</f>
        <v>5.862897981528551E-2</v>
      </c>
      <c r="F29" s="611">
        <f>0.95*[5]OFFROADEFs!F29+0.05*'[5]Tier 4'!$F29</f>
        <v>6.9995902894833636E-2</v>
      </c>
      <c r="G29" s="611">
        <f>[5]OFFROADEFs!G29</f>
        <v>1.572791439192002E-4</v>
      </c>
      <c r="H29" s="611">
        <f>0.95*[5]OFFROADEFs!H29+0.05*'[5]Tier 4'!$H29</f>
        <v>2.7335443440029156E-3</v>
      </c>
      <c r="I29" s="611">
        <f>[5]OFFROADEFs!I29</f>
        <v>10.107340281314988</v>
      </c>
      <c r="J29" s="611">
        <f>[5]OFFROADEFs!J29</f>
        <v>1.0615801987134306E-3</v>
      </c>
      <c r="K29" s="611">
        <f>[5]OFFROADEFs!K29</f>
        <v>1.1765479064338774E-2</v>
      </c>
      <c r="L29" s="611">
        <f>0.9*[5]OFFROADEFs!L29+0.1*'[5]Tier 4'!$L29</f>
        <v>5.5543241180051911E-2</v>
      </c>
      <c r="M29" s="611">
        <f>0.9*[5]OFFROADEFs!M29+0.1*'[5]Tier 4'!$M29</f>
        <v>6.6311908821261228E-2</v>
      </c>
      <c r="N29" s="611">
        <f>[5]OFFROADEFs!N29</f>
        <v>1.5727915874240951E-4</v>
      </c>
      <c r="O29" s="611">
        <f>0.9*[5]OFFROADEFs!O29+0.1*'[5]Tier 4'!$O29</f>
        <v>2.5911643423632098E-3</v>
      </c>
      <c r="P29" s="611">
        <f>[5]OFFROADEFs!P29</f>
        <v>10.107339932266072</v>
      </c>
      <c r="Q29" s="611">
        <f>[5]OFFROADEFs!Q29</f>
        <v>1.0615801067499801E-3</v>
      </c>
      <c r="R29" s="611">
        <f>[5]OFFROADEFs!R29</f>
        <v>1.176547805155017E-2</v>
      </c>
      <c r="S29" s="611">
        <f>0.8*[5]OFFROADEFs!S29+0.2*'[5]Tier 4'!$L29</f>
        <v>4.9371773591445359E-2</v>
      </c>
      <c r="T29" s="611">
        <f>0.8*[5]OFFROADEFs!T29+0.2*'[5]Tier 4'!$M29</f>
        <v>5.8943916649465578E-2</v>
      </c>
      <c r="U29" s="611">
        <f>[5]OFFROADEFs!U29</f>
        <v>1.572791637934881E-4</v>
      </c>
      <c r="V29" s="611">
        <f>0.8*[5]OFFROADEFs!V29+0.2*'[5]Tier 4'!$O29</f>
        <v>2.303257269217227E-3</v>
      </c>
      <c r="W29" s="611">
        <f>[5]OFFROADEFs!W29</f>
        <v>10.107340259528531</v>
      </c>
      <c r="X29" s="611">
        <f>[5]OFFROADEFs!X29</f>
        <v>1.0615802148342963E-3</v>
      </c>
      <c r="Y29" s="611">
        <f>[5]OFFROADEFs!Y29</f>
        <v>1.1765476462069602E-2</v>
      </c>
      <c r="Z29" s="611">
        <f>0.7*[5]OFFROADEFs!Z29+0.3*'[5]Tier 4'!$L29</f>
        <v>4.320029666805545E-2</v>
      </c>
      <c r="AA29" s="611">
        <f>0.7*[5]OFFROADEFs!AA29+0.3*'[5]Tier 4'!$M29</f>
        <v>5.1575922736762966E-2</v>
      </c>
      <c r="AB29" s="611">
        <f>[5]OFFROADEFs!AB29</f>
        <v>1.5727910183139585E-4</v>
      </c>
      <c r="AC29" s="611">
        <f>0.7*[5]OFFROADEFs!AC29+0.3*'[5]Tier 4'!$O29</f>
        <v>2.0153501803144001E-3</v>
      </c>
      <c r="AD29" s="611">
        <f>[5]OFFROADEFs!AD29</f>
        <v>10.107340651040547</v>
      </c>
      <c r="AE29" s="611">
        <f>[5]OFFROADEFs!AE29</f>
        <v>1.0615800521627282E-3</v>
      </c>
      <c r="AF29" s="611">
        <f>[5]OFFROADEFs!AF29</f>
        <v>1.1765474967285321E-2</v>
      </c>
      <c r="AG29" s="611">
        <f>0.6*[5]OFFROADEFs!AG29+0.4*'[5]Tier 4'!$L29</f>
        <v>3.7028827603012467E-2</v>
      </c>
      <c r="AH29" s="611">
        <f>0.6*[5]OFFROADEFs!AH29+0.4*'[5]Tier 4'!$M29</f>
        <v>4.4207934637366476E-2</v>
      </c>
      <c r="AI29" s="611">
        <f>[5]OFFROADEFs!AI29</f>
        <v>1.5727912768491971E-4</v>
      </c>
      <c r="AJ29" s="611">
        <f>0.6*[5]OFFROADEFs!AJ29+0.4*'[5]Tier 4'!$O29</f>
        <v>1.7274426525773795E-3</v>
      </c>
      <c r="AK29" s="611">
        <f>[5]OFFROADEFs!AK29</f>
        <v>10.107339530928645</v>
      </c>
      <c r="AL29" s="611">
        <f>[5]OFFROADEFs!AL29</f>
        <v>1.0615798807708174E-3</v>
      </c>
      <c r="AM29" s="611">
        <f>[5]OFFROADEFs!AM29</f>
        <v>1.1765473786187855E-2</v>
      </c>
      <c r="AN29" s="611">
        <f>0.5*[5]OFFROADEFs!AN29+0.5*'[5]Tier 4'!$L29</f>
        <v>3.0857353579400008E-2</v>
      </c>
      <c r="AO29" s="611">
        <f>0.5*[5]OFFROADEFs!AO29+0.5*'[5]Tier 4'!$M29</f>
        <v>3.6839943560437474E-2</v>
      </c>
      <c r="AP29" s="611">
        <f>[5]OFFROADEFs!AP29</f>
        <v>1.572791321913264E-4</v>
      </c>
      <c r="AQ29" s="611">
        <f>0.5*[5]OFFROADEFs!AQ29+0.5*'[5]Tier 4'!$O29</f>
        <v>1.4395353897356574E-3</v>
      </c>
      <c r="AR29" s="611">
        <f>[5]OFFROADEFs!AR29</f>
        <v>10.107338562182004</v>
      </c>
      <c r="AS29" s="611">
        <f>[5]OFFROADEFs!AS29</f>
        <v>1.061580028707935E-3</v>
      </c>
    </row>
    <row r="30" spans="1:45" x14ac:dyDescent="0.25">
      <c r="A30" s="27" t="s">
        <v>162</v>
      </c>
      <c r="B30" s="532">
        <v>235</v>
      </c>
      <c r="C30" s="25">
        <v>0.38</v>
      </c>
      <c r="D30" s="611">
        <f>0.95*[5]OFFROADEFs!D30+0.05*'[5]Tier 4'!$D30</f>
        <v>0.12027312265814816</v>
      </c>
      <c r="E30" s="611">
        <f>0.95*[5]OFFROADEFs!E30+0.05*'[5]Tier 4'!$E30</f>
        <v>0.37726446207654918</v>
      </c>
      <c r="F30" s="611">
        <f>0.95*[5]OFFROADEFs!F30+0.05*'[5]Tier 4'!$F30</f>
        <v>0.94745273894088322</v>
      </c>
      <c r="G30" s="611">
        <f>[5]OFFROADEFs!G30</f>
        <v>1.8739213528134147E-3</v>
      </c>
      <c r="H30" s="611">
        <f>0.95*[5]OFFROADEFs!H30+0.05*'[5]Tier 4'!$H30</f>
        <v>3.1278738047599536E-2</v>
      </c>
      <c r="I30" s="611">
        <f>[5]OFFROADEFs!I30</f>
        <v>166.54539483446186</v>
      </c>
      <c r="J30" s="611">
        <f>[5]OFFROADEFs!J30</f>
        <v>1.1292325418869483E-2</v>
      </c>
      <c r="K30" s="611">
        <f>0.9*[5]OFFROADEFs!K30+0.1*'[5]Tier 4'!$K30</f>
        <v>0.10888615948643803</v>
      </c>
      <c r="L30" s="611">
        <f>0.9*[5]OFFROADEFs!L30+0.1*'[5]Tier 4'!$L30</f>
        <v>0.37192102764732693</v>
      </c>
      <c r="M30" s="611">
        <f>0.9*[5]OFFROADEFs!M30+0.1*'[5]Tier 4'!$M30</f>
        <v>0.78693926319648355</v>
      </c>
      <c r="N30" s="611">
        <f>[5]OFFROADEFs!N30</f>
        <v>1.8739217498104396E-3</v>
      </c>
      <c r="O30" s="611">
        <f>0.9*[5]OFFROADEFs!O30+0.1*'[5]Tier 4'!$O30</f>
        <v>2.6432845298835113E-2</v>
      </c>
      <c r="P30" s="611">
        <f>[5]OFFROADEFs!P30</f>
        <v>166.54541562452522</v>
      </c>
      <c r="Q30" s="611">
        <f>[5]OFFROADEFs!Q30</f>
        <v>1.063993297769634E-2</v>
      </c>
      <c r="R30" s="611">
        <f>0.8*[5]OFFROADEFs!R30+0.2*'[5]Tier 4'!$K30</f>
        <v>9.421440608486395E-2</v>
      </c>
      <c r="S30" s="611">
        <f>0.8*[5]OFFROADEFs!S30+0.2*'[5]Tier 4'!$L30</f>
        <v>0.37529505031298893</v>
      </c>
      <c r="T30" s="611">
        <f>0.8*[5]OFFROADEFs!T30+0.2*'[5]Tier 4'!$M30</f>
        <v>0.6218287156698552</v>
      </c>
      <c r="U30" s="611">
        <f>[5]OFFROADEFs!U30</f>
        <v>1.8739208211501423E-3</v>
      </c>
      <c r="V30" s="611">
        <f>0.8*[5]OFFROADEFs!V30+0.2*'[5]Tier 4'!$O30</f>
        <v>2.1102200758240576E-2</v>
      </c>
      <c r="W30" s="611">
        <f>[5]OFFROADEFs!W30</f>
        <v>166.54536773790227</v>
      </c>
      <c r="X30" s="611">
        <f>[5]OFFROADEFs!X30</f>
        <v>1.0004303079381925E-2</v>
      </c>
      <c r="Y30" s="611">
        <f>0.7*[5]OFFROADEFs!Y30+0.3*'[5]Tier 4'!$K30</f>
        <v>8.119224107646289E-2</v>
      </c>
      <c r="Z30" s="611">
        <f>0.7*[5]OFFROADEFs!Z30+0.3*'[5]Tier 4'!$L30</f>
        <v>0.37994200133931877</v>
      </c>
      <c r="AA30" s="611">
        <f>0.7*[5]OFFROADEFs!AA30+0.3*'[5]Tier 4'!$M30</f>
        <v>0.48394485675138055</v>
      </c>
      <c r="AB30" s="611">
        <f>[5]OFFROADEFs!AB30</f>
        <v>1.873921930245647E-3</v>
      </c>
      <c r="AC30" s="611">
        <f>0.7*[5]OFFROADEFs!AC30+0.3*'[5]Tier 4'!$O30</f>
        <v>1.6665559588840455E-2</v>
      </c>
      <c r="AD30" s="611">
        <f>[5]OFFROADEFs!AD30</f>
        <v>166.54543379579488</v>
      </c>
      <c r="AE30" s="611">
        <f>[5]OFFROADEFs!AE30</f>
        <v>9.3996999235005617E-3</v>
      </c>
      <c r="AF30" s="611">
        <f>0.6*[5]OFFROADEFs!AF30+0.4*'[5]Tier 4'!$K30</f>
        <v>6.9900592470028153E-2</v>
      </c>
      <c r="AG30" s="611">
        <f>0.6*[5]OFFROADEFs!AG30+0.4*'[5]Tier 4'!$L30</f>
        <v>0.38567506736809876</v>
      </c>
      <c r="AH30" s="611">
        <f>0.6*[5]OFFROADEFs!AH30+0.4*'[5]Tier 4'!$M30</f>
        <v>0.37145978898117477</v>
      </c>
      <c r="AI30" s="611">
        <f>[5]OFFROADEFs!AI30</f>
        <v>1.8739219985869813E-3</v>
      </c>
      <c r="AJ30" s="611">
        <f>0.6*[5]OFFROADEFs!AJ30+0.4*'[5]Tier 4'!$O30</f>
        <v>1.3040763303226189E-2</v>
      </c>
      <c r="AK30" s="611">
        <f>[5]OFFROADEFs!AK30</f>
        <v>166.54541132463186</v>
      </c>
      <c r="AL30" s="611">
        <f>[5]OFFROADEFs!AL30</f>
        <v>8.8537970071824509E-3</v>
      </c>
      <c r="AM30" s="611">
        <f>0.5*[5]OFFROADEFs!AM30+0.5*'[5]Tier 4'!$K30</f>
        <v>6.0143487253669921E-2</v>
      </c>
      <c r="AN30" s="611">
        <f>0.5*[5]OFFROADEFs!AN30+0.5*'[5]Tier 4'!$L30</f>
        <v>0.39227354694736927</v>
      </c>
      <c r="AO30" s="611">
        <f>0.5*[5]OFFROADEFs!AO30+0.5*'[5]Tier 4'!$M30</f>
        <v>0.28165087522833765</v>
      </c>
      <c r="AP30" s="611">
        <f>[5]OFFROADEFs!AP30</f>
        <v>1.8739212869985323E-3</v>
      </c>
      <c r="AQ30" s="611">
        <f>0.5*[5]OFFROADEFs!AQ30+0.5*'[5]Tier 4'!$O30</f>
        <v>1.0130208053330153E-2</v>
      </c>
      <c r="AR30" s="611">
        <f>[5]OFFROADEFs!AR30</f>
        <v>166.54540745667055</v>
      </c>
      <c r="AS30" s="611">
        <f>[5]OFFROADEFs!AS30</f>
        <v>8.3664496800051249E-3</v>
      </c>
    </row>
    <row r="31" spans="1:45" x14ac:dyDescent="0.25">
      <c r="A31" s="27" t="s">
        <v>165</v>
      </c>
      <c r="B31" s="25">
        <v>525</v>
      </c>
      <c r="C31" s="25">
        <v>0.38</v>
      </c>
      <c r="D31" s="611">
        <f>0.95*[5]OFFROADEFs!D31+0.05*'[5]Tier 4'!$D31</f>
        <v>0</v>
      </c>
      <c r="E31" s="611">
        <f>0.95*[5]OFFROADEFs!E31+0.05*'[5]Tier 4'!$E31</f>
        <v>0</v>
      </c>
      <c r="F31" s="611">
        <f>0.95*[5]OFFROADEFs!F31+0.05*'[5]Tier 4'!$F31</f>
        <v>0</v>
      </c>
      <c r="G31" s="611">
        <f>[5]OFFROADEFs!G31</f>
        <v>0</v>
      </c>
      <c r="H31" s="611">
        <f>0.95*[5]OFFROADEFs!H31+0.05*'[5]Tier 4'!$H31</f>
        <v>0</v>
      </c>
      <c r="I31" s="611">
        <f>[5]OFFROADEFs!I31</f>
        <v>0</v>
      </c>
      <c r="J31" s="611">
        <f>[5]OFFROADEFs!J31</f>
        <v>0</v>
      </c>
      <c r="K31" s="611">
        <f>0.9*[5]OFFROADEFs!K31+0.1*'[5]Tier 4'!$K31</f>
        <v>0</v>
      </c>
      <c r="L31" s="611">
        <f>0.9*[5]OFFROADEFs!L31+0.1*'[5]Tier 4'!$L31</f>
        <v>0</v>
      </c>
      <c r="M31" s="611">
        <f>0.9*[5]OFFROADEFs!M31+0.1*'[5]Tier 4'!$M31</f>
        <v>0</v>
      </c>
      <c r="N31" s="611">
        <f>[5]OFFROADEFs!N31</f>
        <v>0</v>
      </c>
      <c r="O31" s="611">
        <f>0.9*[5]OFFROADEFs!O31+0.1*'[5]Tier 4'!$O31</f>
        <v>0</v>
      </c>
      <c r="P31" s="611">
        <f>[5]OFFROADEFs!P31</f>
        <v>0</v>
      </c>
      <c r="Q31" s="611">
        <f>[5]OFFROADEFs!Q31</f>
        <v>0</v>
      </c>
      <c r="R31" s="611">
        <f>0.8*[5]OFFROADEFs!R31+0.2*'[5]Tier 4'!$K31</f>
        <v>0</v>
      </c>
      <c r="S31" s="611">
        <f>0.8*[5]OFFROADEFs!S31+0.2*'[5]Tier 4'!$L31</f>
        <v>0</v>
      </c>
      <c r="T31" s="611">
        <f>0.8*[5]OFFROADEFs!T31+0.2*'[5]Tier 4'!$M31</f>
        <v>0</v>
      </c>
      <c r="U31" s="611">
        <f>[5]OFFROADEFs!U31</f>
        <v>0</v>
      </c>
      <c r="V31" s="611">
        <f>0.8*[5]OFFROADEFs!V31+0.2*'[5]Tier 4'!$O31</f>
        <v>0</v>
      </c>
      <c r="W31" s="611">
        <f>[5]OFFROADEFs!W31</f>
        <v>0</v>
      </c>
      <c r="X31" s="611">
        <f>[5]OFFROADEFs!X31</f>
        <v>0</v>
      </c>
      <c r="Y31" s="611">
        <f>0.7*[5]OFFROADEFs!Y31+0.3*'[5]Tier 4'!$K31</f>
        <v>0</v>
      </c>
      <c r="Z31" s="611">
        <f>0.7*[5]OFFROADEFs!Z31+0.3*'[5]Tier 4'!$L31</f>
        <v>0</v>
      </c>
      <c r="AA31" s="611">
        <f>0.7*[5]OFFROADEFs!AA31+0.3*'[5]Tier 4'!$M31</f>
        <v>0</v>
      </c>
      <c r="AB31" s="611">
        <f>[5]OFFROADEFs!AB31</f>
        <v>0</v>
      </c>
      <c r="AC31" s="611">
        <f>0.7*[5]OFFROADEFs!AC31+0.3*'[5]Tier 4'!$O31</f>
        <v>0</v>
      </c>
      <c r="AD31" s="611">
        <f>[5]OFFROADEFs!AD31</f>
        <v>0</v>
      </c>
      <c r="AE31" s="611">
        <f>[5]OFFROADEFs!AE31</f>
        <v>0</v>
      </c>
      <c r="AF31" s="611">
        <f>0.6*[5]OFFROADEFs!AF31+0.4*'[5]Tier 4'!$K31</f>
        <v>0</v>
      </c>
      <c r="AG31" s="611">
        <f>0.6*[5]OFFROADEFs!AG31+0.4*'[5]Tier 4'!$L31</f>
        <v>0</v>
      </c>
      <c r="AH31" s="611">
        <f>0.6*[5]OFFROADEFs!AH31+0.4*'[5]Tier 4'!$M31</f>
        <v>0</v>
      </c>
      <c r="AI31" s="611">
        <f>[5]OFFROADEFs!AI31</f>
        <v>0</v>
      </c>
      <c r="AJ31" s="611">
        <f>0.6*[5]OFFROADEFs!AJ31+0.4*'[5]Tier 4'!$O31</f>
        <v>0</v>
      </c>
      <c r="AK31" s="611">
        <f>[5]OFFROADEFs!AK31</f>
        <v>0</v>
      </c>
      <c r="AL31" s="611">
        <f>[5]OFFROADEFs!AL31</f>
        <v>0</v>
      </c>
      <c r="AM31" s="611">
        <f>0.5*[5]OFFROADEFs!AM31+0.5*'[5]Tier 4'!$K31</f>
        <v>0</v>
      </c>
      <c r="AN31" s="611">
        <f>0.5*[5]OFFROADEFs!AN31+0.5*'[5]Tier 4'!$L31</f>
        <v>0</v>
      </c>
      <c r="AO31" s="611">
        <f>0.5*[5]OFFROADEFs!AO31+0.5*'[5]Tier 4'!$M31</f>
        <v>0</v>
      </c>
      <c r="AP31" s="611">
        <f>[5]OFFROADEFs!AP31</f>
        <v>0</v>
      </c>
      <c r="AQ31" s="611">
        <f>0.5*[5]OFFROADEFs!AQ31+0.5*'[5]Tier 4'!$O31</f>
        <v>0</v>
      </c>
      <c r="AR31" s="611">
        <f>[5]OFFROADEFs!AR31</f>
        <v>0</v>
      </c>
      <c r="AS31" s="611">
        <f>[5]OFFROADEFs!AS31</f>
        <v>0</v>
      </c>
    </row>
    <row r="32" spans="1:45" x14ac:dyDescent="0.25">
      <c r="A32" s="27" t="s">
        <v>166</v>
      </c>
      <c r="B32" s="25">
        <v>300</v>
      </c>
      <c r="C32" s="25">
        <v>0.38</v>
      </c>
      <c r="D32" s="611">
        <f>0.95*[5]OFFROADEFs!D32+0.05*'[5]Tier 4'!$D32</f>
        <v>0.12616341864533145</v>
      </c>
      <c r="E32" s="611">
        <f>0.95*[5]OFFROADEFs!E32+0.05*'[5]Tier 4'!$E32</f>
        <v>0.50414823837481615</v>
      </c>
      <c r="F32" s="611">
        <f>0.95*[5]OFFROADEFs!F32+0.05*'[5]Tier 4'!$F32</f>
        <v>1.1461668277604051</v>
      </c>
      <c r="G32" s="611">
        <f>[5]OFFROADEFs!G32</f>
        <v>2.4954346257058686E-3</v>
      </c>
      <c r="H32" s="611">
        <f>0.95*[5]OFFROADEFs!H32+0.05*'[5]Tier 4'!$H32</f>
        <v>3.7594016871038888E-2</v>
      </c>
      <c r="I32" s="611">
        <f>[5]OFFROADEFs!I32</f>
        <v>254.23854571385056</v>
      </c>
      <c r="J32" s="611">
        <f>[5]OFFROADEFs!J32</f>
        <v>1.1815564023556229E-2</v>
      </c>
      <c r="K32" s="611">
        <f>0.9*[5]OFFROADEFs!K32+0.1*'[5]Tier 4'!$K32</f>
        <v>0.1154043799255078</v>
      </c>
      <c r="L32" s="611">
        <f>0.9*[5]OFFROADEFs!L32+0.1*'[5]Tier 4'!$L32</f>
        <v>0.49345059158954319</v>
      </c>
      <c r="M32" s="611">
        <f>0.9*[5]OFFROADEFs!M32+0.1*'[5]Tier 4'!$M32</f>
        <v>0.94490895318182844</v>
      </c>
      <c r="N32" s="611">
        <f>[5]OFFROADEFs!N32</f>
        <v>2.4954334272364047E-3</v>
      </c>
      <c r="O32" s="611">
        <f>0.9*[5]OFFROADEFs!O32+0.1*'[5]Tier 4'!$O32</f>
        <v>3.1887416340352276E-2</v>
      </c>
      <c r="P32" s="611">
        <f>[5]OFFROADEFs!P32</f>
        <v>254.23851177178003</v>
      </c>
      <c r="Q32" s="611">
        <f>[5]OFFROADEFs!Q32</f>
        <v>1.1216977037398481E-2</v>
      </c>
      <c r="R32" s="611">
        <f>0.8*[5]OFFROADEFs!R32+0.2*'[5]Tier 4'!$K32</f>
        <v>0.10150466745072959</v>
      </c>
      <c r="S32" s="611">
        <f>0.8*[5]OFFROADEFs!S32+0.2*'[5]Tier 4'!$L32</f>
        <v>0.49429745210479703</v>
      </c>
      <c r="T32" s="611">
        <f>0.8*[5]OFFROADEFs!T32+0.2*'[5]Tier 4'!$M32</f>
        <v>0.74599317702703971</v>
      </c>
      <c r="U32" s="611">
        <f>[5]OFFROADEFs!U32</f>
        <v>2.4954333425274682E-3</v>
      </c>
      <c r="V32" s="611">
        <f>0.8*[5]OFFROADEFs!V32+0.2*'[5]Tier 4'!$O32</f>
        <v>2.5621085737718687E-2</v>
      </c>
      <c r="W32" s="611">
        <f>[5]OFFROADEFs!W32</f>
        <v>254.23847707292109</v>
      </c>
      <c r="X32" s="611">
        <f>[5]OFFROADEFs!X32</f>
        <v>1.0654580267680711E-2</v>
      </c>
      <c r="Y32" s="611">
        <f>0.7*[5]OFFROADEFs!Y32+0.3*'[5]Tier 4'!$K32</f>
        <v>8.9114694806079767E-2</v>
      </c>
      <c r="Z32" s="611">
        <f>0.7*[5]OFFROADEFs!Z32+0.3*'[5]Tier 4'!$L32</f>
        <v>0.49788582627608957</v>
      </c>
      <c r="AA32" s="611">
        <f>0.7*[5]OFFROADEFs!AA32+0.3*'[5]Tier 4'!$M32</f>
        <v>0.58288128371480197</v>
      </c>
      <c r="AB32" s="611">
        <f>[5]OFFROADEFs!AB32</f>
        <v>2.4954338651265763E-3</v>
      </c>
      <c r="AC32" s="611">
        <f>0.7*[5]OFFROADEFs!AC32+0.3*'[5]Tier 4'!$O32</f>
        <v>2.0403482403565855E-2</v>
      </c>
      <c r="AD32" s="611">
        <f>[5]OFFROADEFs!AD32</f>
        <v>254.23847108919361</v>
      </c>
      <c r="AE32" s="611">
        <f>[5]OFFROADEFs!AE32</f>
        <v>1.0126092850486785E-2</v>
      </c>
      <c r="AF32" s="611">
        <f>0.6*[5]OFFROADEFs!AF32+0.4*'[5]Tier 4'!$K32</f>
        <v>7.804345671114972E-2</v>
      </c>
      <c r="AG32" s="611">
        <f>0.6*[5]OFFROADEFs!AG32+0.4*'[5]Tier 4'!$L32</f>
        <v>0.50343893907615356</v>
      </c>
      <c r="AH32" s="611">
        <f>0.6*[5]OFFROADEFs!AH32+0.4*'[5]Tier 4'!$M32</f>
        <v>0.44926808272452545</v>
      </c>
      <c r="AI32" s="611">
        <f>[5]OFFROADEFs!AI32</f>
        <v>2.4954335273852284E-3</v>
      </c>
      <c r="AJ32" s="611">
        <f>0.6*[5]OFFROADEFs!AJ32+0.4*'[5]Tier 4'!$O32</f>
        <v>1.6064624134306055E-2</v>
      </c>
      <c r="AK32" s="611">
        <f>[5]OFFROADEFs!AK32</f>
        <v>254.23852719541449</v>
      </c>
      <c r="AL32" s="611">
        <f>[5]OFFROADEFs!AL32</f>
        <v>9.6197582224700796E-3</v>
      </c>
      <c r="AM32" s="611">
        <f>0.5*[5]OFFROADEFs!AM32+0.5*'[5]Tier 4'!$K32</f>
        <v>6.820215869818301E-2</v>
      </c>
      <c r="AN32" s="611">
        <f>0.5*[5]OFFROADEFs!AN32+0.5*'[5]Tier 4'!$L32</f>
        <v>0.51026950700865381</v>
      </c>
      <c r="AO32" s="611">
        <f>0.5*[5]OFFROADEFs!AO32+0.5*'[5]Tier 4'!$M32</f>
        <v>0.34095977271606409</v>
      </c>
      <c r="AP32" s="611">
        <f>[5]OFFROADEFs!AP32</f>
        <v>2.4954341522000403E-3</v>
      </c>
      <c r="AQ32" s="611">
        <f>0.5*[5]OFFROADEFs!AQ32+0.5*'[5]Tier 4'!$O32</f>
        <v>1.2500521282924604E-2</v>
      </c>
      <c r="AR32" s="611">
        <f>[5]OFFROADEFs!AR32</f>
        <v>254.23853104993103</v>
      </c>
      <c r="AS32" s="611">
        <f>[5]OFFROADEFs!AS32</f>
        <v>9.1328399494481263E-3</v>
      </c>
    </row>
    <row r="33" spans="1:45" x14ac:dyDescent="0.25">
      <c r="A33" s="27" t="s">
        <v>203</v>
      </c>
      <c r="B33" s="25">
        <v>175</v>
      </c>
      <c r="C33" s="25">
        <v>0.38</v>
      </c>
      <c r="D33" s="611">
        <f>0.95*[5]OFFROADEFs!D33+0.05*'[5]Tier 4'!$D33</f>
        <v>0.11992127080629632</v>
      </c>
      <c r="E33" s="611">
        <f>0.95*[5]OFFROADEFs!E33+0.05*'[5]Tier 4'!$E33</f>
        <v>0.37073007054215767</v>
      </c>
      <c r="F33" s="611">
        <f>0.95*[5]OFFROADEFs!F33+0.05*'[5]Tier 4'!$F33</f>
        <v>0.94368289767104196</v>
      </c>
      <c r="G33" s="611">
        <f>[5]OFFROADEFs!G33</f>
        <v>1.8739213528134147E-3</v>
      </c>
      <c r="H33" s="611">
        <f>0.95*[5]OFFROADEFs!H33+0.05*'[5]Tier 4'!$H33</f>
        <v>3.1241039634901123E-2</v>
      </c>
      <c r="I33" s="611">
        <f>[5]OFFROADEFs!I33</f>
        <v>166.54539483446186</v>
      </c>
      <c r="J33" s="611">
        <f>[5]OFFROADEFs!J33</f>
        <v>1.1292325418869483E-2</v>
      </c>
      <c r="K33" s="611">
        <f>0.9*[5]OFFROADEFs!K33+0.1*'[5]Tier 4'!$K33</f>
        <v>0.10818245578273432</v>
      </c>
      <c r="L33" s="611">
        <f>0.9*[5]OFFROADEFs!L33+0.1*'[5]Tier 4'!$L33</f>
        <v>0.36086282658912588</v>
      </c>
      <c r="M33" s="611">
        <f>0.9*[5]OFFROADEFs!M33+0.1*'[5]Tier 4'!$M33</f>
        <v>0.78543132668854698</v>
      </c>
      <c r="N33" s="611">
        <f>[5]OFFROADEFs!N33</f>
        <v>1.8739217498104396E-3</v>
      </c>
      <c r="O33" s="611">
        <f>0.9*[5]OFFROADEFs!O33+0.1*'[5]Tier 4'!$O33</f>
        <v>2.6357448473438287E-2</v>
      </c>
      <c r="P33" s="611">
        <f>[5]OFFROADEFs!P33</f>
        <v>166.54541562452522</v>
      </c>
      <c r="Q33" s="611">
        <f>[5]OFFROADEFs!Q33</f>
        <v>1.063993297769634E-2</v>
      </c>
      <c r="R33" s="611">
        <f>0.8*[5]OFFROADEFs!R33+0.2*'[5]Tier 4'!$K33</f>
        <v>9.2806998677456537E-2</v>
      </c>
      <c r="S33" s="611">
        <f>0.8*[5]OFFROADEFs!S33+0.2*'[5]Tier 4'!$L33</f>
        <v>0.35317864819658679</v>
      </c>
      <c r="T33" s="611">
        <f>0.8*[5]OFFROADEFs!T33+0.2*'[5]Tier 4'!$M33</f>
        <v>0.61881284265398218</v>
      </c>
      <c r="U33" s="611">
        <f>[5]OFFROADEFs!U33</f>
        <v>1.8739208211501423E-3</v>
      </c>
      <c r="V33" s="611">
        <f>0.8*[5]OFFROADEFs!V33+0.2*'[5]Tier 4'!$O33</f>
        <v>2.0951407107446925E-2</v>
      </c>
      <c r="W33" s="611">
        <f>[5]OFFROADEFs!W33</f>
        <v>166.54536773790227</v>
      </c>
      <c r="X33" s="611">
        <f>[5]OFFROADEFs!X33</f>
        <v>1.0004303079381925E-2</v>
      </c>
      <c r="Y33" s="611">
        <f>0.7*[5]OFFROADEFs!Y33+0.3*'[5]Tier 4'!$K33</f>
        <v>7.9081129965351771E-2</v>
      </c>
      <c r="Z33" s="611">
        <f>0.7*[5]OFFROADEFs!Z33+0.3*'[5]Tier 4'!$L33</f>
        <v>0.34676739816471558</v>
      </c>
      <c r="AA33" s="611">
        <f>0.7*[5]OFFROADEFs!AA33+0.3*'[5]Tier 4'!$M33</f>
        <v>0.47942104722757106</v>
      </c>
      <c r="AB33" s="611">
        <f>[5]OFFROADEFs!AB33</f>
        <v>1.873921930245647E-3</v>
      </c>
      <c r="AC33" s="611">
        <f>0.7*[5]OFFROADEFs!AC33+0.3*'[5]Tier 4'!$O33</f>
        <v>1.6439369112649978E-2</v>
      </c>
      <c r="AD33" s="611">
        <f>[5]OFFROADEFs!AD33</f>
        <v>166.54543379579488</v>
      </c>
      <c r="AE33" s="611">
        <f>[5]OFFROADEFs!AE33</f>
        <v>9.3996999235005617E-3</v>
      </c>
      <c r="AF33" s="611">
        <f>0.6*[5]OFFROADEFs!AF33+0.4*'[5]Tier 4'!$K33</f>
        <v>6.7085777655213327E-2</v>
      </c>
      <c r="AG33" s="611">
        <f>0.6*[5]OFFROADEFs!AG33+0.4*'[5]Tier 4'!$L33</f>
        <v>0.34144226313529447</v>
      </c>
      <c r="AH33" s="611">
        <f>0.6*[5]OFFROADEFs!AH33+0.4*'[5]Tier 4'!$M33</f>
        <v>0.36542804294942877</v>
      </c>
      <c r="AI33" s="611">
        <f>[5]OFFROADEFs!AI33</f>
        <v>1.8739219985869813E-3</v>
      </c>
      <c r="AJ33" s="611">
        <f>0.6*[5]OFFROADEFs!AJ33+0.4*'[5]Tier 4'!$O33</f>
        <v>1.2739176001638888E-2</v>
      </c>
      <c r="AK33" s="611">
        <f>[5]OFFROADEFs!AK33</f>
        <v>166.54541132463186</v>
      </c>
      <c r="AL33" s="611">
        <f>[5]OFFROADEFs!AL33</f>
        <v>8.8537970071824509E-3</v>
      </c>
      <c r="AM33" s="611">
        <f>0.5*[5]OFFROADEFs!AM33+0.5*'[5]Tier 4'!$K33</f>
        <v>5.6624968735151403E-2</v>
      </c>
      <c r="AN33" s="611">
        <f>0.5*[5]OFFROADEFs!AN33+0.5*'[5]Tier 4'!$L33</f>
        <v>0.33698254165636399</v>
      </c>
      <c r="AO33" s="611">
        <f>0.5*[5]OFFROADEFs!AO33+0.5*'[5]Tier 4'!$M33</f>
        <v>0.27411119268865514</v>
      </c>
      <c r="AP33" s="611">
        <f>[5]OFFROADEFs!AP33</f>
        <v>1.8739212869985323E-3</v>
      </c>
      <c r="AQ33" s="611">
        <f>0.5*[5]OFFROADEFs!AQ33+0.5*'[5]Tier 4'!$O33</f>
        <v>9.753223926346026E-3</v>
      </c>
      <c r="AR33" s="611">
        <f>[5]OFFROADEFs!AR33</f>
        <v>166.54540745667055</v>
      </c>
      <c r="AS33" s="611">
        <f>[5]OFFROADEFs!AS33</f>
        <v>8.3664496800051249E-3</v>
      </c>
    </row>
    <row r="34" spans="1:45" x14ac:dyDescent="0.25">
      <c r="A34" s="27" t="s">
        <v>164</v>
      </c>
      <c r="B34" s="25">
        <v>180</v>
      </c>
      <c r="C34" s="25">
        <v>0.4</v>
      </c>
      <c r="D34" s="611">
        <f>0.95*[5]OFFROADEFs!D34+0.05*'[5]Tier 4'!$D34</f>
        <v>0.11209958615994069</v>
      </c>
      <c r="E34" s="611">
        <f>0.95*[5]OFFROADEFs!E34+0.05*'[5]Tier 4'!$E34</f>
        <v>0.36735843490140963</v>
      </c>
      <c r="F34" s="611">
        <f>0.95*[5]OFFROADEFs!F34+0.05*'[5]Tier 4'!$F34</f>
        <v>0.99851916371893912</v>
      </c>
      <c r="G34" s="611">
        <f>[5]OFFROADEFs!G34</f>
        <v>1.9217538838910294E-3</v>
      </c>
      <c r="H34" s="611">
        <f>0.95*[5]OFFROADEFs!H34+0.05*'[5]Tier 4'!$H34</f>
        <v>3.2254740099391166E-2</v>
      </c>
      <c r="I34" s="611">
        <f>[5]OFFROADEFs!I34</f>
        <v>170.79652191325471</v>
      </c>
      <c r="J34" s="611">
        <f>[5]OFFROADEFs!J34</f>
        <v>1.054137705305298E-2</v>
      </c>
      <c r="K34" s="611">
        <f>0.9*[5]OFFROADEFs!K34+0.1*'[5]Tier 4'!$K34</f>
        <v>0.10185105781538266</v>
      </c>
      <c r="L34" s="611">
        <f>0.9*[5]OFFROADEFs!L34+0.1*'[5]Tier 4'!$L34</f>
        <v>0.3581637101019437</v>
      </c>
      <c r="M34" s="611">
        <f>0.9*[5]OFFROADEFs!M34+0.1*'[5]Tier 4'!$M34</f>
        <v>0.83338525268821684</v>
      </c>
      <c r="N34" s="611">
        <f>[5]OFFROADEFs!N34</f>
        <v>1.9217541496869973E-3</v>
      </c>
      <c r="O34" s="611">
        <f>0.9*[5]OFFROADEFs!O34+0.1*'[5]Tier 4'!$O34</f>
        <v>2.7461945936463245E-2</v>
      </c>
      <c r="P34" s="611">
        <f>[5]OFFROADEFs!P34</f>
        <v>170.79658133294615</v>
      </c>
      <c r="Q34" s="611">
        <f>[5]OFFROADEFs!Q34</f>
        <v>9.9881647421294784E-3</v>
      </c>
      <c r="R34" s="611">
        <f>0.8*[5]OFFROADEFs!R34+0.2*'[5]Tier 4'!$K34</f>
        <v>8.8178645308718662E-2</v>
      </c>
      <c r="S34" s="611">
        <f>0.8*[5]OFFROADEFs!S34+0.2*'[5]Tier 4'!$L34</f>
        <v>0.35335227263519642</v>
      </c>
      <c r="T34" s="611">
        <f>0.8*[5]OFFROADEFs!T34+0.2*'[5]Tier 4'!$M34</f>
        <v>0.65732505244487904</v>
      </c>
      <c r="U34" s="611">
        <f>[5]OFFROADEFs!U34</f>
        <v>1.9217537823348386E-3</v>
      </c>
      <c r="V34" s="611">
        <f>0.8*[5]OFFROADEFs!V34+0.2*'[5]Tier 4'!$O34</f>
        <v>2.1973924390090258E-2</v>
      </c>
      <c r="W34" s="611">
        <f>[5]OFFROADEFs!W34</f>
        <v>170.7965275458462</v>
      </c>
      <c r="X34" s="611">
        <f>[5]OFFROADEFs!X34</f>
        <v>9.4440053907250358E-3</v>
      </c>
      <c r="Y34" s="611">
        <f>0.7*[5]OFFROADEFs!Y34+0.3*'[5]Tier 4'!$K34</f>
        <v>7.5830237214484689E-2</v>
      </c>
      <c r="Z34" s="611">
        <f>0.7*[5]OFFROADEFs!Z34+0.3*'[5]Tier 4'!$L34</f>
        <v>0.35001927453450471</v>
      </c>
      <c r="AA34" s="611">
        <f>0.7*[5]OFFROADEFs!AA34+0.3*'[5]Tier 4'!$M34</f>
        <v>0.50955409039388411</v>
      </c>
      <c r="AB34" s="611">
        <f>[5]OFFROADEFs!AB34</f>
        <v>1.9217538744324835E-3</v>
      </c>
      <c r="AC34" s="611">
        <f>0.7*[5]OFFROADEFs!AC34+0.3*'[5]Tier 4'!$O34</f>
        <v>1.7311711218151345E-2</v>
      </c>
      <c r="AD34" s="611">
        <f>[5]OFFROADEFs!AD34</f>
        <v>170.79650239635384</v>
      </c>
      <c r="AE34" s="611">
        <f>[5]OFFROADEFs!AE34</f>
        <v>8.9150258809723524E-3</v>
      </c>
      <c r="AF34" s="611">
        <f>0.6*[5]OFFROADEFs!AF34+0.4*'[5]Tier 4'!$K34</f>
        <v>6.4856695417305807E-2</v>
      </c>
      <c r="AG34" s="611">
        <f>0.6*[5]OFFROADEFs!AG34+0.4*'[5]Tier 4'!$L34</f>
        <v>0.34786991441472004</v>
      </c>
      <c r="AH34" s="611">
        <f>0.6*[5]OFFROADEFs!AH34+0.4*'[5]Tier 4'!$M34</f>
        <v>0.38967408702590323</v>
      </c>
      <c r="AI34" s="611">
        <f>[5]OFFROADEFs!AI34</f>
        <v>1.9217535571108342E-3</v>
      </c>
      <c r="AJ34" s="611">
        <f>0.6*[5]OFFROADEFs!AJ34+0.4*'[5]Tier 4'!$O34</f>
        <v>1.3457954998767074E-2</v>
      </c>
      <c r="AK34" s="611">
        <f>[5]OFFROADEFs!AK34</f>
        <v>170.79652620178499</v>
      </c>
      <c r="AL34" s="611">
        <f>[5]OFFROADEFs!AL34</f>
        <v>8.4164749041931771E-3</v>
      </c>
      <c r="AM34" s="611">
        <f>0.5*[5]OFFROADEFs!AM34+0.5*'[5]Tier 4'!$K34</f>
        <v>5.5142305674740939E-2</v>
      </c>
      <c r="AN34" s="611">
        <f>0.5*[5]OFFROADEFs!AN34+0.5*'[5]Tier 4'!$L34</f>
        <v>0.34668993271728404</v>
      </c>
      <c r="AO34" s="611">
        <f>0.5*[5]OFFROADEFs!AO34+0.5*'[5]Tier 4'!$M34</f>
        <v>0.29268932450712115</v>
      </c>
      <c r="AP34" s="611">
        <f>[5]OFFROADEFs!AP34</f>
        <v>1.9217534791322944E-3</v>
      </c>
      <c r="AQ34" s="611">
        <f>0.5*[5]OFFROADEFs!AQ34+0.5*'[5]Tier 4'!$O34</f>
        <v>1.0301140151546021E-2</v>
      </c>
      <c r="AR34" s="611">
        <f>[5]OFFROADEFs!AR34</f>
        <v>170.79649043426906</v>
      </c>
      <c r="AS34" s="611">
        <f>[5]OFFROADEFs!AS34</f>
        <v>7.9457285426872831E-3</v>
      </c>
    </row>
    <row r="35" spans="1:45" x14ac:dyDescent="0.25">
      <c r="A35" s="27" t="s">
        <v>166</v>
      </c>
      <c r="B35" s="25">
        <v>235</v>
      </c>
      <c r="C35" s="25">
        <v>0.38</v>
      </c>
      <c r="D35" s="611">
        <f>0.95*[5]OFFROADEFs!D35+0.05*'[5]Tier 4'!$D35</f>
        <v>0.12027312265814816</v>
      </c>
      <c r="E35" s="611">
        <f>0.95*[5]OFFROADEFs!E35+0.05*'[5]Tier 4'!$E35</f>
        <v>0.37726446207654918</v>
      </c>
      <c r="F35" s="611">
        <f>0.95*[5]OFFROADEFs!F35+0.05*'[5]Tier 4'!$F35</f>
        <v>0.94745273894088322</v>
      </c>
      <c r="G35" s="611">
        <f>[5]OFFROADEFs!G35</f>
        <v>1.8739213528134147E-3</v>
      </c>
      <c r="H35" s="611">
        <f>0.95*[5]OFFROADEFs!H35+0.05*'[5]Tier 4'!$H35</f>
        <v>3.1278738047599536E-2</v>
      </c>
      <c r="I35" s="611">
        <f>[5]OFFROADEFs!I35</f>
        <v>166.54539483446186</v>
      </c>
      <c r="J35" s="611">
        <f>[5]OFFROADEFs!J35</f>
        <v>1.1292325418869483E-2</v>
      </c>
      <c r="K35" s="611">
        <f>0.9*[5]OFFROADEFs!K35+0.1*'[5]Tier 4'!$K35</f>
        <v>0.10888615948643803</v>
      </c>
      <c r="L35" s="611">
        <f>0.9*[5]OFFROADEFs!L35+0.1*'[5]Tier 4'!$L35</f>
        <v>0.37192102764732693</v>
      </c>
      <c r="M35" s="611">
        <f>0.9*[5]OFFROADEFs!M35+0.1*'[5]Tier 4'!$M35</f>
        <v>0.78693926319648355</v>
      </c>
      <c r="N35" s="611">
        <f>[5]OFFROADEFs!N35</f>
        <v>1.8739217498104396E-3</v>
      </c>
      <c r="O35" s="611">
        <f>0.9*[5]OFFROADEFs!O35+0.1*'[5]Tier 4'!$O35</f>
        <v>2.6432845298835113E-2</v>
      </c>
      <c r="P35" s="611">
        <f>[5]OFFROADEFs!P35</f>
        <v>166.54541562452522</v>
      </c>
      <c r="Q35" s="611">
        <f>[5]OFFROADEFs!Q35</f>
        <v>1.063993297769634E-2</v>
      </c>
      <c r="R35" s="611">
        <f>0.8*[5]OFFROADEFs!R35+0.2*'[5]Tier 4'!$K35</f>
        <v>9.421440608486395E-2</v>
      </c>
      <c r="S35" s="611">
        <f>0.8*[5]OFFROADEFs!S35+0.2*'[5]Tier 4'!$L35</f>
        <v>0.37529505031298893</v>
      </c>
      <c r="T35" s="611">
        <f>0.8*[5]OFFROADEFs!T35+0.2*'[5]Tier 4'!$M35</f>
        <v>0.6218287156698552</v>
      </c>
      <c r="U35" s="611">
        <f>[5]OFFROADEFs!U35</f>
        <v>1.8739208211501423E-3</v>
      </c>
      <c r="V35" s="611">
        <f>0.8*[5]OFFROADEFs!V35+0.2*'[5]Tier 4'!$O35</f>
        <v>2.1102200758240576E-2</v>
      </c>
      <c r="W35" s="611">
        <f>[5]OFFROADEFs!W35</f>
        <v>166.54536773790227</v>
      </c>
      <c r="X35" s="611">
        <f>[5]OFFROADEFs!X35</f>
        <v>1.0004303079381925E-2</v>
      </c>
      <c r="Y35" s="611">
        <f>0.7*[5]OFFROADEFs!Y35+0.3*'[5]Tier 4'!$K35</f>
        <v>8.119224107646289E-2</v>
      </c>
      <c r="Z35" s="611">
        <f>0.7*[5]OFFROADEFs!Z35+0.3*'[5]Tier 4'!$L35</f>
        <v>0.37994200133931877</v>
      </c>
      <c r="AA35" s="611">
        <f>0.7*[5]OFFROADEFs!AA35+0.3*'[5]Tier 4'!$M35</f>
        <v>0.48394485675138055</v>
      </c>
      <c r="AB35" s="611">
        <f>[5]OFFROADEFs!AB35</f>
        <v>1.873921930245647E-3</v>
      </c>
      <c r="AC35" s="611">
        <f>0.7*[5]OFFROADEFs!AC35+0.3*'[5]Tier 4'!$O35</f>
        <v>1.6665559588840455E-2</v>
      </c>
      <c r="AD35" s="611">
        <f>[5]OFFROADEFs!AD35</f>
        <v>166.54543379579488</v>
      </c>
      <c r="AE35" s="611">
        <f>[5]OFFROADEFs!AE35</f>
        <v>9.3996999235005617E-3</v>
      </c>
      <c r="AF35" s="611">
        <f>0.6*[5]OFFROADEFs!AF35+0.4*'[5]Tier 4'!$K35</f>
        <v>6.9900592470028153E-2</v>
      </c>
      <c r="AG35" s="611">
        <f>0.6*[5]OFFROADEFs!AG35+0.4*'[5]Tier 4'!$L35</f>
        <v>0.38567506736809876</v>
      </c>
      <c r="AH35" s="611">
        <f>0.6*[5]OFFROADEFs!AH35+0.4*'[5]Tier 4'!$M35</f>
        <v>0.37145978898117477</v>
      </c>
      <c r="AI35" s="611">
        <f>[5]OFFROADEFs!AI35</f>
        <v>1.8739219985869813E-3</v>
      </c>
      <c r="AJ35" s="611">
        <f>0.6*[5]OFFROADEFs!AJ35+0.4*'[5]Tier 4'!$O35</f>
        <v>1.3040763303226189E-2</v>
      </c>
      <c r="AK35" s="611">
        <f>[5]OFFROADEFs!AK35</f>
        <v>166.54541132463186</v>
      </c>
      <c r="AL35" s="611">
        <f>[5]OFFROADEFs!AL35</f>
        <v>8.8537970071824509E-3</v>
      </c>
      <c r="AM35" s="611">
        <f>0.5*[5]OFFROADEFs!AM35+0.5*'[5]Tier 4'!$K35</f>
        <v>6.0143487253669921E-2</v>
      </c>
      <c r="AN35" s="611">
        <f>0.5*[5]OFFROADEFs!AN35+0.5*'[5]Tier 4'!$L35</f>
        <v>0.39227354694736927</v>
      </c>
      <c r="AO35" s="611">
        <f>0.5*[5]OFFROADEFs!AO35+0.5*'[5]Tier 4'!$M35</f>
        <v>0.28165087522833765</v>
      </c>
      <c r="AP35" s="611">
        <f>[5]OFFROADEFs!AP35</f>
        <v>1.8739212869985323E-3</v>
      </c>
      <c r="AQ35" s="611">
        <f>0.5*[5]OFFROADEFs!AQ35+0.5*'[5]Tier 4'!$O35</f>
        <v>1.0130208053330153E-2</v>
      </c>
      <c r="AR35" s="611">
        <f>[5]OFFROADEFs!AR35</f>
        <v>166.54540745667055</v>
      </c>
      <c r="AS35" s="611">
        <f>[5]OFFROADEFs!AS35</f>
        <v>8.3664496800051249E-3</v>
      </c>
    </row>
    <row r="36" spans="1:45" x14ac:dyDescent="0.25">
      <c r="A36" s="531" t="s">
        <v>167</v>
      </c>
      <c r="B36" s="25">
        <v>235</v>
      </c>
      <c r="C36" s="25">
        <v>0.38</v>
      </c>
      <c r="D36" s="611">
        <f>0.95*[5]OFFROADEFs!D36+0.05*'[5]Tier 4'!$D36</f>
        <v>0.12027312265814816</v>
      </c>
      <c r="E36" s="611">
        <f>0.95*[5]OFFROADEFs!E36+0.05*'[5]Tier 4'!$E36</f>
        <v>0.37726446207654918</v>
      </c>
      <c r="F36" s="611">
        <f>0.95*[5]OFFROADEFs!F36+0.05*'[5]Tier 4'!$F36</f>
        <v>0.94745273894088322</v>
      </c>
      <c r="G36" s="611">
        <f>[5]OFFROADEFs!G36</f>
        <v>1.8739213528134147E-3</v>
      </c>
      <c r="H36" s="611">
        <f>0.95*[5]OFFROADEFs!H36+0.05*'[5]Tier 4'!$H36</f>
        <v>3.1278738047599536E-2</v>
      </c>
      <c r="I36" s="611">
        <f>[5]OFFROADEFs!I36</f>
        <v>166.54539483446186</v>
      </c>
      <c r="J36" s="611">
        <f>[5]OFFROADEFs!J36</f>
        <v>1.1292325418869483E-2</v>
      </c>
      <c r="K36" s="611">
        <f>0.9*[5]OFFROADEFs!K36+0.1*'[5]Tier 4'!$K36</f>
        <v>0.10888615948643803</v>
      </c>
      <c r="L36" s="611">
        <f>0.9*[5]OFFROADEFs!L36+0.1*'[5]Tier 4'!$L36</f>
        <v>0.37192102764732693</v>
      </c>
      <c r="M36" s="611">
        <f>0.9*[5]OFFROADEFs!M36+0.1*'[5]Tier 4'!$M36</f>
        <v>0.78693926319648355</v>
      </c>
      <c r="N36" s="611">
        <f>[5]OFFROADEFs!N36</f>
        <v>1.8739217498104396E-3</v>
      </c>
      <c r="O36" s="611">
        <f>0.9*[5]OFFROADEFs!O36+0.1*'[5]Tier 4'!$O36</f>
        <v>2.6432845298835113E-2</v>
      </c>
      <c r="P36" s="611">
        <f>[5]OFFROADEFs!P36</f>
        <v>166.54541562452522</v>
      </c>
      <c r="Q36" s="611">
        <f>[5]OFFROADEFs!Q36</f>
        <v>1.063993297769634E-2</v>
      </c>
      <c r="R36" s="611">
        <f>0.8*[5]OFFROADEFs!R36+0.2*'[5]Tier 4'!$K36</f>
        <v>9.421440608486395E-2</v>
      </c>
      <c r="S36" s="611">
        <f>0.8*[5]OFFROADEFs!S36+0.2*'[5]Tier 4'!$L36</f>
        <v>0.37529505031298893</v>
      </c>
      <c r="T36" s="611">
        <f>0.8*[5]OFFROADEFs!T36+0.2*'[5]Tier 4'!$M36</f>
        <v>0.6218287156698552</v>
      </c>
      <c r="U36" s="611">
        <f>[5]OFFROADEFs!U36</f>
        <v>1.8739208211501423E-3</v>
      </c>
      <c r="V36" s="611">
        <f>0.8*[5]OFFROADEFs!V36+0.2*'[5]Tier 4'!$O36</f>
        <v>2.1102200758240576E-2</v>
      </c>
      <c r="W36" s="611">
        <f>[5]OFFROADEFs!W36</f>
        <v>166.54536773790227</v>
      </c>
      <c r="X36" s="611">
        <f>[5]OFFROADEFs!X36</f>
        <v>1.0004303079381925E-2</v>
      </c>
      <c r="Y36" s="611">
        <f>0.7*[5]OFFROADEFs!Y36+0.3*'[5]Tier 4'!$K36</f>
        <v>8.119224107646289E-2</v>
      </c>
      <c r="Z36" s="611">
        <f>0.7*[5]OFFROADEFs!Z36+0.3*'[5]Tier 4'!$L36</f>
        <v>0.37994200133931877</v>
      </c>
      <c r="AA36" s="611">
        <f>0.7*[5]OFFROADEFs!AA36+0.3*'[5]Tier 4'!$M36</f>
        <v>0.48394485675138055</v>
      </c>
      <c r="AB36" s="611">
        <f>[5]OFFROADEFs!AB36</f>
        <v>1.873921930245647E-3</v>
      </c>
      <c r="AC36" s="611">
        <f>0.7*[5]OFFROADEFs!AC36+0.3*'[5]Tier 4'!$O36</f>
        <v>1.6665559588840455E-2</v>
      </c>
      <c r="AD36" s="611">
        <f>[5]OFFROADEFs!AD36</f>
        <v>166.54543379579488</v>
      </c>
      <c r="AE36" s="611">
        <f>[5]OFFROADEFs!AE36</f>
        <v>9.3996999235005617E-3</v>
      </c>
      <c r="AF36" s="611">
        <f>0.6*[5]OFFROADEFs!AF36+0.4*'[5]Tier 4'!$K36</f>
        <v>6.9900592470028153E-2</v>
      </c>
      <c r="AG36" s="611">
        <f>0.6*[5]OFFROADEFs!AG36+0.4*'[5]Tier 4'!$L36</f>
        <v>0.38567506736809876</v>
      </c>
      <c r="AH36" s="611">
        <f>0.6*[5]OFFROADEFs!AH36+0.4*'[5]Tier 4'!$M36</f>
        <v>0.37145978898117477</v>
      </c>
      <c r="AI36" s="611">
        <f>[5]OFFROADEFs!AI36</f>
        <v>1.8739219985869813E-3</v>
      </c>
      <c r="AJ36" s="611">
        <f>0.6*[5]OFFROADEFs!AJ36+0.4*'[5]Tier 4'!$O36</f>
        <v>1.3040763303226189E-2</v>
      </c>
      <c r="AK36" s="611">
        <f>[5]OFFROADEFs!AK36</f>
        <v>166.54541132463186</v>
      </c>
      <c r="AL36" s="611">
        <f>[5]OFFROADEFs!AL36</f>
        <v>8.8537970071824509E-3</v>
      </c>
      <c r="AM36" s="611">
        <f>0.5*[5]OFFROADEFs!AM36+0.5*'[5]Tier 4'!$K36</f>
        <v>6.0143487253669921E-2</v>
      </c>
      <c r="AN36" s="611">
        <f>0.5*[5]OFFROADEFs!AN36+0.5*'[5]Tier 4'!$L36</f>
        <v>0.39227354694736927</v>
      </c>
      <c r="AO36" s="611">
        <f>0.5*[5]OFFROADEFs!AO36+0.5*'[5]Tier 4'!$M36</f>
        <v>0.28165087522833765</v>
      </c>
      <c r="AP36" s="611">
        <f>[5]OFFROADEFs!AP36</f>
        <v>1.8739212869985323E-3</v>
      </c>
      <c r="AQ36" s="611">
        <f>0.5*[5]OFFROADEFs!AQ36+0.5*'[5]Tier 4'!$O36</f>
        <v>1.0130208053330153E-2</v>
      </c>
      <c r="AR36" s="611">
        <f>[5]OFFROADEFs!AR36</f>
        <v>166.54540745667055</v>
      </c>
      <c r="AS36" s="611">
        <f>[5]OFFROADEFs!AS36</f>
        <v>8.3664496800051249E-3</v>
      </c>
    </row>
    <row r="37" spans="1:45" x14ac:dyDescent="0.25">
      <c r="A37" s="27" t="s">
        <v>168</v>
      </c>
      <c r="B37" s="25">
        <v>235</v>
      </c>
      <c r="C37" s="25">
        <v>0.38</v>
      </c>
      <c r="D37" s="611">
        <f>0.95*[5]OFFROADEFs!D37+0.05*'[5]Tier 4'!$D37</f>
        <v>0.12027312265814816</v>
      </c>
      <c r="E37" s="611">
        <f>0.95*[5]OFFROADEFs!E37+0.05*'[5]Tier 4'!$E37</f>
        <v>0.37726446207654918</v>
      </c>
      <c r="F37" s="611">
        <f>0.95*[5]OFFROADEFs!F37+0.05*'[5]Tier 4'!$F37</f>
        <v>0.94745273894088322</v>
      </c>
      <c r="G37" s="611">
        <f>[5]OFFROADEFs!G37</f>
        <v>1.8739213528134147E-3</v>
      </c>
      <c r="H37" s="611">
        <f>0.95*[5]OFFROADEFs!H37+0.05*'[5]Tier 4'!$H37</f>
        <v>3.1278738047599536E-2</v>
      </c>
      <c r="I37" s="611">
        <f>[5]OFFROADEFs!I37</f>
        <v>166.54539483446186</v>
      </c>
      <c r="J37" s="611">
        <f>[5]OFFROADEFs!J37</f>
        <v>1.1292325418869483E-2</v>
      </c>
      <c r="K37" s="611">
        <f>0.9*[5]OFFROADEFs!K37+0.1*'[5]Tier 4'!$K37</f>
        <v>0.10888615948643803</v>
      </c>
      <c r="L37" s="611">
        <f>0.9*[5]OFFROADEFs!L37+0.1*'[5]Tier 4'!$L37</f>
        <v>0.37192102764732693</v>
      </c>
      <c r="M37" s="611">
        <f>0.9*[5]OFFROADEFs!M37+0.1*'[5]Tier 4'!$M37</f>
        <v>0.78693926319648355</v>
      </c>
      <c r="N37" s="611">
        <f>[5]OFFROADEFs!N37</f>
        <v>1.8739217498104396E-3</v>
      </c>
      <c r="O37" s="611">
        <f>0.9*[5]OFFROADEFs!O37+0.1*'[5]Tier 4'!$O37</f>
        <v>2.6432845298835113E-2</v>
      </c>
      <c r="P37" s="611">
        <f>[5]OFFROADEFs!P37</f>
        <v>166.54541562452522</v>
      </c>
      <c r="Q37" s="611">
        <f>[5]OFFROADEFs!Q37</f>
        <v>1.063993297769634E-2</v>
      </c>
      <c r="R37" s="611">
        <f>0.8*[5]OFFROADEFs!R37+0.2*'[5]Tier 4'!$K37</f>
        <v>9.421440608486395E-2</v>
      </c>
      <c r="S37" s="611">
        <f>0.8*[5]OFFROADEFs!S37+0.2*'[5]Tier 4'!$L37</f>
        <v>0.37529505031298893</v>
      </c>
      <c r="T37" s="611">
        <f>0.8*[5]OFFROADEFs!T37+0.2*'[5]Tier 4'!$M37</f>
        <v>0.6218287156698552</v>
      </c>
      <c r="U37" s="611">
        <f>[5]OFFROADEFs!U37</f>
        <v>1.8739208211501423E-3</v>
      </c>
      <c r="V37" s="611">
        <f>0.8*[5]OFFROADEFs!V37+0.2*'[5]Tier 4'!$O37</f>
        <v>2.1102200758240576E-2</v>
      </c>
      <c r="W37" s="611">
        <f>[5]OFFROADEFs!W37</f>
        <v>166.54536773790227</v>
      </c>
      <c r="X37" s="611">
        <f>[5]OFFROADEFs!X37</f>
        <v>1.0004303079381925E-2</v>
      </c>
      <c r="Y37" s="611">
        <f>0.7*[5]OFFROADEFs!Y37+0.3*'[5]Tier 4'!$K37</f>
        <v>8.119224107646289E-2</v>
      </c>
      <c r="Z37" s="611">
        <f>0.7*[5]OFFROADEFs!Z37+0.3*'[5]Tier 4'!$L37</f>
        <v>0.37994200133931877</v>
      </c>
      <c r="AA37" s="611">
        <f>0.7*[5]OFFROADEFs!AA37+0.3*'[5]Tier 4'!$M37</f>
        <v>0.48394485675138055</v>
      </c>
      <c r="AB37" s="611">
        <f>[5]OFFROADEFs!AB37</f>
        <v>1.873921930245647E-3</v>
      </c>
      <c r="AC37" s="611">
        <f>0.7*[5]OFFROADEFs!AC37+0.3*'[5]Tier 4'!$O37</f>
        <v>1.6665559588840455E-2</v>
      </c>
      <c r="AD37" s="611">
        <f>[5]OFFROADEFs!AD37</f>
        <v>166.54543379579488</v>
      </c>
      <c r="AE37" s="611">
        <f>[5]OFFROADEFs!AE37</f>
        <v>9.3996999235005617E-3</v>
      </c>
      <c r="AF37" s="611">
        <f>0.6*[5]OFFROADEFs!AF37+0.4*'[5]Tier 4'!$K37</f>
        <v>6.9900592470028153E-2</v>
      </c>
      <c r="AG37" s="611">
        <f>0.6*[5]OFFROADEFs!AG37+0.4*'[5]Tier 4'!$L37</f>
        <v>0.38567506736809876</v>
      </c>
      <c r="AH37" s="611">
        <f>0.6*[5]OFFROADEFs!AH37+0.4*'[5]Tier 4'!$M37</f>
        <v>0.37145978898117477</v>
      </c>
      <c r="AI37" s="611">
        <f>[5]OFFROADEFs!AI37</f>
        <v>1.8739219985869813E-3</v>
      </c>
      <c r="AJ37" s="611">
        <f>0.6*[5]OFFROADEFs!AJ37+0.4*'[5]Tier 4'!$O37</f>
        <v>1.3040763303226189E-2</v>
      </c>
      <c r="AK37" s="611">
        <f>[5]OFFROADEFs!AK37</f>
        <v>166.54541132463186</v>
      </c>
      <c r="AL37" s="611">
        <f>[5]OFFROADEFs!AL37</f>
        <v>8.8537970071824509E-3</v>
      </c>
      <c r="AM37" s="611">
        <f>0.5*[5]OFFROADEFs!AM37+0.5*'[5]Tier 4'!$K37</f>
        <v>6.0143487253669921E-2</v>
      </c>
      <c r="AN37" s="611">
        <f>0.5*[5]OFFROADEFs!AN37+0.5*'[5]Tier 4'!$L37</f>
        <v>0.39227354694736927</v>
      </c>
      <c r="AO37" s="611">
        <f>0.5*[5]OFFROADEFs!AO37+0.5*'[5]Tier 4'!$M37</f>
        <v>0.28165087522833765</v>
      </c>
      <c r="AP37" s="611">
        <f>[5]OFFROADEFs!AP37</f>
        <v>1.8739212869985323E-3</v>
      </c>
      <c r="AQ37" s="611">
        <f>0.5*[5]OFFROADEFs!AQ37+0.5*'[5]Tier 4'!$O37</f>
        <v>1.0130208053330153E-2</v>
      </c>
      <c r="AR37" s="611">
        <f>[5]OFFROADEFs!AR37</f>
        <v>166.54540745667055</v>
      </c>
      <c r="AS37" s="611">
        <f>[5]OFFROADEFs!AS37</f>
        <v>8.3664496800051249E-3</v>
      </c>
    </row>
    <row r="38" spans="1:45" x14ac:dyDescent="0.25">
      <c r="A38" s="27" t="s">
        <v>213</v>
      </c>
      <c r="B38" s="25">
        <v>175</v>
      </c>
      <c r="C38" s="25">
        <v>0.38</v>
      </c>
      <c r="D38" s="611">
        <f>0.95*[5]OFFROADEFs!D38+0.05*'[5]Tier 4'!$D38</f>
        <v>0.11992127080629632</v>
      </c>
      <c r="E38" s="611">
        <f>0.95*[5]OFFROADEFs!E38+0.05*'[5]Tier 4'!$E38</f>
        <v>0.37073007054215767</v>
      </c>
      <c r="F38" s="611">
        <f>0.95*[5]OFFROADEFs!F38+0.05*'[5]Tier 4'!$F38</f>
        <v>0.94368289767104196</v>
      </c>
      <c r="G38" s="611">
        <f>[5]OFFROADEFs!G38</f>
        <v>1.8739213528134147E-3</v>
      </c>
      <c r="H38" s="611">
        <f>0.95*[5]OFFROADEFs!H38+0.05*'[5]Tier 4'!$H38</f>
        <v>3.1241039634901123E-2</v>
      </c>
      <c r="I38" s="611">
        <f>[5]OFFROADEFs!I38</f>
        <v>166.54539483446186</v>
      </c>
      <c r="J38" s="611">
        <f>[5]OFFROADEFs!J38</f>
        <v>1.1292325418869483E-2</v>
      </c>
      <c r="K38" s="611">
        <f>0.9*[5]OFFROADEFs!K38+0.1*'[5]Tier 4'!$K38</f>
        <v>0.10818245578273432</v>
      </c>
      <c r="L38" s="611">
        <f>0.9*[5]OFFROADEFs!L38+0.1*'[5]Tier 4'!$L38</f>
        <v>0.36086282658912588</v>
      </c>
      <c r="M38" s="611">
        <f>0.9*[5]OFFROADEFs!M38+0.1*'[5]Tier 4'!$M38</f>
        <v>0.78543132668854698</v>
      </c>
      <c r="N38" s="611">
        <f>[5]OFFROADEFs!N38</f>
        <v>1.8739217498104396E-3</v>
      </c>
      <c r="O38" s="611">
        <f>0.9*[5]OFFROADEFs!O38+0.1*'[5]Tier 4'!$O38</f>
        <v>2.6357448473438287E-2</v>
      </c>
      <c r="P38" s="611">
        <f>[5]OFFROADEFs!P38</f>
        <v>166.54541562452522</v>
      </c>
      <c r="Q38" s="611">
        <f>[5]OFFROADEFs!Q38</f>
        <v>1.063993297769634E-2</v>
      </c>
      <c r="R38" s="611">
        <f>0.8*[5]OFFROADEFs!R38+0.2*'[5]Tier 4'!$K38</f>
        <v>9.2806998677456537E-2</v>
      </c>
      <c r="S38" s="611">
        <f>0.8*[5]OFFROADEFs!S38+0.2*'[5]Tier 4'!$L38</f>
        <v>0.35317864819658679</v>
      </c>
      <c r="T38" s="611">
        <f>0.8*[5]OFFROADEFs!T38+0.2*'[5]Tier 4'!$M38</f>
        <v>0.61881284265398218</v>
      </c>
      <c r="U38" s="611">
        <f>[5]OFFROADEFs!U38</f>
        <v>1.8739208211501423E-3</v>
      </c>
      <c r="V38" s="611">
        <f>0.8*[5]OFFROADEFs!V38+0.2*'[5]Tier 4'!$O38</f>
        <v>2.0951407107446925E-2</v>
      </c>
      <c r="W38" s="611">
        <f>[5]OFFROADEFs!W38</f>
        <v>166.54536773790227</v>
      </c>
      <c r="X38" s="611">
        <f>[5]OFFROADEFs!X38</f>
        <v>1.0004303079381925E-2</v>
      </c>
      <c r="Y38" s="611">
        <f>0.7*[5]OFFROADEFs!Y38+0.3*'[5]Tier 4'!$K38</f>
        <v>7.9081129965351771E-2</v>
      </c>
      <c r="Z38" s="611">
        <f>0.7*[5]OFFROADEFs!Z38+0.3*'[5]Tier 4'!$L38</f>
        <v>0.34676739816471558</v>
      </c>
      <c r="AA38" s="611">
        <f>0.7*[5]OFFROADEFs!AA38+0.3*'[5]Tier 4'!$M38</f>
        <v>0.47942104722757106</v>
      </c>
      <c r="AB38" s="611">
        <f>[5]OFFROADEFs!AB38</f>
        <v>1.873921930245647E-3</v>
      </c>
      <c r="AC38" s="611">
        <f>0.7*[5]OFFROADEFs!AC38+0.3*'[5]Tier 4'!$O38</f>
        <v>1.6439369112649978E-2</v>
      </c>
      <c r="AD38" s="611">
        <f>[5]OFFROADEFs!AD38</f>
        <v>166.54543379579488</v>
      </c>
      <c r="AE38" s="611">
        <f>[5]OFFROADEFs!AE38</f>
        <v>9.3996999235005617E-3</v>
      </c>
      <c r="AF38" s="611">
        <f>0.6*[5]OFFROADEFs!AF38+0.4*'[5]Tier 4'!$K38</f>
        <v>6.7085777655213327E-2</v>
      </c>
      <c r="AG38" s="611">
        <f>0.6*[5]OFFROADEFs!AG38+0.4*'[5]Tier 4'!$L38</f>
        <v>0.34144226313529447</v>
      </c>
      <c r="AH38" s="611">
        <f>0.6*[5]OFFROADEFs!AH38+0.4*'[5]Tier 4'!$M38</f>
        <v>0.36542804294942877</v>
      </c>
      <c r="AI38" s="611">
        <f>[5]OFFROADEFs!AI38</f>
        <v>1.8739219985869813E-3</v>
      </c>
      <c r="AJ38" s="611">
        <f>0.6*[5]OFFROADEFs!AJ38+0.4*'[5]Tier 4'!$O38</f>
        <v>1.2739176001638888E-2</v>
      </c>
      <c r="AK38" s="611">
        <f>[5]OFFROADEFs!AK38</f>
        <v>166.54541132463186</v>
      </c>
      <c r="AL38" s="611">
        <f>[5]OFFROADEFs!AL38</f>
        <v>8.8537970071824509E-3</v>
      </c>
      <c r="AM38" s="611">
        <f>0.5*[5]OFFROADEFs!AM38+0.5*'[5]Tier 4'!$K38</f>
        <v>5.6624968735151403E-2</v>
      </c>
      <c r="AN38" s="611">
        <f>0.5*[5]OFFROADEFs!AN38+0.5*'[5]Tier 4'!$L38</f>
        <v>0.33698254165636399</v>
      </c>
      <c r="AO38" s="611">
        <f>0.5*[5]OFFROADEFs!AO38+0.5*'[5]Tier 4'!$M38</f>
        <v>0.27411119268865514</v>
      </c>
      <c r="AP38" s="611">
        <f>[5]OFFROADEFs!AP38</f>
        <v>1.8739212869985323E-3</v>
      </c>
      <c r="AQ38" s="611">
        <f>0.5*[5]OFFROADEFs!AQ38+0.5*'[5]Tier 4'!$O38</f>
        <v>9.753223926346026E-3</v>
      </c>
      <c r="AR38" s="611">
        <f>[5]OFFROADEFs!AR38</f>
        <v>166.54540745667055</v>
      </c>
      <c r="AS38" s="611">
        <f>[5]OFFROADEFs!AS38</f>
        <v>8.3664496800051249E-3</v>
      </c>
    </row>
    <row r="39" spans="1:45" x14ac:dyDescent="0.25">
      <c r="A39" s="27" t="s">
        <v>579</v>
      </c>
      <c r="B39" s="134">
        <v>81</v>
      </c>
      <c r="C39" s="25">
        <v>0.73</v>
      </c>
      <c r="D39" s="611">
        <f>0.95*[5]OFFROADEFs!D39+0.05*'[5]Tier 4'!$D39</f>
        <v>8.6112792503162949E-2</v>
      </c>
      <c r="E39" s="611">
        <f>0.95*[5]OFFROADEFs!E39+0.05*'[5]Tier 4'!$E39</f>
        <v>0.47768471513224703</v>
      </c>
      <c r="F39" s="611">
        <f>0.95*[5]OFFROADEFs!F39+0.05*'[5]Tier 4'!$F39</f>
        <v>0.60837305944613218</v>
      </c>
      <c r="G39" s="611">
        <f>[5]OFFROADEFs!G39</f>
        <v>8.6981465614259827E-4</v>
      </c>
      <c r="H39" s="611">
        <f>0.95*[5]OFFROADEFs!H39+0.05*'[5]Tier 4'!$H39</f>
        <v>4.6360889612910072E-2</v>
      </c>
      <c r="I39" s="611">
        <f>[5]OFFROADEFs!I39</f>
        <v>74.149777594362092</v>
      </c>
      <c r="J39" s="611">
        <f>[5]OFFROADEFs!J39</f>
        <v>8.0478710667049036E-3</v>
      </c>
      <c r="K39" s="611">
        <f>0.9*[5]OFFROADEFs!K39+0.1*'[5]Tier 4'!$K39</f>
        <v>7.5554865433584556E-2</v>
      </c>
      <c r="L39" s="611">
        <f>0.9*[5]OFFROADEFs!L39+0.1*'[5]Tier 4'!$L39</f>
        <v>0.46849260071097004</v>
      </c>
      <c r="M39" s="611">
        <f>0.9*[5]OFFROADEFs!M39+0.1*'[5]Tier 4'!$M39</f>
        <v>0.52639708701622312</v>
      </c>
      <c r="N39" s="611">
        <f>[5]OFFROADEFs!N39</f>
        <v>8.6981466581136514E-4</v>
      </c>
      <c r="O39" s="611">
        <f>0.9*[5]OFFROADEFs!O39+0.1*'[5]Tier 4'!$O39</f>
        <v>3.9493202238009152E-2</v>
      </c>
      <c r="P39" s="611">
        <f>[5]OFFROADEFs!P39</f>
        <v>74.149761562139503</v>
      </c>
      <c r="Q39" s="611">
        <f>[5]OFFROADEFs!Q39</f>
        <v>7.2983432328555444E-3</v>
      </c>
      <c r="R39" s="611">
        <f>0.8*[5]OFFROADEFs!R39+0.2*'[5]Tier 4'!$K39</f>
        <v>6.3721755027132496E-2</v>
      </c>
      <c r="S39" s="611">
        <f>0.8*[5]OFFROADEFs!S39+0.2*'[5]Tier 4'!$L39</f>
        <v>0.46190821163844553</v>
      </c>
      <c r="T39" s="611">
        <f>0.8*[5]OFFROADEFs!T39+0.2*'[5]Tier 4'!$M39</f>
        <v>0.43831173314183747</v>
      </c>
      <c r="U39" s="611">
        <f>[5]OFFROADEFs!U39</f>
        <v>8.6981483894468532E-4</v>
      </c>
      <c r="V39" s="611">
        <f>0.8*[5]OFFROADEFs!V39+0.2*'[5]Tier 4'!$O39</f>
        <v>3.1364589986635806E-2</v>
      </c>
      <c r="W39" s="611">
        <f>[5]OFFROADEFs!W39</f>
        <v>74.149765435550776</v>
      </c>
      <c r="X39" s="611">
        <f>[5]OFFROADEFs!X39</f>
        <v>6.5651775720710461E-3</v>
      </c>
      <c r="Y39" s="611">
        <f>0.7*[5]OFFROADEFs!Y39+0.3*'[5]Tier 4'!$K39</f>
        <v>5.3793332935407064E-2</v>
      </c>
      <c r="Z39" s="611">
        <f>0.7*[5]OFFROADEFs!Z39+0.3*'[5]Tier 4'!$L39</f>
        <v>0.45617070695886652</v>
      </c>
      <c r="AA39" s="611">
        <f>0.7*[5]OFFROADEFs!AA39+0.3*'[5]Tier 4'!$M39</f>
        <v>0.36059238746678957</v>
      </c>
      <c r="AB39" s="611">
        <f>[5]OFFROADEFs!AB39</f>
        <v>8.6981447951418422E-4</v>
      </c>
      <c r="AC39" s="611">
        <f>0.7*[5]OFFROADEFs!AC39+0.3*'[5]Tier 4'!$O39</f>
        <v>2.4347329353263003E-2</v>
      </c>
      <c r="AD39" s="611">
        <f>[5]OFFROADEFs!AD39</f>
        <v>74.149755370363465</v>
      </c>
      <c r="AE39" s="611">
        <f>[5]OFFROADEFs!AE39</f>
        <v>5.8680430255882874E-3</v>
      </c>
      <c r="AF39" s="611">
        <f>0.6*[5]OFFROADEFs!AF39+0.4*'[5]Tier 4'!$K39</f>
        <v>4.5755550353338607E-2</v>
      </c>
      <c r="AG39" s="611">
        <f>0.6*[5]OFFROADEFs!AG39+0.4*'[5]Tier 4'!$L39</f>
        <v>0.45122797849522067</v>
      </c>
      <c r="AH39" s="611">
        <f>0.6*[5]OFFROADEFs!AH39+0.4*'[5]Tier 4'!$M39</f>
        <v>0.2930456417026493</v>
      </c>
      <c r="AI39" s="611">
        <f>[5]OFFROADEFs!AI39</f>
        <v>8.6981496082941278E-4</v>
      </c>
      <c r="AJ39" s="611">
        <f>0.6*[5]OFFROADEFs!AJ39+0.4*'[5]Tier 4'!$O39</f>
        <v>1.8459332893342194E-2</v>
      </c>
      <c r="AK39" s="611">
        <f>[5]OFFROADEFs!AK39</f>
        <v>74.149756971132675</v>
      </c>
      <c r="AL39" s="611">
        <f>[5]OFFROADEFs!AL39</f>
        <v>5.2228499935204785E-3</v>
      </c>
      <c r="AM39" s="611">
        <f>0.5*[5]OFFROADEFs!AM39+0.5*'[5]Tier 4'!$K39</f>
        <v>3.9997342609844569E-2</v>
      </c>
      <c r="AN39" s="611">
        <f>0.5*[5]OFFROADEFs!AN39+0.5*'[5]Tier 4'!$L39</f>
        <v>0.44719796979785664</v>
      </c>
      <c r="AO39" s="611">
        <f>0.5*[5]OFFROADEFs!AO39+0.5*'[5]Tier 4'!$M39</f>
        <v>0.23591160005180495</v>
      </c>
      <c r="AP39" s="611">
        <f>[5]OFFROADEFs!AP39</f>
        <v>8.6981472599564533E-4</v>
      </c>
      <c r="AQ39" s="611">
        <f>0.5*[5]OFFROADEFs!AQ39+0.5*'[5]Tier 4'!$O39</f>
        <v>1.3934471417727367E-2</v>
      </c>
      <c r="AR39" s="611">
        <f>[5]OFFROADEFs!AR39</f>
        <v>74.149751216943628</v>
      </c>
      <c r="AS39" s="611">
        <f>[5]OFFROADEFs!AS39</f>
        <v>4.7309412577465279E-3</v>
      </c>
    </row>
    <row r="40" spans="1:45" x14ac:dyDescent="0.25">
      <c r="A40" s="27" t="s">
        <v>580</v>
      </c>
      <c r="B40" s="134">
        <v>88</v>
      </c>
      <c r="C40" s="134">
        <v>0.68</v>
      </c>
      <c r="D40" s="611">
        <f>0.95*[5]OFFROADEFs!D40+0.05*'[5]Tier 4'!$D40</f>
        <v>8.3557909444994069E-2</v>
      </c>
      <c r="E40" s="611">
        <f>0.95*[5]OFFROADEFs!E40+0.05*'[5]Tier 4'!$E40</f>
        <v>0.48027506625173494</v>
      </c>
      <c r="F40" s="611">
        <f>0.95*[5]OFFROADEFs!F40+0.05*'[5]Tier 4'!$F40</f>
        <v>0.55987249313174137</v>
      </c>
      <c r="G40" s="611">
        <f>[5]OFFROADEFs!G40</f>
        <v>8.8025899780622727E-4</v>
      </c>
      <c r="H40" s="611">
        <f>0.95*[5]OFFROADEFs!H40+0.05*'[5]Tier 4'!$H40</f>
        <v>4.4270434389604658E-2</v>
      </c>
      <c r="I40" s="611">
        <f>[5]OFFROADEFs!I40</f>
        <v>75.040106767621964</v>
      </c>
      <c r="J40" s="611">
        <f>[5]OFFROADEFs!J40</f>
        <v>7.9361010948412886E-3</v>
      </c>
      <c r="K40" s="611">
        <f>0.9*[5]OFFROADEFs!K40+0.1*'[5]Tier 4'!$K40</f>
        <v>6.961542254476509E-2</v>
      </c>
      <c r="L40" s="611">
        <f>0.9*[5]OFFROADEFs!L40+0.1*'[5]Tier 4'!$L40</f>
        <v>0.45151789624743172</v>
      </c>
      <c r="M40" s="611">
        <f>0.9*[5]OFFROADEFs!M40+0.1*'[5]Tier 4'!$M40</f>
        <v>0.47913127704300512</v>
      </c>
      <c r="N40" s="611">
        <f>[5]OFFROADEFs!N40</f>
        <v>8.8025852246575076E-4</v>
      </c>
      <c r="O40" s="611">
        <f>0.9*[5]OFFROADEFs!O40+0.1*'[5]Tier 4'!$O40</f>
        <v>3.5273167010068454E-2</v>
      </c>
      <c r="P40" s="611">
        <f>[5]OFFROADEFs!P40</f>
        <v>75.040091008231684</v>
      </c>
      <c r="Q40" s="611">
        <f>[5]OFFROADEFs!Q40</f>
        <v>6.9792086054076847E-3</v>
      </c>
      <c r="R40" s="611">
        <f>0.8*[5]OFFROADEFs!R40+0.2*'[5]Tier 4'!$K40</f>
        <v>5.6093397225957069E-2</v>
      </c>
      <c r="S40" s="611">
        <f>0.8*[5]OFFROADEFs!S40+0.2*'[5]Tier 4'!$L40</f>
        <v>0.39966590076489672</v>
      </c>
      <c r="T40" s="611">
        <f>0.8*[5]OFFROADEFs!T40+0.2*'[5]Tier 4'!$M40</f>
        <v>0.38839887597349348</v>
      </c>
      <c r="U40" s="611">
        <f>[5]OFFROADEFs!U40</f>
        <v>8.8025906727070495E-4</v>
      </c>
      <c r="V40" s="611">
        <f>0.8*[5]OFFROADEFs!V40+0.2*'[5]Tier 4'!$O40</f>
        <v>2.6896591999900455E-2</v>
      </c>
      <c r="W40" s="611">
        <f>[5]OFFROADEFs!W40</f>
        <v>75.04010701718272</v>
      </c>
      <c r="X40" s="611">
        <f>[5]OFFROADEFs!X40</f>
        <v>6.3265212608436218E-3</v>
      </c>
      <c r="Y40" s="611">
        <f>0.7*[5]OFFROADEFs!Y40+0.3*'[5]Tier 4'!$K40</f>
        <v>4.5269732461574119E-2</v>
      </c>
      <c r="Z40" s="611">
        <f>0.7*[5]OFFROADEFs!Z40+0.3*'[5]Tier 4'!$L40</f>
        <v>0.34879653895298601</v>
      </c>
      <c r="AA40" s="611">
        <f>0.7*[5]OFFROADEFs!AA40+0.3*'[5]Tier 4'!$M40</f>
        <v>0.31093958579118414</v>
      </c>
      <c r="AB40" s="611">
        <f>[5]OFFROADEFs!AB40</f>
        <v>8.8025889143317259E-4</v>
      </c>
      <c r="AC40" s="611">
        <f>0.7*[5]OFFROADEFs!AC40+0.3*'[5]Tier 4'!$O40</f>
        <v>2.0343790715759896E-2</v>
      </c>
      <c r="AD40" s="611">
        <f>[5]OFFROADEFs!AD40</f>
        <v>75.040110741903291</v>
      </c>
      <c r="AE40" s="611">
        <f>[5]OFFROADEFs!AE40</f>
        <v>5.8351652717944765E-3</v>
      </c>
      <c r="AF40" s="611">
        <f>0.6*[5]OFFROADEFs!AF40+0.4*'[5]Tier 4'!$K40</f>
        <v>3.6015397598256366E-2</v>
      </c>
      <c r="AG40" s="611">
        <f>0.6*[5]OFFROADEFs!AG40+0.4*'[5]Tier 4'!$L40</f>
        <v>0.29836931325570715</v>
      </c>
      <c r="AH40" s="611">
        <f>0.6*[5]OFFROADEFs!AH40+0.4*'[5]Tier 4'!$M40</f>
        <v>0.24383902297151056</v>
      </c>
      <c r="AI40" s="611">
        <f>[5]OFFROADEFs!AI40</f>
        <v>8.8025902612352011E-4</v>
      </c>
      <c r="AJ40" s="611">
        <f>0.6*[5]OFFROADEFs!AJ40+0.4*'[5]Tier 4'!$O40</f>
        <v>1.500007730265744E-2</v>
      </c>
      <c r="AK40" s="611">
        <f>[5]OFFROADEFs!AK40</f>
        <v>75.040113678471272</v>
      </c>
      <c r="AL40" s="611">
        <f>[5]OFFROADEFs!AL40</f>
        <v>5.4160196010833899E-3</v>
      </c>
      <c r="AM40" s="611">
        <f>0.5*[5]OFFROADEFs!AM40+0.5*'[5]Tier 4'!$K40</f>
        <v>2.7755408215840431E-2</v>
      </c>
      <c r="AN40" s="611">
        <f>0.5*[5]OFFROADEFs!AN40+0.5*'[5]Tier 4'!$L40</f>
        <v>0.24796231387233575</v>
      </c>
      <c r="AO40" s="611">
        <f>0.5*[5]OFFROADEFs!AO40+0.5*'[5]Tier 4'!$M40</f>
        <v>0.1846859064445677</v>
      </c>
      <c r="AP40" s="611">
        <f>[5]OFFROADEFs!AP40</f>
        <v>8.8025877805070977E-4</v>
      </c>
      <c r="AQ40" s="611">
        <f>0.5*[5]OFFROADEFs!AQ40+0.5*'[5]Tier 4'!$O40</f>
        <v>1.0505792858365341E-2</v>
      </c>
      <c r="AR40" s="611">
        <f>[5]OFFROADEFs!AR40</f>
        <v>75.040114179628446</v>
      </c>
      <c r="AS40" s="611">
        <f>[5]OFFROADEFs!AS40</f>
        <v>5.0086515341831389E-3</v>
      </c>
    </row>
    <row r="41" spans="1:45" x14ac:dyDescent="0.25">
      <c r="A41" s="531" t="s">
        <v>581</v>
      </c>
      <c r="B41" s="134">
        <v>85</v>
      </c>
      <c r="C41" s="134">
        <v>0.64</v>
      </c>
      <c r="D41" s="611">
        <f>0.95*[5]OFFROADEFs!D41+0.05*'[5]Tier 4'!$D41</f>
        <v>0.11084933946613457</v>
      </c>
      <c r="E41" s="611">
        <f>0.95*[5]OFFROADEFs!E41+0.05*'[5]Tier 4'!$E41</f>
        <v>0.53639639888157509</v>
      </c>
      <c r="F41" s="611">
        <f>0.95*[5]OFFROADEFs!F41+0.05*'[5]Tier 4'!$F41</f>
        <v>0.70051551631054132</v>
      </c>
      <c r="G41" s="611">
        <f>[5]OFFROADEFs!G41</f>
        <v>9.7528684475001604E-4</v>
      </c>
      <c r="H41" s="611">
        <f>0.95*[5]OFFROADEFs!H41+0.05*'[5]Tier 4'!$H41</f>
        <v>5.9776745478460666E-2</v>
      </c>
      <c r="I41" s="611">
        <f>[5]OFFROADEFs!I41</f>
        <v>83.141017958227678</v>
      </c>
      <c r="J41" s="611">
        <f>[5]OFFROADEFs!J41</f>
        <v>1.0528166694101284E-2</v>
      </c>
      <c r="K41" s="611">
        <f>0.9*[5]OFFROADEFs!K41+0.1*'[5]Tier 4'!$K41</f>
        <v>9.4851060942125434E-2</v>
      </c>
      <c r="L41" s="611">
        <f>0.9*[5]OFFROADEFs!L41+0.1*'[5]Tier 4'!$L41</f>
        <v>0.50342950793672014</v>
      </c>
      <c r="M41" s="611">
        <f>0.9*[5]OFFROADEFs!M41+0.1*'[5]Tier 4'!$M41</f>
        <v>0.60972253474262272</v>
      </c>
      <c r="N41" s="611">
        <f>[5]OFFROADEFs!N41</f>
        <v>9.7528674948548725E-4</v>
      </c>
      <c r="O41" s="611">
        <f>0.9*[5]OFFROADEFs!O41+0.1*'[5]Tier 4'!$O41</f>
        <v>4.9939506907690084E-2</v>
      </c>
      <c r="P41" s="611">
        <f>[5]OFFROADEFs!P41</f>
        <v>83.141015454507183</v>
      </c>
      <c r="Q41" s="611">
        <f>[5]OFFROADEFs!Q41</f>
        <v>9.5091756960655246E-3</v>
      </c>
      <c r="R41" s="611">
        <f>0.8*[5]OFFROADEFs!R41+0.2*'[5]Tier 4'!$K41</f>
        <v>7.5826153300356233E-2</v>
      </c>
      <c r="S41" s="611">
        <f>0.8*[5]OFFROADEFs!S41+0.2*'[5]Tier 4'!$L41</f>
        <v>0.44375898087407628</v>
      </c>
      <c r="T41" s="611">
        <f>0.8*[5]OFFROADEFs!T41+0.2*'[5]Tier 4'!$M41</f>
        <v>0.49678608300382882</v>
      </c>
      <c r="U41" s="611">
        <f>[5]OFFROADEFs!U41</f>
        <v>9.7528678299629553E-4</v>
      </c>
      <c r="V41" s="611">
        <f>0.8*[5]OFFROADEFs!V41+0.2*'[5]Tier 4'!$O41</f>
        <v>3.8692405167157572E-2</v>
      </c>
      <c r="W41" s="611">
        <f>[5]OFFROADEFs!W41</f>
        <v>83.141017825387635</v>
      </c>
      <c r="X41" s="611">
        <f>[5]OFFROADEFs!X41</f>
        <v>8.5520873546339263E-3</v>
      </c>
      <c r="Y41" s="611">
        <f>0.7*[5]OFFROADEFs!Y41+0.3*'[5]Tier 4'!$K41</f>
        <v>5.9457409853908558E-2</v>
      </c>
      <c r="Z41" s="611">
        <f>0.7*[5]OFFROADEFs!Z41+0.3*'[5]Tier 4'!$L41</f>
        <v>0.38543101034526134</v>
      </c>
      <c r="AA41" s="611">
        <f>0.7*[5]OFFROADEFs!AA41+0.3*'[5]Tier 4'!$M41</f>
        <v>0.39754082890721865</v>
      </c>
      <c r="AB41" s="611">
        <f>[5]OFFROADEFs!AB41</f>
        <v>9.7528671938062529E-4</v>
      </c>
      <c r="AC41" s="611">
        <f>0.7*[5]OFFROADEFs!AC41+0.3*'[5]Tier 4'!$O41</f>
        <v>2.913390857110517E-2</v>
      </c>
      <c r="AD41" s="611">
        <f>[5]OFFROADEFs!AD41</f>
        <v>83.141004324038946</v>
      </c>
      <c r="AE41" s="611">
        <f>[5]OFFROADEFs!AE41</f>
        <v>7.6639240715927395E-3</v>
      </c>
      <c r="AF41" s="611">
        <f>0.6*[5]OFFROADEFs!AF41+0.4*'[5]Tier 4'!$K41</f>
        <v>4.5576040394742078E-2</v>
      </c>
      <c r="AG41" s="611">
        <f>0.6*[5]OFFROADEFs!AG41+0.4*'[5]Tier 4'!$L41</f>
        <v>0.32824827075954544</v>
      </c>
      <c r="AH41" s="611">
        <f>0.6*[5]OFFROADEFs!AH41+0.4*'[5]Tier 4'!$M41</f>
        <v>0.31109176828792912</v>
      </c>
      <c r="AI41" s="611">
        <f>[5]OFFROADEFs!AI41</f>
        <v>9.7528667119803597E-4</v>
      </c>
      <c r="AJ41" s="611">
        <f>0.6*[5]OFFROADEFs!AJ41+0.4*'[5]Tier 4'!$O41</f>
        <v>2.1190772691099768E-2</v>
      </c>
      <c r="AK41" s="611">
        <f>[5]OFFROADEFs!AK41</f>
        <v>83.141028835362306</v>
      </c>
      <c r="AL41" s="611">
        <f>[5]OFFROADEFs!AL41</f>
        <v>6.8537558173780112E-3</v>
      </c>
      <c r="AM41" s="611">
        <f>0.5*[5]OFFROADEFs!AM41+0.5*'[5]Tier 4'!$K41</f>
        <v>3.4607101394109781E-2</v>
      </c>
      <c r="AN41" s="611">
        <f>0.5*[5]OFFROADEFs!AN41+0.5*'[5]Tier 4'!$L41</f>
        <v>0.27232245695046259</v>
      </c>
      <c r="AO41" s="611">
        <f>0.5*[5]OFFROADEFs!AO41+0.5*'[5]Tier 4'!$M41</f>
        <v>0.23768172440833774</v>
      </c>
      <c r="AP41" s="611">
        <f>[5]OFFROADEFs!AP41</f>
        <v>9.7528682357528968E-4</v>
      </c>
      <c r="AQ41" s="611">
        <f>0.5*[5]OFFROADEFs!AQ41+0.5*'[5]Tier 4'!$O41</f>
        <v>1.5121270575030933E-2</v>
      </c>
      <c r="AR41" s="611">
        <f>[5]OFFROADEFs!AR41</f>
        <v>83.141037426958448</v>
      </c>
      <c r="AS41" s="611">
        <f>[5]OFFROADEFs!AS41</f>
        <v>6.2450880687081045E-3</v>
      </c>
    </row>
    <row r="42" spans="1:45" x14ac:dyDescent="0.25">
      <c r="A42" s="531" t="s">
        <v>582</v>
      </c>
      <c r="B42" s="134">
        <v>82</v>
      </c>
      <c r="C42" s="134">
        <v>0.53</v>
      </c>
      <c r="D42" s="611">
        <f>0.95*[5]OFFROADEFs!D42+0.05*'[5]Tier 4'!$D42</f>
        <v>9.2034784780492415E-2</v>
      </c>
      <c r="E42" s="611">
        <f>0.95*[5]OFFROADEFs!E42+0.05*'[5]Tier 4'!$E42</f>
        <v>0.36967137363888714</v>
      </c>
      <c r="F42" s="611">
        <f>0.95*[5]OFFROADEFs!F42+0.05*'[5]Tier 4'!$F42</f>
        <v>0.55803466065292617</v>
      </c>
      <c r="G42" s="611">
        <f>[5]OFFROADEFs!G42</f>
        <v>6.3930572383665419E-4</v>
      </c>
      <c r="H42" s="611">
        <f>0.95*[5]OFFROADEFs!H42+0.05*'[5]Tier 4'!$H42</f>
        <v>4.7747622432400182E-2</v>
      </c>
      <c r="I42" s="611">
        <f>[5]OFFROADEFs!I42</f>
        <v>54.49938047051117</v>
      </c>
      <c r="J42" s="611">
        <f>[5]OFFROADEFs!J42</f>
        <v>8.7412099797587687E-3</v>
      </c>
      <c r="K42" s="611">
        <f>0.9*[5]OFFROADEFs!K42+0.1*'[5]Tier 4'!$K42</f>
        <v>8.2080386941678934E-2</v>
      </c>
      <c r="L42" s="611">
        <f>0.9*[5]OFFROADEFs!L42+0.1*'[5]Tier 4'!$L42</f>
        <v>0.34755238019416934</v>
      </c>
      <c r="M42" s="611">
        <f>0.9*[5]OFFROADEFs!M42+0.1*'[5]Tier 4'!$M42</f>
        <v>0.49702386027509227</v>
      </c>
      <c r="N42" s="611">
        <f>[5]OFFROADEFs!N42</f>
        <v>6.3930550374640587E-4</v>
      </c>
      <c r="O42" s="611">
        <f>0.9*[5]OFFROADEFs!O42+0.1*'[5]Tier 4'!$O42</f>
        <v>4.2081520077627707E-2</v>
      </c>
      <c r="P42" s="611">
        <f>[5]OFFROADEFs!P42</f>
        <v>54.499377463768809</v>
      </c>
      <c r="Q42" s="611">
        <f>[5]OFFROADEFs!Q42</f>
        <v>8.228868799522799E-3</v>
      </c>
      <c r="R42" s="611">
        <f>0.8*[5]OFFROADEFs!R42+0.2*'[5]Tier 4'!$K42</f>
        <v>6.8606320588406627E-2</v>
      </c>
      <c r="S42" s="611">
        <f>0.8*[5]OFFROADEFs!S42+0.2*'[5]Tier 4'!$L42</f>
        <v>0.30674200101255639</v>
      </c>
      <c r="T42" s="611">
        <f>0.8*[5]OFFROADEFs!T42+0.2*'[5]Tier 4'!$M42</f>
        <v>0.41499753361640163</v>
      </c>
      <c r="U42" s="611">
        <f>[5]OFFROADEFs!U42</f>
        <v>6.3930561423081124E-4</v>
      </c>
      <c r="V42" s="611">
        <f>0.8*[5]OFFROADEFs!V42+0.2*'[5]Tier 4'!$O42</f>
        <v>3.4674862704033624E-2</v>
      </c>
      <c r="W42" s="611">
        <f>[5]OFFROADEFs!W42</f>
        <v>54.499382176056208</v>
      </c>
      <c r="X42" s="611">
        <f>[5]OFFROADEFs!X42</f>
        <v>7.737797812848589E-3</v>
      </c>
      <c r="Y42" s="611">
        <f>0.7*[5]OFFROADEFs!Y42+0.3*'[5]Tier 4'!$K42</f>
        <v>5.6383575197656861E-2</v>
      </c>
      <c r="Z42" s="611">
        <f>0.7*[5]OFFROADEFs!Z42+0.3*'[5]Tier 4'!$L42</f>
        <v>0.26661086458830779</v>
      </c>
      <c r="AA42" s="611">
        <f>0.7*[5]OFFROADEFs!AA42+0.3*'[5]Tier 4'!$M42</f>
        <v>0.3408173493299605</v>
      </c>
      <c r="AB42" s="611">
        <f>[5]OFFROADEFs!AB42</f>
        <v>6.3930556871242519E-4</v>
      </c>
      <c r="AC42" s="611">
        <f>0.7*[5]OFFROADEFs!AC42+0.3*'[5]Tier 4'!$O42</f>
        <v>2.8022847013195004E-2</v>
      </c>
      <c r="AD42" s="611">
        <f>[5]OFFROADEFs!AD42</f>
        <v>54.499364810665796</v>
      </c>
      <c r="AE42" s="611">
        <f>[5]OFFROADEFs!AE42</f>
        <v>7.2677152639502376E-3</v>
      </c>
      <c r="AF42" s="611">
        <f>0.6*[5]OFFROADEFs!AF42+0.4*'[5]Tier 4'!$K42</f>
        <v>4.5337786557899447E-2</v>
      </c>
      <c r="AG42" s="611">
        <f>0.6*[5]OFFROADEFs!AG42+0.4*'[5]Tier 4'!$L42</f>
        <v>0.22708978765967841</v>
      </c>
      <c r="AH42" s="611">
        <f>0.6*[5]OFFROADEFs!AH42+0.4*'[5]Tier 4'!$M42</f>
        <v>0.27398312522145513</v>
      </c>
      <c r="AI42" s="611">
        <f>[5]OFFROADEFs!AI42</f>
        <v>6.3930547733937176E-4</v>
      </c>
      <c r="AJ42" s="611">
        <f>0.6*[5]OFFROADEFs!AJ42+0.4*'[5]Tier 4'!$O42</f>
        <v>2.2095847482280894E-2</v>
      </c>
      <c r="AK42" s="611">
        <f>[5]OFFROADEFs!AK42</f>
        <v>54.499369831683119</v>
      </c>
      <c r="AL42" s="611">
        <f>[5]OFFROADEFs!AL42</f>
        <v>6.8179254077302184E-3</v>
      </c>
      <c r="AM42" s="611">
        <f>0.5*[5]OFFROADEFs!AM42+0.5*'[5]Tier 4'!$K42</f>
        <v>3.5395780291784404E-2</v>
      </c>
      <c r="AN42" s="611">
        <f>0.5*[5]OFFROADEFs!AN42+0.5*'[5]Tier 4'!$L42</f>
        <v>0.1881208435089857</v>
      </c>
      <c r="AO42" s="611">
        <f>0.5*[5]OFFROADEFs!AO42+0.5*'[5]Tier 4'!$M42</f>
        <v>0.21399890246397232</v>
      </c>
      <c r="AP42" s="611">
        <f>[5]OFFROADEFs!AP42</f>
        <v>6.3930579784994839E-4</v>
      </c>
      <c r="AQ42" s="611">
        <f>0.5*[5]OFFROADEFs!AQ42+0.5*'[5]Tier 4'!$O42</f>
        <v>1.6859643733756421E-2</v>
      </c>
      <c r="AR42" s="611">
        <f>[5]OFFROADEFs!AR42</f>
        <v>54.499384662220642</v>
      </c>
      <c r="AS42" s="611">
        <f>[5]OFFROADEFs!AS42</f>
        <v>6.3874089853107243E-3</v>
      </c>
    </row>
    <row r="43" spans="1:45" x14ac:dyDescent="0.25">
      <c r="A43" s="531" t="s">
        <v>583</v>
      </c>
      <c r="B43" s="134">
        <v>6</v>
      </c>
      <c r="C43" s="134">
        <v>0.82</v>
      </c>
      <c r="D43" s="611">
        <f>[5]OFFROADEFs!D43</f>
        <v>7.1819076358046203E-3</v>
      </c>
      <c r="E43" s="611">
        <f>0.95*[5]OFFROADEFs!E43+0.05*'[5]Tier 4'!$E43</f>
        <v>3.5788414726185346E-2</v>
      </c>
      <c r="F43" s="611">
        <f>0.95*[5]OFFROADEFs!F43+0.05*'[5]Tier 4'!$F43</f>
        <v>4.2727044104310538E-2</v>
      </c>
      <c r="G43" s="611">
        <f>[5]OFFROADEFs!G43</f>
        <v>9.6006650553722128E-5</v>
      </c>
      <c r="H43" s="611">
        <f>0.95*[5]OFFROADEFs!H43+0.05*'[5]Tier 4'!$H43</f>
        <v>1.6695764161062747E-3</v>
      </c>
      <c r="I43" s="611">
        <f>[5]OFFROADEFs!I43</f>
        <v>6.1697435407429388</v>
      </c>
      <c r="J43" s="611">
        <f>[5]OFFROADEFs!J43</f>
        <v>6.4801190876982576E-4</v>
      </c>
      <c r="K43" s="611">
        <f>[5]OFFROADEFs!K43</f>
        <v>7.1819042171482588E-3</v>
      </c>
      <c r="L43" s="611">
        <f>0.9*[5]OFFROADEFs!L43+0.1*'[5]Tier 4'!$L43</f>
        <v>3.3904810265154364E-2</v>
      </c>
      <c r="M43" s="611">
        <f>0.9*[5]OFFROADEFs!M43+0.1*'[5]Tier 4'!$M43</f>
        <v>4.0478237126816231E-2</v>
      </c>
      <c r="N43" s="611">
        <f>[5]OFFROADEFs!N43</f>
        <v>9.6006621553707824E-5</v>
      </c>
      <c r="O43" s="611">
        <f>0.9*[5]OFFROADEFs!O43+0.1*'[5]Tier 4'!$O43</f>
        <v>1.5817036001781303E-3</v>
      </c>
      <c r="P43" s="611">
        <f>[5]OFFROADEFs!P43</f>
        <v>6.1697416835141938</v>
      </c>
      <c r="Q43" s="611">
        <f>[5]OFFROADEFs!Q43</f>
        <v>6.4801176908851194E-4</v>
      </c>
      <c r="R43" s="611">
        <f>[5]OFFROADEFs!R43</f>
        <v>7.1819048828458678E-3</v>
      </c>
      <c r="S43" s="611">
        <f>0.8*[5]OFFROADEFs!S43+0.2*'[5]Tier 4'!$L43</f>
        <v>3.0137608940437211E-2</v>
      </c>
      <c r="T43" s="611">
        <f>0.8*[5]OFFROADEFs!T43+0.2*'[5]Tier 4'!$M43</f>
        <v>3.5980654035912142E-2</v>
      </c>
      <c r="U43" s="611">
        <f>[5]OFFROADEFs!U43</f>
        <v>9.6006613245633624E-5</v>
      </c>
      <c r="V43" s="611">
        <f>0.8*[5]OFFROADEFs!V43+0.2*'[5]Tier 4'!$O43</f>
        <v>1.4059583021690635E-3</v>
      </c>
      <c r="W43" s="611">
        <f>[5]OFFROADEFs!W43</f>
        <v>6.1697403161854645</v>
      </c>
      <c r="X43" s="611">
        <f>[5]OFFROADEFs!X43</f>
        <v>6.4801166902622178E-4</v>
      </c>
      <c r="Y43" s="611">
        <f>[5]OFFROADEFs!Y43</f>
        <v>7.1819060341132114E-3</v>
      </c>
      <c r="Z43" s="611">
        <f>0.7*[5]OFFROADEFs!Z43+0.3*'[5]Tier 4'!$L43</f>
        <v>2.6370407652557094E-2</v>
      </c>
      <c r="AA43" s="611">
        <f>0.7*[5]OFFROADEFs!AA43+0.3*'[5]Tier 4'!$M43</f>
        <v>3.148307528000184E-2</v>
      </c>
      <c r="AB43" s="611">
        <f>[5]OFFROADEFs!AB43</f>
        <v>9.6006633704493857E-5</v>
      </c>
      <c r="AC43" s="611">
        <f>0.7*[5]OFFROADEFs!AC43+0.3*'[5]Tier 4'!$O43</f>
        <v>1.2302139017908251E-3</v>
      </c>
      <c r="AD43" s="611">
        <f>[5]OFFROADEFs!AD43</f>
        <v>6.1697413025986503</v>
      </c>
      <c r="AE43" s="611">
        <f>[5]OFFROADEFs!AE43</f>
        <v>6.4801168714526385E-4</v>
      </c>
      <c r="AF43" s="611">
        <f>[5]OFFROADEFs!AF43</f>
        <v>7.1819059201588169E-3</v>
      </c>
      <c r="AG43" s="611">
        <f>0.6*[5]OFFROADEFs!AG43+0.4*'[5]Tier 4'!$L43</f>
        <v>2.2603207169161983E-2</v>
      </c>
      <c r="AH43" s="611">
        <f>0.6*[5]OFFROADEFs!AH43+0.4*'[5]Tier 4'!$M43</f>
        <v>2.6985495715445749E-2</v>
      </c>
      <c r="AI43" s="611">
        <f>[5]OFFROADEFs!AI43</f>
        <v>9.6006635525263304E-5</v>
      </c>
      <c r="AJ43" s="611">
        <f>0.6*[5]OFFROADEFs!AJ43+0.4*'[5]Tier 4'!$O43</f>
        <v>1.0544689829735199E-3</v>
      </c>
      <c r="AK43" s="611">
        <f>[5]OFFROADEFs!AK43</f>
        <v>6.169742506270067</v>
      </c>
      <c r="AL43" s="611">
        <f>[5]OFFROADEFs!AL43</f>
        <v>6.4801189520347709E-4</v>
      </c>
      <c r="AM43" s="611">
        <f>[5]OFFROADEFs!AM43</f>
        <v>7.1819053326675122E-3</v>
      </c>
      <c r="AN43" s="611">
        <f>0.5*[5]OFFROADEFs!AN43+0.5*'[5]Tier 4'!$L43</f>
        <v>1.883600671847295E-2</v>
      </c>
      <c r="AO43" s="611">
        <f>0.5*[5]OFFROADEFs!AO43+0.5*'[5]Tier 4'!$M43</f>
        <v>2.2487909230273499E-2</v>
      </c>
      <c r="AP43" s="611">
        <f>[5]OFFROADEFs!AP43</f>
        <v>9.6006626585351071E-5</v>
      </c>
      <c r="AQ43" s="611">
        <f>0.5*[5]OFFROADEFs!AQ43+0.5*'[5]Tier 4'!$O43</f>
        <v>8.7872418193087683E-4</v>
      </c>
      <c r="AR43" s="611">
        <f>[5]OFFROADEFs!AR43</f>
        <v>6.1697419807654175</v>
      </c>
      <c r="AS43" s="611">
        <f>[5]OFFROADEFs!AS43</f>
        <v>6.4801175698490281E-4</v>
      </c>
    </row>
    <row r="44" spans="1:45" x14ac:dyDescent="0.25">
      <c r="A44" s="27" t="s">
        <v>589</v>
      </c>
      <c r="B44" s="532">
        <v>235</v>
      </c>
      <c r="C44" s="25">
        <v>0.38</v>
      </c>
      <c r="D44" s="611">
        <f>0.95*[5]OFFROADEFs!D44+0.05*'[5]Tier 4'!$D44</f>
        <v>0.11889503623839508</v>
      </c>
      <c r="E44" s="611">
        <f>0.95*[5]OFFROADEFs!E44+0.05*'[5]Tier 4'!$E44</f>
        <v>0.35167142856684902</v>
      </c>
      <c r="F44" s="611">
        <f>0.95*[5]OFFROADEFs!F44+0.05*'[5]Tier 4'!$F44</f>
        <v>0.93268752730067161</v>
      </c>
      <c r="G44" s="611">
        <f>[5]OFFROADEFs!G44</f>
        <v>1.8739213528134147E-3</v>
      </c>
      <c r="H44" s="611">
        <f>0.95*[5]OFFROADEFs!H44+0.05*'[5]Tier 4'!$H44</f>
        <v>3.1131085931197421E-2</v>
      </c>
      <c r="I44" s="611">
        <f>[5]OFFROADEFs!I44</f>
        <v>166.54539483446186</v>
      </c>
      <c r="J44" s="611">
        <f>[5]OFFROADEFs!J44</f>
        <v>1.1292325418869483E-2</v>
      </c>
      <c r="K44" s="611">
        <f>0.9*[5]OFFROADEFs!K44+0.1*'[5]Tier 4'!$K44</f>
        <v>0.10612998664693185</v>
      </c>
      <c r="L44" s="611">
        <f>0.9*[5]OFFROADEFs!L44+0.1*'[5]Tier 4'!$L44</f>
        <v>0.32860974016937278</v>
      </c>
      <c r="M44" s="611">
        <f>0.9*[5]OFFROADEFs!M44+0.1*'[5]Tier 4'!$M44</f>
        <v>0.78103317854039889</v>
      </c>
      <c r="N44" s="611">
        <f>[5]OFFROADEFs!N44</f>
        <v>1.8739217498104396E-3</v>
      </c>
      <c r="O44" s="611">
        <f>0.9*[5]OFFROADEFs!O44+0.1*'[5]Tier 4'!$O44</f>
        <v>2.6137541066030879E-2</v>
      </c>
      <c r="P44" s="611">
        <f>[5]OFFROADEFs!P44</f>
        <v>166.54541562452522</v>
      </c>
      <c r="Q44" s="611">
        <f>[5]OFFROADEFs!Q44</f>
        <v>1.063993297769634E-2</v>
      </c>
      <c r="R44" s="611">
        <f>0.8*[5]OFFROADEFs!R44+0.2*'[5]Tier 4'!$K44</f>
        <v>8.8702060405851602E-2</v>
      </c>
      <c r="S44" s="611">
        <f>0.8*[5]OFFROADEFs!S44+0.2*'[5]Tier 4'!$L44</f>
        <v>0.28867247535708063</v>
      </c>
      <c r="T44" s="611">
        <f>0.8*[5]OFFROADEFs!T44+0.2*'[5]Tier 4'!$M44</f>
        <v>0.61001654635768587</v>
      </c>
      <c r="U44" s="611">
        <f>[5]OFFROADEFs!U44</f>
        <v>1.8739208211501423E-3</v>
      </c>
      <c r="V44" s="611">
        <f>0.8*[5]OFFROADEFs!V44+0.2*'[5]Tier 4'!$O44</f>
        <v>2.0511592292632112E-2</v>
      </c>
      <c r="W44" s="611">
        <f>[5]OFFROADEFs!W44</f>
        <v>166.54536773790227</v>
      </c>
      <c r="X44" s="611">
        <f>[5]OFFROADEFs!X44</f>
        <v>1.0004303079381925E-2</v>
      </c>
      <c r="Y44" s="611">
        <f>0.7*[5]OFFROADEFs!Y44+0.3*'[5]Tier 4'!$K44</f>
        <v>7.2923722557944368E-2</v>
      </c>
      <c r="Z44" s="611">
        <f>0.7*[5]OFFROADEFs!Z44+0.3*'[5]Tier 4'!$L44</f>
        <v>0.25000813890545631</v>
      </c>
      <c r="AA44" s="611">
        <f>0.7*[5]OFFROADEFs!AA44+0.3*'[5]Tier 4'!$M44</f>
        <v>0.46622660278312661</v>
      </c>
      <c r="AB44" s="611">
        <f>[5]OFFROADEFs!AB44</f>
        <v>1.873921930245647E-3</v>
      </c>
      <c r="AC44" s="611">
        <f>0.7*[5]OFFROADEFs!AC44+0.3*'[5]Tier 4'!$O44</f>
        <v>1.5779646890427757E-2</v>
      </c>
      <c r="AD44" s="611">
        <f>[5]OFFROADEFs!AD44</f>
        <v>166.54543379579488</v>
      </c>
      <c r="AE44" s="611">
        <f>[5]OFFROADEFs!AE44</f>
        <v>9.3996999235005617E-3</v>
      </c>
      <c r="AF44" s="611">
        <f>0.6*[5]OFFROADEFs!AF44+0.4*'[5]Tier 4'!$K44</f>
        <v>5.8875901112003456E-2</v>
      </c>
      <c r="AG44" s="611">
        <f>0.6*[5]OFFROADEFs!AG44+0.4*'[5]Tier 4'!$L44</f>
        <v>0.21242991745628215</v>
      </c>
      <c r="AH44" s="611">
        <f>0.6*[5]OFFROADEFs!AH44+0.4*'[5]Tier 4'!$M44</f>
        <v>0.34783545035683616</v>
      </c>
      <c r="AI44" s="611">
        <f>[5]OFFROADEFs!AI44</f>
        <v>1.8739219985869813E-3</v>
      </c>
      <c r="AJ44" s="611">
        <f>0.6*[5]OFFROADEFs!AJ44+0.4*'[5]Tier 4'!$O44</f>
        <v>1.1859546372009259E-2</v>
      </c>
      <c r="AK44" s="611">
        <f>[5]OFFROADEFs!AK44</f>
        <v>166.54541132463186</v>
      </c>
      <c r="AL44" s="611">
        <f>[5]OFFROADEFs!AL44</f>
        <v>8.8537970071824509E-3</v>
      </c>
      <c r="AM44" s="611">
        <f>0.5*[5]OFFROADEFs!AM44+0.5*'[5]Tier 4'!$K44</f>
        <v>4.6362623056139057E-2</v>
      </c>
      <c r="AN44" s="611">
        <f>0.5*[5]OFFROADEFs!AN44+0.5*'[5]Tier 4'!$L44</f>
        <v>0.17571710955759856</v>
      </c>
      <c r="AO44" s="611">
        <f>0.5*[5]OFFROADEFs!AO44+0.5*'[5]Tier 4'!$M44</f>
        <v>0.25212045194791438</v>
      </c>
      <c r="AP44" s="611">
        <f>[5]OFFROADEFs!AP44</f>
        <v>1.8739212869985323E-3</v>
      </c>
      <c r="AQ44" s="611">
        <f>0.5*[5]OFFROADEFs!AQ44+0.5*'[5]Tier 4'!$O44</f>
        <v>8.6536868893089883E-3</v>
      </c>
      <c r="AR44" s="611">
        <f>[5]OFFROADEFs!AR44</f>
        <v>166.54540745667055</v>
      </c>
      <c r="AS44" s="611">
        <f>[5]OFFROADEFs!AS44</f>
        <v>8.3664496800051249E-3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06"/>
  <sheetViews>
    <sheetView topLeftCell="A28" zoomScale="75" zoomScaleNormal="75" workbookViewId="0">
      <selection activeCell="A106" sqref="A106"/>
    </sheetView>
  </sheetViews>
  <sheetFormatPr defaultRowHeight="13.2" x14ac:dyDescent="0.25"/>
  <cols>
    <col min="1" max="1" width="55.441406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614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256</v>
      </c>
      <c r="B7" s="34">
        <v>2017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137" t="s">
        <v>193</v>
      </c>
      <c r="B8" s="34">
        <v>2017</v>
      </c>
      <c r="C8" s="25">
        <v>350</v>
      </c>
      <c r="D8" s="134">
        <v>0.4</v>
      </c>
      <c r="E8" s="546">
        <f>VLOOKUP($A8,EFROGS!$A$1:$J$44,(IF($B8=2015,4,IF($B8=2016,5,IF($B8=2017,6,IF($B8=2018,7,IF($B8=2019,8,IF($B8=2020,9,0))))))),FALSE)</f>
        <v>0.22145112145961368</v>
      </c>
      <c r="F8" s="546">
        <f>VLOOKUP($A8,EFCOS!$A$1:$J$44,(IF($B8=2015,4,IF($B8=2016,5,IF($B8=2017,6,IF($B8=2018,7,IF($B8=2019,8,IF($B8=2020,9,0))))))),FALSE)</f>
        <v>1.0135898251132514</v>
      </c>
      <c r="G8" s="546">
        <f>VLOOKUP($A8,EFNOXS!$A$1:$J$44,(IF($B8=2015,4,IF($B8=2016,5,IF($B8=2017,6,IF($B8=2018,7,IF($B8=2019,8,IF($B8=2020,9,0))))))),FALSE)</f>
        <v>1.689975064592242</v>
      </c>
      <c r="H8" s="546">
        <f>VLOOKUP($A8,EFSOXS!$A$1:$J$44,(IF($B8=2015,4,IF($B8=2016,5,IF($B8=2017,6,IF($B8=2018,7,IF($B8=2019,8,IF($B8=2020,9,0))))))),FALSE)</f>
        <v>2.5998100409794032E-3</v>
      </c>
      <c r="I8" s="546">
        <f>VLOOKUP($A8,EFPMS!$A$1:$J$44,(IF($B8=2015,4,IF($B8=2016,5,IF($B8=2017,6,IF($B8=2018,7,IF($B8=2019,8,IF($B8=2020,9,0))))))),FALSE)</f>
        <v>6.8853609846035307E-2</v>
      </c>
      <c r="J8" s="536">
        <f t="shared" ref="J8:J13" si="0">0.89*I8</f>
        <v>6.1279712762971422E-2</v>
      </c>
      <c r="K8" s="549">
        <f>VLOOKUP($A8,EFCO2S!$A$1:$J$44,(IF($B8=2015,4,IF($B8=2016,5,IF($B8=2017,6,IF($B8=2018,7,IF($B8=2019,8,IF($B8=2020,9,0))))))),FALSE)</f>
        <v>264.87250666353776</v>
      </c>
      <c r="L8" s="546">
        <f>VLOOKUP($A8,EFCH4S!$A$1:$J$44,(IF($B8=2015,4,IF($B8=2016,5,IF($B8=2017,6,IF($B8=2018,7,IF($B8=2019,8,IF($B8=2020,9,0))))))),FALSE)</f>
        <v>2.4001780874155543E-2</v>
      </c>
      <c r="M8" s="540">
        <f t="shared" ref="M8:M13" si="1">0.095*G8</f>
        <v>0.160547631136263</v>
      </c>
      <c r="N8" s="135">
        <v>1</v>
      </c>
      <c r="O8" s="135">
        <v>4</v>
      </c>
      <c r="P8" s="136">
        <v>22</v>
      </c>
      <c r="Q8" s="39">
        <f t="shared" ref="Q8:Y13" si="2">(E8*$N8*$O8)</f>
        <v>0.88580448583845472</v>
      </c>
      <c r="R8" s="29">
        <f t="shared" si="2"/>
        <v>4.0543593004530054</v>
      </c>
      <c r="S8" s="29">
        <f t="shared" si="2"/>
        <v>6.759900258368968</v>
      </c>
      <c r="T8" s="29">
        <f t="shared" si="2"/>
        <v>1.0399240163917613E-2</v>
      </c>
      <c r="U8" s="29">
        <f t="shared" si="2"/>
        <v>0.27541443938414123</v>
      </c>
      <c r="V8" s="29">
        <f t="shared" si="2"/>
        <v>0.24511885105188569</v>
      </c>
      <c r="W8" s="29">
        <f t="shared" si="2"/>
        <v>1059.4900266541511</v>
      </c>
      <c r="X8" s="29">
        <f t="shared" si="2"/>
        <v>9.6007123496622174E-2</v>
      </c>
      <c r="Y8" s="29">
        <f t="shared" si="2"/>
        <v>0.64219052454505199</v>
      </c>
    </row>
    <row r="9" spans="1:25" s="3" customFormat="1" x14ac:dyDescent="0.25">
      <c r="A9" s="137" t="s">
        <v>196</v>
      </c>
      <c r="B9" s="34">
        <v>2017</v>
      </c>
      <c r="C9" s="25">
        <v>250</v>
      </c>
      <c r="D9" s="134">
        <v>0.48</v>
      </c>
      <c r="E9" s="546">
        <f>VLOOKUP($A9,EFROGS!$A$1:$J$44,(IF($B9=2015,4,IF($B9=2016,5,IF($B9=2017,6,IF($B9=2018,7,IF($B9=2019,8,IF($B9=2020,9,0))))))),FALSE)</f>
        <v>8.4660598997014863E-2</v>
      </c>
      <c r="F9" s="546">
        <f>VLOOKUP($A9,EFCOS!$A$1:$J$44,(IF($B9=2015,4,IF($B9=2016,5,IF($B9=2017,6,IF($B9=2018,7,IF($B9=2019,8,IF($B9=2020,9,0))))))),FALSE)</f>
        <v>0.36219012553465224</v>
      </c>
      <c r="G9" s="546">
        <f>VLOOKUP($A9,EFNOXS!$A$1:$J$44,(IF($B9=2015,4,IF($B9=2016,5,IF($B9=2017,6,IF($B9=2018,7,IF($B9=2019,8,IF($B9=2020,9,0))))))),FALSE)</f>
        <v>0.73535107265427568</v>
      </c>
      <c r="H9" s="546">
        <f>VLOOKUP($A9,EFSOXS!$A$1:$J$44,(IF($B9=2015,4,IF($B9=2016,5,IF($B9=2017,6,IF($B9=2018,7,IF($B9=2019,8,IF($B9=2020,9,0))))))),FALSE)</f>
        <v>1.7225228533016813E-3</v>
      </c>
      <c r="I9" s="546">
        <f>VLOOKUP($A9,EFPMS!$A$1:$J$44,(IF($B9=2015,4,IF($B9=2016,5,IF($B9=2017,6,IF($B9=2018,7,IF($B9=2019,8,IF($B9=2020,9,0))))))),FALSE)</f>
        <v>2.47861712058868E-2</v>
      </c>
      <c r="J9" s="536">
        <f t="shared" si="0"/>
        <v>2.2059692373239251E-2</v>
      </c>
      <c r="K9" s="549">
        <f>VLOOKUP($A9,EFCO2S!$A$1:$J$44,(IF($B9=2015,4,IF($B9=2016,5,IF($B9=2017,6,IF($B9=2018,7,IF($B9=2019,8,IF($B9=2020,9,0))))))),FALSE)</f>
        <v>153.08978374428989</v>
      </c>
      <c r="L9" s="546">
        <f>VLOOKUP($A9,EFCH4S!$A$1:$J$44,(IF($B9=2015,4,IF($B9=2016,5,IF($B9=2017,6,IF($B9=2018,7,IF($B9=2019,8,IF($B9=2020,9,0))))))),FALSE)</f>
        <v>8.8870914540412384E-3</v>
      </c>
      <c r="M9" s="540">
        <f t="shared" si="1"/>
        <v>6.9858351902156196E-2</v>
      </c>
      <c r="N9" s="135">
        <v>1</v>
      </c>
      <c r="O9" s="135">
        <v>4</v>
      </c>
      <c r="P9" s="136">
        <v>22</v>
      </c>
      <c r="Q9" s="39">
        <f t="shared" si="2"/>
        <v>0.33864239598805945</v>
      </c>
      <c r="R9" s="29">
        <f t="shared" si="2"/>
        <v>1.448760502138609</v>
      </c>
      <c r="S9" s="29">
        <f t="shared" si="2"/>
        <v>2.9414042906171027</v>
      </c>
      <c r="T9" s="29">
        <f t="shared" si="2"/>
        <v>6.890091413206725E-3</v>
      </c>
      <c r="U9" s="29">
        <f t="shared" si="2"/>
        <v>9.9144684823547199E-2</v>
      </c>
      <c r="V9" s="29">
        <f t="shared" si="2"/>
        <v>8.8238769492957003E-2</v>
      </c>
      <c r="W9" s="29">
        <f t="shared" si="2"/>
        <v>612.35913497715956</v>
      </c>
      <c r="X9" s="29">
        <f t="shared" si="2"/>
        <v>3.5548365816164954E-2</v>
      </c>
      <c r="Y9" s="29">
        <f t="shared" si="2"/>
        <v>0.27943340760862478</v>
      </c>
    </row>
    <row r="10" spans="1:25" s="3" customFormat="1" x14ac:dyDescent="0.25">
      <c r="A10" s="137" t="s">
        <v>197</v>
      </c>
      <c r="B10" s="34">
        <v>2017</v>
      </c>
      <c r="C10" s="134">
        <v>200</v>
      </c>
      <c r="D10" s="134">
        <v>0.38</v>
      </c>
      <c r="E10" s="546">
        <f>VLOOKUP($A10,EFROGS!$A$1:$J$44,(IF($B10=2015,4,IF($B10=2016,5,IF($B10=2017,6,IF($B10=2018,7,IF($B10=2019,8,IF($B10=2020,9,0))))))),FALSE)</f>
        <v>8.4406642295059356E-2</v>
      </c>
      <c r="F10" s="546">
        <f>VLOOKUP($A10,EFCOS!$A$1:$J$44,(IF($B10=2015,4,IF($B10=2016,5,IF($B10=2017,6,IF($B10=2018,7,IF($B10=2019,8,IF($B10=2020,9,0))))))),FALSE)</f>
        <v>0.33307907265202508</v>
      </c>
      <c r="G10" s="546">
        <f>VLOOKUP($A10,EFNOXS!$A$1:$J$44,(IF($B10=2015,4,IF($B10=2016,5,IF($B10=2017,6,IF($B10=2018,7,IF($B10=2019,8,IF($B10=2020,9,0))))))),FALSE)</f>
        <v>0.64825897359369522</v>
      </c>
      <c r="H10" s="546">
        <f>VLOOKUP($A10,EFSOXS!$A$1:$J$44,(IF($B10=2015,4,IF($B10=2016,5,IF($B10=2017,6,IF($B10=2018,7,IF($B10=2019,8,IF($B10=2020,9,0))))))),FALSE)</f>
        <v>1.6762431040541262E-3</v>
      </c>
      <c r="I10" s="546">
        <f>VLOOKUP($A10,EFPMS!$A$1:$J$44,(IF($B10=2015,4,IF($B10=2016,5,IF($B10=2017,6,IF($B10=2018,7,IF($B10=2019,8,IF($B10=2020,9,0))))))),FALSE)</f>
        <v>2.2210315689099164E-2</v>
      </c>
      <c r="J10" s="536">
        <f t="shared" si="0"/>
        <v>1.9767180963298256E-2</v>
      </c>
      <c r="K10" s="549">
        <f>VLOOKUP($A10,EFCO2S!$A$1:$J$44,(IF($B10=2015,4,IF($B10=2016,5,IF($B10=2017,6,IF($B10=2018,7,IF($B10=2019,8,IF($B10=2020,9,0))))))),FALSE)</f>
        <v>148.97664558315503</v>
      </c>
      <c r="L10" s="546">
        <f>VLOOKUP($A10,EFCH4S!$A$1:$J$44,(IF($B10=2015,4,IF($B10=2016,5,IF($B10=2017,6,IF($B10=2018,7,IF($B10=2019,8,IF($B10=2020,9,0))))))),FALSE)</f>
        <v>9.0185753542049527E-3</v>
      </c>
      <c r="M10" s="540">
        <f t="shared" si="1"/>
        <v>6.1584602491401047E-2</v>
      </c>
      <c r="N10" s="135">
        <v>1</v>
      </c>
      <c r="O10" s="135">
        <v>8</v>
      </c>
      <c r="P10" s="136">
        <v>22</v>
      </c>
      <c r="Q10" s="39">
        <f t="shared" si="2"/>
        <v>0.67525313836047485</v>
      </c>
      <c r="R10" s="29">
        <f t="shared" si="2"/>
        <v>2.6646325812162006</v>
      </c>
      <c r="S10" s="29">
        <f t="shared" si="2"/>
        <v>5.1860717887495618</v>
      </c>
      <c r="T10" s="29">
        <f t="shared" si="2"/>
        <v>1.340994483243301E-2</v>
      </c>
      <c r="U10" s="29">
        <f t="shared" si="2"/>
        <v>0.17768252551279332</v>
      </c>
      <c r="V10" s="29">
        <f t="shared" si="2"/>
        <v>0.15813744770638605</v>
      </c>
      <c r="W10" s="29">
        <f t="shared" si="2"/>
        <v>1191.8131646652403</v>
      </c>
      <c r="X10" s="29">
        <f t="shared" si="2"/>
        <v>7.2148602833639622E-2</v>
      </c>
      <c r="Y10" s="29">
        <f t="shared" si="2"/>
        <v>0.49267681993120838</v>
      </c>
    </row>
    <row r="11" spans="1:25" s="3" customFormat="1" x14ac:dyDescent="0.25">
      <c r="A11" s="137" t="s">
        <v>199</v>
      </c>
      <c r="B11" s="34">
        <v>2017</v>
      </c>
      <c r="C11" s="25">
        <v>175</v>
      </c>
      <c r="D11" s="134">
        <v>0.36</v>
      </c>
      <c r="E11" s="546">
        <f>VLOOKUP($A11,EFROGS!$A$1:$J$44,(IF($B11=2015,4,IF($B11=2016,5,IF($B11=2017,6,IF($B11=2018,7,IF($B11=2019,8,IF($B11=2020,9,0))))))),FALSE)</f>
        <v>9.2806998677456537E-2</v>
      </c>
      <c r="F11" s="546">
        <f>VLOOKUP($A11,EFCOS!$A$1:$J$44,(IF($B11=2015,4,IF($B11=2016,5,IF($B11=2017,6,IF($B11=2018,7,IF($B11=2019,8,IF($B11=2020,9,0))))))),FALSE)</f>
        <v>0.35317864819658679</v>
      </c>
      <c r="G11" s="546">
        <f>VLOOKUP($A11,EFNOXS!$A$1:$J$44,(IF($B11=2015,4,IF($B11=2016,5,IF($B11=2017,6,IF($B11=2018,7,IF($B11=2019,8,IF($B11=2020,9,0))))))),FALSE)</f>
        <v>0.61881284265398218</v>
      </c>
      <c r="H11" s="546">
        <f>VLOOKUP($A11,EFSOXS!$A$1:$J$44,(IF($B11=2015,4,IF($B11=2016,5,IF($B11=2017,6,IF($B11=2018,7,IF($B11=2019,8,IF($B11=2020,9,0))))))),FALSE)</f>
        <v>1.8739208211501423E-3</v>
      </c>
      <c r="I11" s="546">
        <f>VLOOKUP($A11,EFPMS!$A$1:$J$44,(IF($B11=2015,4,IF($B11=2016,5,IF($B11=2017,6,IF($B11=2018,7,IF($B11=2019,8,IF($B11=2020,9,0))))))),FALSE)</f>
        <v>2.0951407107446925E-2</v>
      </c>
      <c r="J11" s="536">
        <f t="shared" si="0"/>
        <v>1.8646752325627763E-2</v>
      </c>
      <c r="K11" s="549">
        <f>VLOOKUP($A11,EFCO2S!$A$1:$J$44,(IF($B11=2015,4,IF($B11=2016,5,IF($B11=2017,6,IF($B11=2018,7,IF($B11=2019,8,IF($B11=2020,9,0))))))),FALSE)</f>
        <v>166.54536773790227</v>
      </c>
      <c r="L11" s="546">
        <f>VLOOKUP($A11,EFCH4S!$A$1:$J$44,(IF($B11=2015,4,IF($B11=2016,5,IF($B11=2017,6,IF($B11=2018,7,IF($B11=2019,8,IF($B11=2020,9,0))))))),FALSE)</f>
        <v>1.0004303079381925E-2</v>
      </c>
      <c r="M11" s="540">
        <f t="shared" si="1"/>
        <v>5.878722005212831E-2</v>
      </c>
      <c r="N11" s="135">
        <v>1</v>
      </c>
      <c r="O11" s="135">
        <v>8</v>
      </c>
      <c r="P11" s="136">
        <v>22</v>
      </c>
      <c r="Q11" s="39">
        <f t="shared" si="2"/>
        <v>0.7424559894196523</v>
      </c>
      <c r="R11" s="29">
        <f t="shared" si="2"/>
        <v>2.8254291855726943</v>
      </c>
      <c r="S11" s="29">
        <f t="shared" si="2"/>
        <v>4.9505027412318574</v>
      </c>
      <c r="T11" s="29">
        <f t="shared" si="2"/>
        <v>1.4991366569201138E-2</v>
      </c>
      <c r="U11" s="29">
        <f t="shared" si="2"/>
        <v>0.1676112568595754</v>
      </c>
      <c r="V11" s="29">
        <f t="shared" si="2"/>
        <v>0.14917401860502211</v>
      </c>
      <c r="W11" s="29">
        <f t="shared" si="2"/>
        <v>1332.3629419032181</v>
      </c>
      <c r="X11" s="29">
        <f t="shared" si="2"/>
        <v>8.0034424635055404E-2</v>
      </c>
      <c r="Y11" s="29">
        <f t="shared" si="2"/>
        <v>0.47029776041702648</v>
      </c>
    </row>
    <row r="12" spans="1:25" s="3" customFormat="1" x14ac:dyDescent="0.25">
      <c r="A12" s="137" t="s">
        <v>200</v>
      </c>
      <c r="B12" s="34">
        <v>2017</v>
      </c>
      <c r="C12" s="25">
        <v>235</v>
      </c>
      <c r="D12" s="134">
        <v>0.38</v>
      </c>
      <c r="E12" s="546">
        <f>VLOOKUP($A12,EFROGS!$A$1:$J$44,(IF($B12=2015,4,IF($B12=2016,5,IF($B12=2017,6,IF($B12=2018,7,IF($B12=2019,8,IF($B12=2020,9,0))))))),FALSE)</f>
        <v>9.421440608486395E-2</v>
      </c>
      <c r="F12" s="546">
        <f>VLOOKUP($A12,EFCOS!$A$1:$J$44,(IF($B12=2015,4,IF($B12=2016,5,IF($B12=2017,6,IF($B12=2018,7,IF($B12=2019,8,IF($B12=2020,9,0))))))),FALSE)</f>
        <v>0.37529505031298893</v>
      </c>
      <c r="G12" s="546">
        <f>VLOOKUP($A12,EFNOXS!$A$1:$J$44,(IF($B12=2015,4,IF($B12=2016,5,IF($B12=2017,6,IF($B12=2018,7,IF($B12=2019,8,IF($B12=2020,9,0))))))),FALSE)</f>
        <v>0.6218287156698552</v>
      </c>
      <c r="H12" s="546">
        <f>VLOOKUP($A12,EFSOXS!$A$1:$J$44,(IF($B12=2015,4,IF($B12=2016,5,IF($B12=2017,6,IF($B12=2018,7,IF($B12=2019,8,IF($B12=2020,9,0))))))),FALSE)</f>
        <v>1.8739208211501423E-3</v>
      </c>
      <c r="I12" s="546">
        <f>VLOOKUP($A12,EFPMS!$A$1:$J$44,(IF($B12=2015,4,IF($B12=2016,5,IF($B12=2017,6,IF($B12=2018,7,IF($B12=2019,8,IF($B12=2020,9,0))))))),FALSE)</f>
        <v>2.1102200758240576E-2</v>
      </c>
      <c r="J12" s="536">
        <f t="shared" si="0"/>
        <v>1.8780958674834113E-2</v>
      </c>
      <c r="K12" s="549">
        <f>VLOOKUP($A12,EFCO2S!$A$1:$J$44,(IF($B12=2015,4,IF($B12=2016,5,IF($B12=2017,6,IF($B12=2018,7,IF($B12=2019,8,IF($B12=2020,9,0))))))),FALSE)</f>
        <v>166.54536773790227</v>
      </c>
      <c r="L12" s="546">
        <f>VLOOKUP($A12,EFCH4S!$A$1:$J$44,(IF($B12=2015,4,IF($B12=2016,5,IF($B12=2017,6,IF($B12=2018,7,IF($B12=2019,8,IF($B12=2020,9,0))))))),FALSE)</f>
        <v>1.0004303079381925E-2</v>
      </c>
      <c r="M12" s="540">
        <f t="shared" si="1"/>
        <v>5.9073727988636242E-2</v>
      </c>
      <c r="N12" s="135">
        <v>1</v>
      </c>
      <c r="O12" s="135">
        <v>4</v>
      </c>
      <c r="P12" s="136">
        <v>22</v>
      </c>
      <c r="Q12" s="39">
        <f t="shared" si="2"/>
        <v>0.3768576243394558</v>
      </c>
      <c r="R12" s="29">
        <f t="shared" si="2"/>
        <v>1.5011802012519557</v>
      </c>
      <c r="S12" s="29">
        <f t="shared" si="2"/>
        <v>2.4873148626794208</v>
      </c>
      <c r="T12" s="29">
        <f t="shared" si="2"/>
        <v>7.4956832846005692E-3</v>
      </c>
      <c r="U12" s="29">
        <f t="shared" si="2"/>
        <v>8.4408803032962304E-2</v>
      </c>
      <c r="V12" s="29">
        <f t="shared" si="2"/>
        <v>7.512383469933645E-2</v>
      </c>
      <c r="W12" s="29">
        <f t="shared" si="2"/>
        <v>666.18147095160907</v>
      </c>
      <c r="X12" s="29">
        <f t="shared" si="2"/>
        <v>4.0017212317527702E-2</v>
      </c>
      <c r="Y12" s="29">
        <f t="shared" si="2"/>
        <v>0.23629491195454497</v>
      </c>
    </row>
    <row r="13" spans="1:25" s="3" customFormat="1" x14ac:dyDescent="0.25">
      <c r="A13" s="137" t="s">
        <v>201</v>
      </c>
      <c r="B13" s="34">
        <v>2017</v>
      </c>
      <c r="C13" s="25">
        <v>300</v>
      </c>
      <c r="D13" s="134">
        <v>0.38</v>
      </c>
      <c r="E13" s="546">
        <f>VLOOKUP($A13,EFROGS!$A$1:$J$44,(IF($B13=2015,4,IF($B13=2016,5,IF($B13=2017,6,IF($B13=2018,7,IF($B13=2019,8,IF($B13=2020,9,0))))))),FALSE)</f>
        <v>0.12026232442156529</v>
      </c>
      <c r="F13" s="546">
        <f>VLOOKUP($A13,EFCOS!$A$1:$J$44,(IF($B13=2015,4,IF($B13=2016,5,IF($B13=2017,6,IF($B13=2018,7,IF($B13=2019,8,IF($B13=2020,9,0))))))),FALSE)</f>
        <v>0.491521125488383</v>
      </c>
      <c r="G13" s="546">
        <f>VLOOKUP($A13,EFNOXS!$A$1:$J$44,(IF($B13=2015,4,IF($B13=2016,5,IF($B13=2017,6,IF($B13=2018,7,IF($B13=2019,8,IF($B13=2020,9,0))))))),FALSE)</f>
        <v>0.73411802534607107</v>
      </c>
      <c r="H13" s="546">
        <f>VLOOKUP($A13,EFSOXS!$A$1:$J$44,(IF($B13=2015,4,IF($B13=2016,5,IF($B13=2017,6,IF($B13=2018,7,IF($B13=2019,8,IF($B13=2020,9,0))))))),FALSE)</f>
        <v>2.2941882966723329E-3</v>
      </c>
      <c r="I13" s="546">
        <f>VLOOKUP($A13,EFPMS!$A$1:$J$44,(IF($B13=2015,4,IF($B13=2016,5,IF($B13=2017,6,IF($B13=2018,7,IF($B13=2019,8,IF($B13=2020,9,0))))))),FALSE)</f>
        <v>2.6581291294641821E-2</v>
      </c>
      <c r="J13" s="536">
        <f t="shared" si="0"/>
        <v>2.365734925223122E-2</v>
      </c>
      <c r="K13" s="549">
        <f>VLOOKUP($A13,EFCO2S!$A$1:$J$44,(IF($B13=2015,4,IF($B13=2016,5,IF($B13=2017,6,IF($B13=2018,7,IF($B13=2019,8,IF($B13=2020,9,0))))))),FALSE)</f>
        <v>233.73535169013226</v>
      </c>
      <c r="L13" s="546">
        <f>VLOOKUP($A13,EFCH4S!$A$1:$J$44,(IF($B13=2015,4,IF($B13=2016,5,IF($B13=2017,6,IF($B13=2018,7,IF($B13=2019,8,IF($B13=2020,9,0))))))),FALSE)</f>
        <v>1.2770166630775929E-2</v>
      </c>
      <c r="M13" s="540">
        <f t="shared" si="1"/>
        <v>6.9741212407876757E-2</v>
      </c>
      <c r="N13" s="135">
        <v>1</v>
      </c>
      <c r="O13" s="135">
        <v>4</v>
      </c>
      <c r="P13" s="136">
        <v>22</v>
      </c>
      <c r="Q13" s="39">
        <f t="shared" si="2"/>
        <v>0.48104929768626115</v>
      </c>
      <c r="R13" s="29">
        <f t="shared" si="2"/>
        <v>1.966084501953532</v>
      </c>
      <c r="S13" s="29">
        <f t="shared" si="2"/>
        <v>2.9364721013842843</v>
      </c>
      <c r="T13" s="29">
        <f t="shared" si="2"/>
        <v>9.1767531866893317E-3</v>
      </c>
      <c r="U13" s="29">
        <f t="shared" si="2"/>
        <v>0.10632516517856729</v>
      </c>
      <c r="V13" s="29">
        <f t="shared" si="2"/>
        <v>9.4629397008924879E-2</v>
      </c>
      <c r="W13" s="29">
        <f t="shared" si="2"/>
        <v>934.94140676052905</v>
      </c>
      <c r="X13" s="29">
        <f t="shared" si="2"/>
        <v>5.1080666523103717E-2</v>
      </c>
      <c r="Y13" s="29">
        <f t="shared" si="2"/>
        <v>0.27896484963150703</v>
      </c>
    </row>
    <row r="14" spans="1:25" s="3" customFormat="1" x14ac:dyDescent="0.25">
      <c r="A14" s="19" t="s">
        <v>38</v>
      </c>
      <c r="B14" s="34"/>
      <c r="C14" s="25"/>
      <c r="D14" s="13"/>
      <c r="E14" s="26"/>
      <c r="F14" s="26"/>
      <c r="G14" s="26"/>
      <c r="H14" s="26"/>
      <c r="I14" s="26"/>
      <c r="J14" s="27"/>
      <c r="K14" s="28"/>
      <c r="L14" s="26"/>
      <c r="M14" s="38"/>
      <c r="N14" s="135"/>
      <c r="O14" s="135"/>
      <c r="P14" s="136"/>
      <c r="Q14" s="138">
        <f>SUM(Q8:Q13)</f>
        <v>3.5000629316323586</v>
      </c>
      <c r="R14" s="138">
        <f t="shared" ref="R14:Y14" si="3">SUM(R8:R13)</f>
        <v>14.460446272585997</v>
      </c>
      <c r="S14" s="138">
        <f t="shared" si="3"/>
        <v>25.261666043031191</v>
      </c>
      <c r="T14" s="138">
        <f t="shared" si="3"/>
        <v>6.2363079450048389E-2</v>
      </c>
      <c r="U14" s="138">
        <f t="shared" si="3"/>
        <v>0.91058687479158673</v>
      </c>
      <c r="V14" s="138">
        <f t="shared" si="3"/>
        <v>0.81042231856451219</v>
      </c>
      <c r="W14" s="138">
        <f t="shared" si="3"/>
        <v>5797.1481459119077</v>
      </c>
      <c r="X14" s="138">
        <f t="shared" si="3"/>
        <v>0.37483639562211357</v>
      </c>
      <c r="Y14" s="138">
        <f t="shared" si="3"/>
        <v>2.3998582740879635</v>
      </c>
    </row>
    <row r="15" spans="1:25" s="3" customFormat="1" x14ac:dyDescent="0.25">
      <c r="A15" s="27"/>
      <c r="B15" s="34"/>
      <c r="C15" s="25"/>
      <c r="D15" s="13"/>
      <c r="E15" s="26"/>
      <c r="F15" s="26"/>
      <c r="G15" s="26"/>
      <c r="H15" s="26"/>
      <c r="I15" s="26"/>
      <c r="J15" s="27"/>
      <c r="K15" s="28"/>
      <c r="L15" s="26"/>
      <c r="M15" s="38"/>
      <c r="N15" s="135"/>
      <c r="O15" s="135"/>
      <c r="P15" s="136"/>
      <c r="Q15" s="39"/>
      <c r="R15" s="29"/>
      <c r="S15" s="29"/>
      <c r="T15" s="29"/>
      <c r="U15" s="29"/>
      <c r="V15" s="29"/>
      <c r="W15" s="29"/>
      <c r="X15" s="29"/>
      <c r="Y15" s="29"/>
    </row>
    <row r="16" spans="1:25" s="3" customFormat="1" x14ac:dyDescent="0.25">
      <c r="A16" s="19" t="s">
        <v>257</v>
      </c>
      <c r="B16" s="34">
        <v>2017</v>
      </c>
      <c r="C16" s="25"/>
      <c r="D16" s="13"/>
      <c r="E16" s="26"/>
      <c r="F16" s="26"/>
      <c r="G16" s="26"/>
      <c r="H16" s="26"/>
      <c r="I16" s="26"/>
      <c r="J16" s="27"/>
      <c r="K16" s="28"/>
      <c r="L16" s="26"/>
      <c r="M16" s="38"/>
      <c r="N16" s="135"/>
      <c r="O16" s="135"/>
      <c r="P16" s="136"/>
      <c r="Q16" s="39"/>
      <c r="R16" s="29"/>
      <c r="S16" s="29"/>
      <c r="T16" s="29"/>
      <c r="U16" s="29"/>
      <c r="V16" s="29"/>
      <c r="W16" s="29"/>
      <c r="X16" s="29"/>
      <c r="Y16" s="29"/>
    </row>
    <row r="17" spans="1:25" s="3" customFormat="1" x14ac:dyDescent="0.25">
      <c r="A17" s="37" t="s">
        <v>157</v>
      </c>
      <c r="B17" s="34">
        <v>2017</v>
      </c>
      <c r="C17" s="25">
        <v>235</v>
      </c>
      <c r="D17" s="134">
        <v>0.38</v>
      </c>
      <c r="E17" s="546">
        <f>VLOOKUP($A17,EFROGS!$A$1:$J$44,(IF($B17=2015,4,IF($B17=2016,5,IF($B17=2017,6,IF($B17=2018,7,IF($B17=2019,8,IF($B17=2020,9,0))))))),FALSE)</f>
        <v>9.421440608486395E-2</v>
      </c>
      <c r="F17" s="546">
        <f>VLOOKUP($A17,EFCOS!$A$1:$J$44,(IF($B17=2015,4,IF($B17=2016,5,IF($B17=2017,6,IF($B17=2018,7,IF($B17=2019,8,IF($B17=2020,9,0))))))),FALSE)</f>
        <v>0.37529505031298893</v>
      </c>
      <c r="G17" s="546">
        <f>VLOOKUP($A17,EFNOXS!$A$1:$J$44,(IF($B17=2015,4,IF($B17=2016,5,IF($B17=2017,6,IF($B17=2018,7,IF($B17=2019,8,IF($B17=2020,9,0))))))),FALSE)</f>
        <v>0.6218287156698552</v>
      </c>
      <c r="H17" s="546">
        <f>VLOOKUP($A17,EFSOXS!$A$1:$J$44,(IF($B17=2015,4,IF($B17=2016,5,IF($B17=2017,6,IF($B17=2018,7,IF($B17=2019,8,IF($B17=2020,9,0))))))),FALSE)</f>
        <v>1.8739208211501423E-3</v>
      </c>
      <c r="I17" s="546">
        <f>VLOOKUP($A17,EFPMS!$A$1:$J$44,(IF($B17=2015,4,IF($B17=2016,5,IF($B17=2017,6,IF($B17=2018,7,IF($B17=2019,8,IF($B17=2020,9,0))))))),FALSE)</f>
        <v>2.1102200758240576E-2</v>
      </c>
      <c r="J17" s="536">
        <f t="shared" ref="J17:J20" si="4">0.89*I17</f>
        <v>1.8780958674834113E-2</v>
      </c>
      <c r="K17" s="549">
        <f>VLOOKUP($A17,EFCO2S!$A$1:$J$44,(IF($B17=2015,4,IF($B17=2016,5,IF($B17=2017,6,IF($B17=2018,7,IF($B17=2019,8,IF($B17=2020,9,0))))))),FALSE)</f>
        <v>166.54536773790227</v>
      </c>
      <c r="L17" s="546">
        <f>VLOOKUP($A17,EFCH4S!$A$1:$J$44,(IF($B17=2015,4,IF($B17=2016,5,IF($B17=2017,6,IF($B17=2018,7,IF($B17=2019,8,IF($B17=2020,9,0))))))),FALSE)</f>
        <v>1.0004303079381925E-2</v>
      </c>
      <c r="M17" s="540">
        <f t="shared" ref="M17:M20" si="5">0.095*G17</f>
        <v>5.9073727988636242E-2</v>
      </c>
      <c r="N17" s="108">
        <v>1</v>
      </c>
      <c r="O17" s="108">
        <v>2</v>
      </c>
      <c r="P17" s="109">
        <f>2*22</f>
        <v>44</v>
      </c>
      <c r="Q17" s="39">
        <f t="shared" ref="Q17:Y20" si="6">(E17*$N17*$O17)</f>
        <v>0.1884288121697279</v>
      </c>
      <c r="R17" s="29">
        <f t="shared" si="6"/>
        <v>0.75059010062597786</v>
      </c>
      <c r="S17" s="29">
        <f t="shared" si="6"/>
        <v>1.2436574313397104</v>
      </c>
      <c r="T17" s="29">
        <f t="shared" si="6"/>
        <v>3.7478416423002846E-3</v>
      </c>
      <c r="U17" s="29">
        <f t="shared" si="6"/>
        <v>4.2204401516481152E-2</v>
      </c>
      <c r="V17" s="29">
        <f t="shared" si="6"/>
        <v>3.7561917349668225E-2</v>
      </c>
      <c r="W17" s="29">
        <f t="shared" si="6"/>
        <v>333.09073547580454</v>
      </c>
      <c r="X17" s="29">
        <f t="shared" si="6"/>
        <v>2.0008606158763851E-2</v>
      </c>
      <c r="Y17" s="29">
        <f t="shared" si="6"/>
        <v>0.11814745597727248</v>
      </c>
    </row>
    <row r="18" spans="1:25" s="3" customFormat="1" x14ac:dyDescent="0.25">
      <c r="A18" s="27" t="s">
        <v>155</v>
      </c>
      <c r="B18" s="34">
        <v>2017</v>
      </c>
      <c r="C18" s="134">
        <v>82</v>
      </c>
      <c r="D18" s="134">
        <v>0.5</v>
      </c>
      <c r="E18" s="546">
        <f>VLOOKUP($A18,EFROGS!$A$1:$J$44,(IF($B18=2015,4,IF($B18=2016,5,IF($B18=2017,6,IF($B18=2018,7,IF($B18=2019,8,IF($B18=2020,9,0))))))),FALSE)</f>
        <v>2.8645728987334414E-2</v>
      </c>
      <c r="F18" s="546">
        <f>VLOOKUP($A18,EFCOS!$A$1:$J$44,(IF($B18=2015,4,IF($B18=2016,5,IF($B18=2017,6,IF($B18=2018,7,IF($B18=2019,8,IF($B18=2020,9,0))))))),FALSE)</f>
        <v>0.44025763525150252</v>
      </c>
      <c r="G18" s="546">
        <f>VLOOKUP($A18,EFNOXS!$A$1:$J$44,(IF($B18=2015,4,IF($B18=2016,5,IF($B18=2017,6,IF($B18=2018,7,IF($B18=2019,8,IF($B18=2020,9,0))))))),FALSE)</f>
        <v>0.24240070469108477</v>
      </c>
      <c r="H18" s="546">
        <f>VLOOKUP($A18,EFSOXS!$A$1:$J$44,(IF($B18=2015,4,IF($B18=2016,5,IF($B18=2017,6,IF($B18=2018,7,IF($B18=2019,8,IF($B18=2020,9,0))))))),FALSE)</f>
        <v>9.0467810829659545E-4</v>
      </c>
      <c r="I18" s="546">
        <f>VLOOKUP($A18,EFPMS!$A$1:$J$44,(IF($B18=2015,4,IF($B18=2016,5,IF($B18=2017,6,IF($B18=2018,7,IF($B18=2019,8,IF($B18=2020,9,0))))))),FALSE)</f>
        <v>7.9062461683871519E-3</v>
      </c>
      <c r="J18" s="536">
        <f t="shared" si="4"/>
        <v>7.036559089864565E-3</v>
      </c>
      <c r="K18" s="549">
        <f>VLOOKUP($A18,EFCO2S!$A$1:$J$44,(IF($B18=2015,4,IF($B18=2016,5,IF($B18=2017,6,IF($B18=2018,7,IF($B18=2019,8,IF($B18=2020,9,0))))))),FALSE)</f>
        <v>77.121776116023071</v>
      </c>
      <c r="L18" s="546">
        <f>VLOOKUP($A18,EFCH4S!$A$1:$J$44,(IF($B18=2015,4,IF($B18=2016,5,IF($B18=2017,6,IF($B18=2018,7,IF($B18=2019,8,IF($B18=2020,9,0))))))),FALSE)</f>
        <v>2.9453779842965266E-3</v>
      </c>
      <c r="M18" s="540">
        <f t="shared" si="5"/>
        <v>2.3028066945653052E-2</v>
      </c>
      <c r="N18" s="108">
        <v>1</v>
      </c>
      <c r="O18" s="108">
        <v>3</v>
      </c>
      <c r="P18" s="109">
        <f>3*22</f>
        <v>66</v>
      </c>
      <c r="Q18" s="39">
        <f t="shared" si="6"/>
        <v>8.593718696200324E-2</v>
      </c>
      <c r="R18" s="29">
        <f t="shared" si="6"/>
        <v>1.3207729057545077</v>
      </c>
      <c r="S18" s="29">
        <f t="shared" si="6"/>
        <v>0.7272021140732543</v>
      </c>
      <c r="T18" s="29">
        <f t="shared" si="6"/>
        <v>2.7140343248897862E-3</v>
      </c>
      <c r="U18" s="29">
        <f t="shared" si="6"/>
        <v>2.3718738505161457E-2</v>
      </c>
      <c r="V18" s="29">
        <f t="shared" si="6"/>
        <v>2.1109677269593695E-2</v>
      </c>
      <c r="W18" s="29">
        <f t="shared" si="6"/>
        <v>231.36532834806923</v>
      </c>
      <c r="X18" s="29">
        <f t="shared" si="6"/>
        <v>8.8361339528895792E-3</v>
      </c>
      <c r="Y18" s="29">
        <f t="shared" si="6"/>
        <v>6.9084200836959153E-2</v>
      </c>
    </row>
    <row r="19" spans="1:25" s="3" customFormat="1" x14ac:dyDescent="0.25">
      <c r="A19" s="37" t="s">
        <v>62</v>
      </c>
      <c r="B19" s="34">
        <v>2017</v>
      </c>
      <c r="C19" s="25">
        <v>85</v>
      </c>
      <c r="D19" s="134">
        <v>0.36</v>
      </c>
      <c r="E19" s="546">
        <f>VLOOKUP($A19,EFROGS!$A$1:$J$44,(IF($B19=2015,4,IF($B19=2016,5,IF($B19=2017,6,IF($B19=2018,7,IF($B19=2019,8,IF($B19=2020,9,0))))))),FALSE)</f>
        <v>5.901623608284385E-2</v>
      </c>
      <c r="F19" s="546">
        <f>VLOOKUP($A19,EFCOS!$A$1:$J$44,(IF($B19=2015,4,IF($B19=2016,5,IF($B19=2017,6,IF($B19=2018,7,IF($B19=2019,8,IF($B19=2020,9,0))))))),FALSE)</f>
        <v>0.37296505549448378</v>
      </c>
      <c r="G19" s="546">
        <f>VLOOKUP($A19,EFNOXS!$A$1:$J$44,(IF($B19=2015,4,IF($B19=2016,5,IF($B19=2017,6,IF($B19=2018,7,IF($B19=2019,8,IF($B19=2020,9,0))))))),FALSE)</f>
        <v>0.36080865524220801</v>
      </c>
      <c r="H19" s="546">
        <f>VLOOKUP($A19,EFSOXS!$A$1:$J$44,(IF($B19=2015,4,IF($B19=2016,5,IF($B19=2017,6,IF($B19=2018,7,IF($B19=2019,8,IF($B19=2020,9,0))))))),FALSE)</f>
        <v>6.9108569734204601E-4</v>
      </c>
      <c r="I19" s="546">
        <f>VLOOKUP($A19,EFPMS!$A$1:$J$44,(IF($B19=2015,4,IF($B19=2016,5,IF($B19=2017,6,IF($B19=2018,7,IF($B19=2019,8,IF($B19=2020,9,0))))))),FALSE)</f>
        <v>2.7850368199284443E-2</v>
      </c>
      <c r="J19" s="536">
        <f t="shared" si="4"/>
        <v>2.4786827697363154E-2</v>
      </c>
      <c r="K19" s="549">
        <f>VLOOKUP($A19,EFCO2S!$A$1:$J$44,(IF($B19=2015,4,IF($B19=2016,5,IF($B19=2017,6,IF($B19=2018,7,IF($B19=2019,8,IF($B19=2020,9,0))))))),FALSE)</f>
        <v>58.91351479134542</v>
      </c>
      <c r="L19" s="546">
        <f>VLOOKUP($A19,EFCH4S!$A$1:$J$44,(IF($B19=2015,4,IF($B19=2016,5,IF($B19=2017,6,IF($B19=2018,7,IF($B19=2019,8,IF($B19=2020,9,0))))))),FALSE)</f>
        <v>6.4431355607304829E-3</v>
      </c>
      <c r="M19" s="540">
        <f t="shared" si="5"/>
        <v>3.4276822248009764E-2</v>
      </c>
      <c r="N19" s="108">
        <v>1</v>
      </c>
      <c r="O19" s="108">
        <v>3</v>
      </c>
      <c r="P19" s="109">
        <f>3*22</f>
        <v>66</v>
      </c>
      <c r="Q19" s="39">
        <f t="shared" si="6"/>
        <v>0.17704870824853156</v>
      </c>
      <c r="R19" s="29">
        <f t="shared" si="6"/>
        <v>1.1188951664834512</v>
      </c>
      <c r="S19" s="29">
        <f t="shared" si="6"/>
        <v>1.082425965726624</v>
      </c>
      <c r="T19" s="29">
        <f t="shared" si="6"/>
        <v>2.0732570920261378E-3</v>
      </c>
      <c r="U19" s="29">
        <f t="shared" si="6"/>
        <v>8.3551104597853337E-2</v>
      </c>
      <c r="V19" s="29">
        <f t="shared" si="6"/>
        <v>7.4360483092089466E-2</v>
      </c>
      <c r="W19" s="29">
        <f t="shared" si="6"/>
        <v>176.74054437403626</v>
      </c>
      <c r="X19" s="29">
        <f t="shared" si="6"/>
        <v>1.932940668219145E-2</v>
      </c>
      <c r="Y19" s="29">
        <f t="shared" si="6"/>
        <v>0.10283046674402929</v>
      </c>
    </row>
    <row r="20" spans="1:25" s="3" customFormat="1" x14ac:dyDescent="0.25">
      <c r="A20" s="37" t="s">
        <v>61</v>
      </c>
      <c r="B20" s="34">
        <v>2017</v>
      </c>
      <c r="C20" s="25">
        <v>235</v>
      </c>
      <c r="D20" s="134">
        <v>0.38</v>
      </c>
      <c r="E20" s="546">
        <f>VLOOKUP($A20,EFROGS!$A$1:$J$44,(IF($B20=2015,4,IF($B20=2016,5,IF($B20=2017,6,IF($B20=2018,7,IF($B20=2019,8,IF($B20=2020,9,0))))))),FALSE)</f>
        <v>9.421440608486395E-2</v>
      </c>
      <c r="F20" s="546">
        <f>VLOOKUP($A20,EFCOS!$A$1:$J$44,(IF($B20=2015,4,IF($B20=2016,5,IF($B20=2017,6,IF($B20=2018,7,IF($B20=2019,8,IF($B20=2020,9,0))))))),FALSE)</f>
        <v>0.37529505031298893</v>
      </c>
      <c r="G20" s="546">
        <f>VLOOKUP($A20,EFNOXS!$A$1:$J$44,(IF($B20=2015,4,IF($B20=2016,5,IF($B20=2017,6,IF($B20=2018,7,IF($B20=2019,8,IF($B20=2020,9,0))))))),FALSE)</f>
        <v>0.6218287156698552</v>
      </c>
      <c r="H20" s="546">
        <f>VLOOKUP($A20,EFSOXS!$A$1:$J$44,(IF($B20=2015,4,IF($B20=2016,5,IF($B20=2017,6,IF($B20=2018,7,IF($B20=2019,8,IF($B20=2020,9,0))))))),FALSE)</f>
        <v>1.8739208211501423E-3</v>
      </c>
      <c r="I20" s="546">
        <f>VLOOKUP($A20,EFPMS!$A$1:$J$44,(IF($B20=2015,4,IF($B20=2016,5,IF($B20=2017,6,IF($B20=2018,7,IF($B20=2019,8,IF($B20=2020,9,0))))))),FALSE)</f>
        <v>2.1102200758240576E-2</v>
      </c>
      <c r="J20" s="536">
        <f t="shared" si="4"/>
        <v>1.8780958674834113E-2</v>
      </c>
      <c r="K20" s="549">
        <f>VLOOKUP($A20,EFCO2S!$A$1:$J$44,(IF($B20=2015,4,IF($B20=2016,5,IF($B20=2017,6,IF($B20=2018,7,IF($B20=2019,8,IF($B20=2020,9,0))))))),FALSE)</f>
        <v>166.54536773790227</v>
      </c>
      <c r="L20" s="546">
        <f>VLOOKUP($A20,EFCH4S!$A$1:$J$44,(IF($B20=2015,4,IF($B20=2016,5,IF($B20=2017,6,IF($B20=2018,7,IF($B20=2019,8,IF($B20=2020,9,0))))))),FALSE)</f>
        <v>1.0004303079381925E-2</v>
      </c>
      <c r="M20" s="540">
        <f t="shared" si="5"/>
        <v>5.9073727988636242E-2</v>
      </c>
      <c r="N20" s="108">
        <v>1</v>
      </c>
      <c r="O20" s="108">
        <v>2</v>
      </c>
      <c r="P20" s="109">
        <f>2*22</f>
        <v>44</v>
      </c>
      <c r="Q20" s="39">
        <f t="shared" si="6"/>
        <v>0.1884288121697279</v>
      </c>
      <c r="R20" s="29">
        <f t="shared" si="6"/>
        <v>0.75059010062597786</v>
      </c>
      <c r="S20" s="29">
        <f t="shared" si="6"/>
        <v>1.2436574313397104</v>
      </c>
      <c r="T20" s="29">
        <f t="shared" si="6"/>
        <v>3.7478416423002846E-3</v>
      </c>
      <c r="U20" s="29">
        <f t="shared" si="6"/>
        <v>4.2204401516481152E-2</v>
      </c>
      <c r="V20" s="29">
        <f t="shared" si="6"/>
        <v>3.7561917349668225E-2</v>
      </c>
      <c r="W20" s="29">
        <f t="shared" si="6"/>
        <v>333.09073547580454</v>
      </c>
      <c r="X20" s="29">
        <f t="shared" si="6"/>
        <v>2.0008606158763851E-2</v>
      </c>
      <c r="Y20" s="29">
        <f t="shared" si="6"/>
        <v>0.11814745597727248</v>
      </c>
    </row>
    <row r="21" spans="1:25" s="3" customFormat="1" x14ac:dyDescent="0.25">
      <c r="A21" s="19" t="s">
        <v>38</v>
      </c>
      <c r="B21" s="34"/>
      <c r="C21" s="25"/>
      <c r="D21" s="13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138">
        <f>SUM(Q17:Q20)</f>
        <v>0.63984351954999052</v>
      </c>
      <c r="R21" s="138">
        <f t="shared" ref="R21:Y21" si="7">SUM(R17:R20)</f>
        <v>3.9408482734899142</v>
      </c>
      <c r="S21" s="138">
        <f t="shared" si="7"/>
        <v>4.2969429424792995</v>
      </c>
      <c r="T21" s="138">
        <f t="shared" si="7"/>
        <v>1.2282974701516493E-2</v>
      </c>
      <c r="U21" s="138">
        <f t="shared" si="7"/>
        <v>0.19167864613597707</v>
      </c>
      <c r="V21" s="138">
        <f t="shared" si="7"/>
        <v>0.17059399506101963</v>
      </c>
      <c r="W21" s="138">
        <f t="shared" si="7"/>
        <v>1074.2873436737145</v>
      </c>
      <c r="X21" s="138">
        <f t="shared" si="7"/>
        <v>6.8182752952608727E-2</v>
      </c>
      <c r="Y21" s="138">
        <f t="shared" si="7"/>
        <v>0.40820957953553344</v>
      </c>
    </row>
    <row r="22" spans="1:25" s="3" customFormat="1" x14ac:dyDescent="0.25">
      <c r="A22" s="27"/>
      <c r="B22" s="34"/>
      <c r="C22" s="25"/>
      <c r="D22" s="13"/>
      <c r="E22" s="26"/>
      <c r="F22" s="26"/>
      <c r="G22" s="26"/>
      <c r="H22" s="26"/>
      <c r="I22" s="26"/>
      <c r="J22" s="27"/>
      <c r="K22" s="28"/>
      <c r="L22" s="26"/>
      <c r="M22" s="38"/>
      <c r="N22" s="135"/>
      <c r="O22" s="135"/>
      <c r="P22" s="136"/>
      <c r="Q22" s="39"/>
      <c r="R22" s="29"/>
      <c r="S22" s="29"/>
      <c r="T22" s="29"/>
      <c r="U22" s="29"/>
      <c r="V22" s="29"/>
      <c r="W22" s="29"/>
      <c r="X22" s="29"/>
      <c r="Y22" s="29"/>
    </row>
    <row r="23" spans="1:25" s="3" customFormat="1" x14ac:dyDescent="0.25">
      <c r="A23" s="19" t="s">
        <v>258</v>
      </c>
      <c r="B23" s="34">
        <v>2017</v>
      </c>
      <c r="C23" s="25"/>
      <c r="D23" s="13"/>
      <c r="E23" s="26"/>
      <c r="F23" s="26"/>
      <c r="G23" s="26"/>
      <c r="H23" s="26"/>
      <c r="I23" s="26"/>
      <c r="J23" s="27"/>
      <c r="K23" s="28"/>
      <c r="L23" s="26"/>
      <c r="M23" s="38"/>
      <c r="N23" s="135"/>
      <c r="O23" s="135"/>
      <c r="P23" s="136"/>
      <c r="Q23" s="39"/>
      <c r="R23" s="29"/>
      <c r="S23" s="29"/>
      <c r="T23" s="29"/>
      <c r="U23" s="29"/>
      <c r="V23" s="29"/>
      <c r="W23" s="29"/>
      <c r="X23" s="29"/>
      <c r="Y23" s="29"/>
    </row>
    <row r="24" spans="1:25" s="3" customFormat="1" x14ac:dyDescent="0.25">
      <c r="A24" s="137" t="s">
        <v>201</v>
      </c>
      <c r="B24" s="34">
        <v>2017</v>
      </c>
      <c r="C24" s="25">
        <v>300</v>
      </c>
      <c r="D24" s="134">
        <v>0.38</v>
      </c>
      <c r="E24" s="546">
        <f>VLOOKUP($A24,EFROGS!$A$1:$J$44,(IF($B24=2015,4,IF($B24=2016,5,IF($B24=2017,6,IF($B24=2018,7,IF($B24=2019,8,IF($B24=2020,9,0))))))),FALSE)</f>
        <v>0.12026232442156529</v>
      </c>
      <c r="F24" s="546">
        <f>VLOOKUP($A24,EFCOS!$A$1:$J$44,(IF($B24=2015,4,IF($B24=2016,5,IF($B24=2017,6,IF($B24=2018,7,IF($B24=2019,8,IF($B24=2020,9,0))))))),FALSE)</f>
        <v>0.491521125488383</v>
      </c>
      <c r="G24" s="546">
        <f>VLOOKUP($A24,EFNOXS!$A$1:$J$44,(IF($B24=2015,4,IF($B24=2016,5,IF($B24=2017,6,IF($B24=2018,7,IF($B24=2019,8,IF($B24=2020,9,0))))))),FALSE)</f>
        <v>0.73411802534607107</v>
      </c>
      <c r="H24" s="546">
        <f>VLOOKUP($A24,EFSOXS!$A$1:$J$44,(IF($B24=2015,4,IF($B24=2016,5,IF($B24=2017,6,IF($B24=2018,7,IF($B24=2019,8,IF($B24=2020,9,0))))))),FALSE)</f>
        <v>2.2941882966723329E-3</v>
      </c>
      <c r="I24" s="546">
        <f>VLOOKUP($A24,EFPMS!$A$1:$J$44,(IF($B24=2015,4,IF($B24=2016,5,IF($B24=2017,6,IF($B24=2018,7,IF($B24=2019,8,IF($B24=2020,9,0))))))),FALSE)</f>
        <v>2.6581291294641821E-2</v>
      </c>
      <c r="J24" s="536">
        <f t="shared" ref="J24:J29" si="8">0.89*I24</f>
        <v>2.365734925223122E-2</v>
      </c>
      <c r="K24" s="549">
        <f>VLOOKUP($A24,EFCO2S!$A$1:$J$44,(IF($B24=2015,4,IF($B24=2016,5,IF($B24=2017,6,IF($B24=2018,7,IF($B24=2019,8,IF($B24=2020,9,0))))))),FALSE)</f>
        <v>233.73535169013226</v>
      </c>
      <c r="L24" s="546">
        <f>VLOOKUP($A24,EFCH4S!$A$1:$J$44,(IF($B24=2015,4,IF($B24=2016,5,IF($B24=2017,6,IF($B24=2018,7,IF($B24=2019,8,IF($B24=2020,9,0))))))),FALSE)</f>
        <v>1.2770166630775929E-2</v>
      </c>
      <c r="M24" s="540">
        <f t="shared" ref="M24:M29" si="9">0.095*G24</f>
        <v>6.9741212407876757E-2</v>
      </c>
      <c r="N24" s="135">
        <v>2</v>
      </c>
      <c r="O24" s="135">
        <v>8</v>
      </c>
      <c r="P24" s="136">
        <f t="shared" ref="P24:P28" si="10">2*22</f>
        <v>44</v>
      </c>
      <c r="Q24" s="39">
        <f t="shared" ref="Q24" si="11">(E24*$N24*$O24)</f>
        <v>1.9241971907450446</v>
      </c>
      <c r="R24" s="29">
        <f t="shared" ref="R24" si="12">(F24*$N24*$O24)</f>
        <v>7.8643380078141281</v>
      </c>
      <c r="S24" s="29">
        <f t="shared" ref="S24" si="13">(G24*$N24*$O24)</f>
        <v>11.745888405537137</v>
      </c>
      <c r="T24" s="29">
        <f t="shared" ref="T24" si="14">(H24*$N24*$O24)</f>
        <v>3.6707012746757327E-2</v>
      </c>
      <c r="U24" s="29">
        <f t="shared" ref="U24" si="15">(I24*$N24*$O24)</f>
        <v>0.42530066071426914</v>
      </c>
      <c r="V24" s="29">
        <f t="shared" ref="V24" si="16">(J24*$N24*$O24)</f>
        <v>0.37851758803569951</v>
      </c>
      <c r="W24" s="29">
        <f t="shared" ref="W24" si="17">(K24*$N24*$O24)</f>
        <v>3739.7656270421162</v>
      </c>
      <c r="X24" s="29">
        <f t="shared" ref="X24" si="18">(L24*$N24*$O24)</f>
        <v>0.20432266609241487</v>
      </c>
      <c r="Y24" s="29">
        <f t="shared" ref="Y24" si="19">(M24*$N24*$O24)</f>
        <v>1.1158593985260281</v>
      </c>
    </row>
    <row r="25" spans="1:25" s="3" customFormat="1" x14ac:dyDescent="0.25">
      <c r="A25" s="175" t="s">
        <v>61</v>
      </c>
      <c r="B25" s="34">
        <v>2017</v>
      </c>
      <c r="C25" s="25">
        <v>235</v>
      </c>
      <c r="D25" s="134">
        <v>0.38</v>
      </c>
      <c r="E25" s="546">
        <f>VLOOKUP($A25,EFROGS!$A$1:$J$44,(IF($B25=2015,4,IF($B25=2016,5,IF($B25=2017,6,IF($B25=2018,7,IF($B25=2019,8,IF($B25=2020,9,0))))))),FALSE)</f>
        <v>9.421440608486395E-2</v>
      </c>
      <c r="F25" s="546">
        <f>VLOOKUP($A25,EFCOS!$A$1:$J$44,(IF($B25=2015,4,IF($B25=2016,5,IF($B25=2017,6,IF($B25=2018,7,IF($B25=2019,8,IF($B25=2020,9,0))))))),FALSE)</f>
        <v>0.37529505031298893</v>
      </c>
      <c r="G25" s="546">
        <f>VLOOKUP($A25,EFNOXS!$A$1:$J$44,(IF($B25=2015,4,IF($B25=2016,5,IF($B25=2017,6,IF($B25=2018,7,IF($B25=2019,8,IF($B25=2020,9,0))))))),FALSE)</f>
        <v>0.6218287156698552</v>
      </c>
      <c r="H25" s="546">
        <f>VLOOKUP($A25,EFSOXS!$A$1:$J$44,(IF($B25=2015,4,IF($B25=2016,5,IF($B25=2017,6,IF($B25=2018,7,IF($B25=2019,8,IF($B25=2020,9,0))))))),FALSE)</f>
        <v>1.8739208211501423E-3</v>
      </c>
      <c r="I25" s="546">
        <f>VLOOKUP($A25,EFPMS!$A$1:$J$44,(IF($B25=2015,4,IF($B25=2016,5,IF($B25=2017,6,IF($B25=2018,7,IF($B25=2019,8,IF($B25=2020,9,0))))))),FALSE)</f>
        <v>2.1102200758240576E-2</v>
      </c>
      <c r="J25" s="536">
        <f t="shared" si="8"/>
        <v>1.8780958674834113E-2</v>
      </c>
      <c r="K25" s="549">
        <f>VLOOKUP($A25,EFCO2S!$A$1:$J$44,(IF($B25=2015,4,IF($B25=2016,5,IF($B25=2017,6,IF($B25=2018,7,IF($B25=2019,8,IF($B25=2020,9,0))))))),FALSE)</f>
        <v>166.54536773790227</v>
      </c>
      <c r="L25" s="546">
        <f>VLOOKUP($A25,EFCH4S!$A$1:$J$44,(IF($B25=2015,4,IF($B25=2016,5,IF($B25=2017,6,IF($B25=2018,7,IF($B25=2019,8,IF($B25=2020,9,0))))))),FALSE)</f>
        <v>1.0004303079381925E-2</v>
      </c>
      <c r="M25" s="540">
        <f t="shared" si="9"/>
        <v>5.9073727988636242E-2</v>
      </c>
      <c r="N25" s="108">
        <v>2</v>
      </c>
      <c r="O25" s="108">
        <v>5</v>
      </c>
      <c r="P25" s="136">
        <f t="shared" si="10"/>
        <v>44</v>
      </c>
      <c r="Q25" s="39">
        <f t="shared" ref="Q25:Y29" si="20">(E25*$N25*$O25)</f>
        <v>0.94214406084863955</v>
      </c>
      <c r="R25" s="29">
        <f t="shared" si="20"/>
        <v>3.7529505031298891</v>
      </c>
      <c r="S25" s="29">
        <f t="shared" si="20"/>
        <v>6.218287156698552</v>
      </c>
      <c r="T25" s="29">
        <f t="shared" si="20"/>
        <v>1.8739208211501424E-2</v>
      </c>
      <c r="U25" s="29">
        <f t="shared" si="20"/>
        <v>0.21102200758240575</v>
      </c>
      <c r="V25" s="29">
        <f t="shared" si="20"/>
        <v>0.18780958674834114</v>
      </c>
      <c r="W25" s="29">
        <f t="shared" si="20"/>
        <v>1665.4536773790228</v>
      </c>
      <c r="X25" s="29">
        <f t="shared" si="20"/>
        <v>0.10004303079381925</v>
      </c>
      <c r="Y25" s="29">
        <f t="shared" si="20"/>
        <v>0.59073727988636238</v>
      </c>
    </row>
    <row r="26" spans="1:25" s="3" customFormat="1" x14ac:dyDescent="0.25">
      <c r="A26" s="27" t="s">
        <v>204</v>
      </c>
      <c r="B26" s="34">
        <v>2017</v>
      </c>
      <c r="C26" s="25">
        <v>75</v>
      </c>
      <c r="D26" s="134">
        <v>0.28999999999999998</v>
      </c>
      <c r="E26" s="546">
        <f>VLOOKUP($A26,EFROGS!$A$1:$J$44,(IF($B26=2015,4,IF($B26=2016,5,IF($B26=2017,6,IF($B26=2018,7,IF($B26=2019,8,IF($B26=2020,9,0))))))),FALSE)</f>
        <v>5.6547868604351598E-2</v>
      </c>
      <c r="F26" s="546">
        <f>VLOOKUP($A26,EFCOS!$A$1:$J$44,(IF($B26=2015,4,IF($B26=2016,5,IF($B26=2017,6,IF($B26=2018,7,IF($B26=2019,8,IF($B26=2020,9,0))))))),FALSE)</f>
        <v>0.31618811642064365</v>
      </c>
      <c r="G26" s="546">
        <f>VLOOKUP($A26,EFNOXS!$A$1:$J$44,(IF($B26=2015,4,IF($B26=2016,5,IF($B26=2017,6,IF($B26=2018,7,IF($B26=2019,8,IF($B26=2020,9,0))))))),FALSE)</f>
        <v>0.33529952431029442</v>
      </c>
      <c r="H26" s="546">
        <f>VLOOKUP($A26,EFSOXS!$A$1:$J$44,(IF($B26=2015,4,IF($B26=2016,5,IF($B26=2017,6,IF($B26=2018,7,IF($B26=2019,8,IF($B26=2020,9,0))))))),FALSE)</f>
        <v>5.8826136417032418E-4</v>
      </c>
      <c r="I26" s="546">
        <f>VLOOKUP($A26,EFPMS!$A$1:$J$44,(IF($B26=2015,4,IF($B26=2016,5,IF($B26=2017,6,IF($B26=2018,7,IF($B26=2019,8,IF($B26=2020,9,0))))))),FALSE)</f>
        <v>2.745818710850171E-2</v>
      </c>
      <c r="J26" s="536">
        <f t="shared" si="8"/>
        <v>2.4437786526566523E-2</v>
      </c>
      <c r="K26" s="549">
        <f>VLOOKUP($A26,EFCO2S!$A$1:$J$44,(IF($B26=2015,4,IF($B26=2016,5,IF($B26=2017,6,IF($B26=2018,7,IF($B26=2019,8,IF($B26=2020,9,0))))))),FALSE)</f>
        <v>50.147965783398881</v>
      </c>
      <c r="L26" s="546">
        <f>VLOOKUP($A26,EFCH4S!$A$1:$J$44,(IF($B26=2015,4,IF($B26=2016,5,IF($B26=2017,6,IF($B26=2018,7,IF($B26=2019,8,IF($B26=2020,9,0))))))),FALSE)</f>
        <v>6.2263543562003903E-3</v>
      </c>
      <c r="M26" s="540">
        <f t="shared" si="9"/>
        <v>3.1853454809477967E-2</v>
      </c>
      <c r="N26" s="108">
        <v>1</v>
      </c>
      <c r="O26" s="108">
        <v>2</v>
      </c>
      <c r="P26" s="136">
        <f t="shared" si="10"/>
        <v>44</v>
      </c>
      <c r="Q26" s="39">
        <f t="shared" si="20"/>
        <v>0.1130957372087032</v>
      </c>
      <c r="R26" s="29">
        <f t="shared" si="20"/>
        <v>0.6323762328412873</v>
      </c>
      <c r="S26" s="29">
        <f t="shared" si="20"/>
        <v>0.67059904862058883</v>
      </c>
      <c r="T26" s="29">
        <f t="shared" si="20"/>
        <v>1.1765227283406484E-3</v>
      </c>
      <c r="U26" s="29">
        <f t="shared" si="20"/>
        <v>5.4916374217003419E-2</v>
      </c>
      <c r="V26" s="29">
        <f t="shared" si="20"/>
        <v>4.8875573053133045E-2</v>
      </c>
      <c r="W26" s="29">
        <f t="shared" si="20"/>
        <v>100.29593156679776</v>
      </c>
      <c r="X26" s="29">
        <f t="shared" si="20"/>
        <v>1.2452708712400781E-2</v>
      </c>
      <c r="Y26" s="29">
        <f t="shared" si="20"/>
        <v>6.3706909618955934E-2</v>
      </c>
    </row>
    <row r="27" spans="1:25" s="3" customFormat="1" x14ac:dyDescent="0.25">
      <c r="A27" s="175" t="s">
        <v>62</v>
      </c>
      <c r="B27" s="34">
        <v>2017</v>
      </c>
      <c r="C27" s="25">
        <v>85</v>
      </c>
      <c r="D27" s="134">
        <v>0.36</v>
      </c>
      <c r="E27" s="546">
        <f>VLOOKUP($A27,EFROGS!$A$1:$J$44,(IF($B27=2015,4,IF($B27=2016,5,IF($B27=2017,6,IF($B27=2018,7,IF($B27=2019,8,IF($B27=2020,9,0))))))),FALSE)</f>
        <v>5.901623608284385E-2</v>
      </c>
      <c r="F27" s="546">
        <f>VLOOKUP($A27,EFCOS!$A$1:$J$44,(IF($B27=2015,4,IF($B27=2016,5,IF($B27=2017,6,IF($B27=2018,7,IF($B27=2019,8,IF($B27=2020,9,0))))))),FALSE)</f>
        <v>0.37296505549448378</v>
      </c>
      <c r="G27" s="546">
        <f>VLOOKUP($A27,EFNOXS!$A$1:$J$44,(IF($B27=2015,4,IF($B27=2016,5,IF($B27=2017,6,IF($B27=2018,7,IF($B27=2019,8,IF($B27=2020,9,0))))))),FALSE)</f>
        <v>0.36080865524220801</v>
      </c>
      <c r="H27" s="546">
        <f>VLOOKUP($A27,EFSOXS!$A$1:$J$44,(IF($B27=2015,4,IF($B27=2016,5,IF($B27=2017,6,IF($B27=2018,7,IF($B27=2019,8,IF($B27=2020,9,0))))))),FALSE)</f>
        <v>6.9108569734204601E-4</v>
      </c>
      <c r="I27" s="546">
        <f>VLOOKUP($A27,EFPMS!$A$1:$J$44,(IF($B27=2015,4,IF($B27=2016,5,IF($B27=2017,6,IF($B27=2018,7,IF($B27=2019,8,IF($B27=2020,9,0))))))),FALSE)</f>
        <v>2.7850368199284443E-2</v>
      </c>
      <c r="J27" s="536">
        <f t="shared" si="8"/>
        <v>2.4786827697363154E-2</v>
      </c>
      <c r="K27" s="549">
        <f>VLOOKUP($A27,EFCO2S!$A$1:$J$44,(IF($B27=2015,4,IF($B27=2016,5,IF($B27=2017,6,IF($B27=2018,7,IF($B27=2019,8,IF($B27=2020,9,0))))))),FALSE)</f>
        <v>58.91351479134542</v>
      </c>
      <c r="L27" s="546">
        <f>VLOOKUP($A27,EFCH4S!$A$1:$J$44,(IF($B27=2015,4,IF($B27=2016,5,IF($B27=2017,6,IF($B27=2018,7,IF($B27=2019,8,IF($B27=2020,9,0))))))),FALSE)</f>
        <v>6.4431355607304829E-3</v>
      </c>
      <c r="M27" s="540">
        <f t="shared" si="9"/>
        <v>3.4276822248009764E-2</v>
      </c>
      <c r="N27" s="108">
        <v>2</v>
      </c>
      <c r="O27" s="108">
        <v>8</v>
      </c>
      <c r="P27" s="136">
        <f t="shared" si="10"/>
        <v>44</v>
      </c>
      <c r="Q27" s="39">
        <f t="shared" si="20"/>
        <v>0.94425977732550159</v>
      </c>
      <c r="R27" s="29">
        <f t="shared" si="20"/>
        <v>5.9674408879117404</v>
      </c>
      <c r="S27" s="29">
        <f t="shared" si="20"/>
        <v>5.7729384838753282</v>
      </c>
      <c r="T27" s="29">
        <f t="shared" si="20"/>
        <v>1.1057371157472736E-2</v>
      </c>
      <c r="U27" s="29">
        <f t="shared" si="20"/>
        <v>0.4456058911885511</v>
      </c>
      <c r="V27" s="29">
        <f t="shared" si="20"/>
        <v>0.39658924315781047</v>
      </c>
      <c r="W27" s="29">
        <f t="shared" si="20"/>
        <v>942.61623666152673</v>
      </c>
      <c r="X27" s="29">
        <f t="shared" si="20"/>
        <v>0.10309016897168773</v>
      </c>
      <c r="Y27" s="29">
        <f t="shared" si="20"/>
        <v>0.54842915596815622</v>
      </c>
    </row>
    <row r="28" spans="1:25" s="3" customFormat="1" x14ac:dyDescent="0.25">
      <c r="A28" s="175" t="s">
        <v>157</v>
      </c>
      <c r="B28" s="34">
        <v>2017</v>
      </c>
      <c r="C28" s="25">
        <v>235</v>
      </c>
      <c r="D28" s="134">
        <v>0.38</v>
      </c>
      <c r="E28" s="546">
        <f>VLOOKUP($A28,EFROGS!$A$1:$J$44,(IF($B28=2015,4,IF($B28=2016,5,IF($B28=2017,6,IF($B28=2018,7,IF($B28=2019,8,IF($B28=2020,9,0))))))),FALSE)</f>
        <v>9.421440608486395E-2</v>
      </c>
      <c r="F28" s="546">
        <f>VLOOKUP($A28,EFCOS!$A$1:$J$44,(IF($B28=2015,4,IF($B28=2016,5,IF($B28=2017,6,IF($B28=2018,7,IF($B28=2019,8,IF($B28=2020,9,0))))))),FALSE)</f>
        <v>0.37529505031298893</v>
      </c>
      <c r="G28" s="546">
        <f>VLOOKUP($A28,EFNOXS!$A$1:$J$44,(IF($B28=2015,4,IF($B28=2016,5,IF($B28=2017,6,IF($B28=2018,7,IF($B28=2019,8,IF($B28=2020,9,0))))))),FALSE)</f>
        <v>0.6218287156698552</v>
      </c>
      <c r="H28" s="546">
        <f>VLOOKUP($A28,EFSOXS!$A$1:$J$44,(IF($B28=2015,4,IF($B28=2016,5,IF($B28=2017,6,IF($B28=2018,7,IF($B28=2019,8,IF($B28=2020,9,0))))))),FALSE)</f>
        <v>1.8739208211501423E-3</v>
      </c>
      <c r="I28" s="546">
        <f>VLOOKUP($A28,EFPMS!$A$1:$J$44,(IF($B28=2015,4,IF($B28=2016,5,IF($B28=2017,6,IF($B28=2018,7,IF($B28=2019,8,IF($B28=2020,9,0))))))),FALSE)</f>
        <v>2.1102200758240576E-2</v>
      </c>
      <c r="J28" s="536">
        <f t="shared" si="8"/>
        <v>1.8780958674834113E-2</v>
      </c>
      <c r="K28" s="549">
        <f>VLOOKUP($A28,EFCO2S!$A$1:$J$44,(IF($B28=2015,4,IF($B28=2016,5,IF($B28=2017,6,IF($B28=2018,7,IF($B28=2019,8,IF($B28=2020,9,0))))))),FALSE)</f>
        <v>166.54536773790227</v>
      </c>
      <c r="L28" s="546">
        <f>VLOOKUP($A28,EFCH4S!$A$1:$J$44,(IF($B28=2015,4,IF($B28=2016,5,IF($B28=2017,6,IF($B28=2018,7,IF($B28=2019,8,IF($B28=2020,9,0))))))),FALSE)</f>
        <v>1.0004303079381925E-2</v>
      </c>
      <c r="M28" s="540">
        <f t="shared" si="9"/>
        <v>5.9073727988636242E-2</v>
      </c>
      <c r="N28" s="108">
        <v>2</v>
      </c>
      <c r="O28" s="108">
        <v>2</v>
      </c>
      <c r="P28" s="136">
        <f t="shared" si="10"/>
        <v>44</v>
      </c>
      <c r="Q28" s="39">
        <f t="shared" si="20"/>
        <v>0.3768576243394558</v>
      </c>
      <c r="R28" s="29">
        <f t="shared" si="20"/>
        <v>1.5011802012519557</v>
      </c>
      <c r="S28" s="29">
        <f t="shared" si="20"/>
        <v>2.4873148626794208</v>
      </c>
      <c r="T28" s="29">
        <f t="shared" si="20"/>
        <v>7.4956832846005692E-3</v>
      </c>
      <c r="U28" s="29">
        <f t="shared" si="20"/>
        <v>8.4408803032962304E-2</v>
      </c>
      <c r="V28" s="29">
        <f t="shared" si="20"/>
        <v>7.512383469933645E-2</v>
      </c>
      <c r="W28" s="29">
        <f t="shared" si="20"/>
        <v>666.18147095160907</v>
      </c>
      <c r="X28" s="29">
        <f t="shared" si="20"/>
        <v>4.0017212317527702E-2</v>
      </c>
      <c r="Y28" s="29">
        <f t="shared" si="20"/>
        <v>0.23629491195454497</v>
      </c>
    </row>
    <row r="29" spans="1:25" s="3" customFormat="1" x14ac:dyDescent="0.25">
      <c r="A29" s="137" t="s">
        <v>196</v>
      </c>
      <c r="B29" s="34">
        <v>2017</v>
      </c>
      <c r="C29" s="25">
        <v>250</v>
      </c>
      <c r="D29" s="134">
        <v>0.38</v>
      </c>
      <c r="E29" s="546">
        <f>VLOOKUP($A29,EFROGS!$A$1:$J$44,(IF($B29=2015,4,IF($B29=2016,5,IF($B29=2017,6,IF($B29=2018,7,IF($B29=2019,8,IF($B29=2020,9,0))))))),FALSE)</f>
        <v>8.4660598997014863E-2</v>
      </c>
      <c r="F29" s="546">
        <f>VLOOKUP($A29,EFCOS!$A$1:$J$44,(IF($B29=2015,4,IF($B29=2016,5,IF($B29=2017,6,IF($B29=2018,7,IF($B29=2019,8,IF($B29=2020,9,0))))))),FALSE)</f>
        <v>0.36219012553465224</v>
      </c>
      <c r="G29" s="546">
        <f>VLOOKUP($A29,EFNOXS!$A$1:$J$44,(IF($B29=2015,4,IF($B29=2016,5,IF($B29=2017,6,IF($B29=2018,7,IF($B29=2019,8,IF($B29=2020,9,0))))))),FALSE)</f>
        <v>0.73535107265427568</v>
      </c>
      <c r="H29" s="546">
        <f>VLOOKUP($A29,EFSOXS!$A$1:$J$44,(IF($B29=2015,4,IF($B29=2016,5,IF($B29=2017,6,IF($B29=2018,7,IF($B29=2019,8,IF($B29=2020,9,0))))))),FALSE)</f>
        <v>1.7225228533016813E-3</v>
      </c>
      <c r="I29" s="546">
        <f>VLOOKUP($A29,EFPMS!$A$1:$J$44,(IF($B29=2015,4,IF($B29=2016,5,IF($B29=2017,6,IF($B29=2018,7,IF($B29=2019,8,IF($B29=2020,9,0))))))),FALSE)</f>
        <v>2.47861712058868E-2</v>
      </c>
      <c r="J29" s="536">
        <f t="shared" si="8"/>
        <v>2.2059692373239251E-2</v>
      </c>
      <c r="K29" s="549">
        <f>VLOOKUP($A29,EFCO2S!$A$1:$J$44,(IF($B29=2015,4,IF($B29=2016,5,IF($B29=2017,6,IF($B29=2018,7,IF($B29=2019,8,IF($B29=2020,9,0))))))),FALSE)</f>
        <v>153.08978374428989</v>
      </c>
      <c r="L29" s="546">
        <f>VLOOKUP($A29,EFCH4S!$A$1:$J$44,(IF($B29=2015,4,IF($B29=2016,5,IF($B29=2017,6,IF($B29=2018,7,IF($B29=2019,8,IF($B29=2020,9,0))))))),FALSE)</f>
        <v>8.8870914540412384E-3</v>
      </c>
      <c r="M29" s="540">
        <f t="shared" si="9"/>
        <v>6.9858351902156196E-2</v>
      </c>
      <c r="N29" s="135">
        <v>1</v>
      </c>
      <c r="O29" s="135">
        <v>2</v>
      </c>
      <c r="P29" s="136">
        <f>2*22</f>
        <v>44</v>
      </c>
      <c r="Q29" s="39">
        <f t="shared" si="20"/>
        <v>0.16932119799402973</v>
      </c>
      <c r="R29" s="29">
        <f t="shared" si="20"/>
        <v>0.72438025106930448</v>
      </c>
      <c r="S29" s="29">
        <f t="shared" si="20"/>
        <v>1.4707021453085514</v>
      </c>
      <c r="T29" s="29">
        <f t="shared" si="20"/>
        <v>3.4450457066033625E-3</v>
      </c>
      <c r="U29" s="29">
        <f t="shared" si="20"/>
        <v>4.95723424117736E-2</v>
      </c>
      <c r="V29" s="29">
        <f t="shared" si="20"/>
        <v>4.4119384746478502E-2</v>
      </c>
      <c r="W29" s="29">
        <f t="shared" si="20"/>
        <v>306.17956748857978</v>
      </c>
      <c r="X29" s="29">
        <f t="shared" si="20"/>
        <v>1.7774182908082477E-2</v>
      </c>
      <c r="Y29" s="29">
        <f t="shared" si="20"/>
        <v>0.13971670380431239</v>
      </c>
    </row>
    <row r="30" spans="1:25" s="3" customFormat="1" x14ac:dyDescent="0.25">
      <c r="A30" s="19" t="s">
        <v>38</v>
      </c>
      <c r="B30" s="34"/>
      <c r="C30" s="25"/>
      <c r="D30" s="134"/>
      <c r="E30" s="26"/>
      <c r="F30" s="26"/>
      <c r="G30" s="26"/>
      <c r="H30" s="26"/>
      <c r="I30" s="26"/>
      <c r="J30" s="27"/>
      <c r="K30" s="28"/>
      <c r="L30" s="26"/>
      <c r="M30" s="38"/>
      <c r="N30" s="135"/>
      <c r="O30" s="135"/>
      <c r="P30" s="136"/>
      <c r="Q30" s="138">
        <f t="shared" ref="Q30:Y30" si="21">SUM(Q25:Q29)</f>
        <v>2.5456783977163298</v>
      </c>
      <c r="R30" s="138">
        <f t="shared" si="21"/>
        <v>12.578328076204176</v>
      </c>
      <c r="S30" s="138">
        <f t="shared" si="21"/>
        <v>16.619841697182441</v>
      </c>
      <c r="T30" s="138">
        <f t="shared" si="21"/>
        <v>4.191383108851874E-2</v>
      </c>
      <c r="U30" s="138">
        <f t="shared" si="21"/>
        <v>0.84552541843269602</v>
      </c>
      <c r="V30" s="138">
        <f t="shared" si="21"/>
        <v>0.75251762240509967</v>
      </c>
      <c r="W30" s="138">
        <f t="shared" si="21"/>
        <v>3680.7268840475363</v>
      </c>
      <c r="X30" s="138">
        <f t="shared" si="21"/>
        <v>0.27337730370351793</v>
      </c>
      <c r="Y30" s="138">
        <f t="shared" si="21"/>
        <v>1.5788849612323319</v>
      </c>
    </row>
    <row r="31" spans="1:25" s="3" customFormat="1" x14ac:dyDescent="0.25">
      <c r="A31" s="27"/>
      <c r="B31" s="34"/>
      <c r="C31" s="25"/>
      <c r="D31" s="134"/>
      <c r="E31" s="26"/>
      <c r="F31" s="26"/>
      <c r="G31" s="26"/>
      <c r="H31" s="26"/>
      <c r="I31" s="26"/>
      <c r="J31" s="27"/>
      <c r="K31" s="28"/>
      <c r="L31" s="26"/>
      <c r="M31" s="38"/>
      <c r="N31" s="135"/>
      <c r="O31" s="135"/>
      <c r="P31" s="136"/>
      <c r="Q31" s="39"/>
      <c r="R31" s="29"/>
      <c r="S31" s="29"/>
      <c r="T31" s="29"/>
      <c r="U31" s="29"/>
      <c r="V31" s="29"/>
      <c r="W31" s="29"/>
      <c r="X31" s="29"/>
      <c r="Y31" s="29"/>
    </row>
    <row r="32" spans="1:25" s="3" customFormat="1" x14ac:dyDescent="0.25">
      <c r="A32" s="19" t="s">
        <v>259</v>
      </c>
      <c r="B32" s="34">
        <v>2017</v>
      </c>
      <c r="C32" s="25"/>
      <c r="D32" s="25"/>
      <c r="E32" s="26"/>
      <c r="F32" s="26"/>
      <c r="G32" s="26"/>
      <c r="H32" s="26"/>
      <c r="I32" s="26"/>
      <c r="J32" s="27"/>
      <c r="K32" s="28"/>
      <c r="L32" s="26"/>
      <c r="M32" s="38"/>
      <c r="N32" s="135"/>
      <c r="O32" s="135"/>
      <c r="P32" s="136"/>
      <c r="Q32" s="39"/>
      <c r="R32" s="29"/>
      <c r="S32" s="29"/>
      <c r="T32" s="29"/>
      <c r="U32" s="29"/>
      <c r="V32" s="29"/>
      <c r="W32" s="29"/>
      <c r="X32" s="29"/>
      <c r="Y32" s="29"/>
    </row>
    <row r="33" spans="1:25" s="3" customFormat="1" x14ac:dyDescent="0.25">
      <c r="A33" s="27" t="s">
        <v>205</v>
      </c>
      <c r="B33" s="34">
        <v>2017</v>
      </c>
      <c r="C33" s="25">
        <v>235</v>
      </c>
      <c r="D33" s="25">
        <v>0.38</v>
      </c>
      <c r="E33" s="546">
        <f>VLOOKUP($A33,EFROGS!$A$1:$J$44,(IF($B33=2015,4,IF($B33=2016,5,IF($B33=2017,6,IF($B33=2018,7,IF($B33=2019,8,IF($B33=2020,9,0))))))),FALSE)</f>
        <v>9.421440608486395E-2</v>
      </c>
      <c r="F33" s="546">
        <f>VLOOKUP($A33,EFCOS!$A$1:$J$44,(IF($B33=2015,4,IF($B33=2016,5,IF($B33=2017,6,IF($B33=2018,7,IF($B33=2019,8,IF($B33=2020,9,0))))))),FALSE)</f>
        <v>0.37529505031298893</v>
      </c>
      <c r="G33" s="546">
        <f>VLOOKUP($A33,EFNOXS!$A$1:$J$44,(IF($B33=2015,4,IF($B33=2016,5,IF($B33=2017,6,IF($B33=2018,7,IF($B33=2019,8,IF($B33=2020,9,0))))))),FALSE)</f>
        <v>0.6218287156698552</v>
      </c>
      <c r="H33" s="546">
        <f>VLOOKUP($A33,EFSOXS!$A$1:$J$44,(IF($B33=2015,4,IF($B33=2016,5,IF($B33=2017,6,IF($B33=2018,7,IF($B33=2019,8,IF($B33=2020,9,0))))))),FALSE)</f>
        <v>1.8739208211501423E-3</v>
      </c>
      <c r="I33" s="546">
        <f>VLOOKUP($A33,EFPMS!$A$1:$J$44,(IF($B33=2015,4,IF($B33=2016,5,IF($B33=2017,6,IF($B33=2018,7,IF($B33=2019,8,IF($B33=2020,9,0))))))),FALSE)</f>
        <v>2.1102200758240576E-2</v>
      </c>
      <c r="J33" s="536">
        <f t="shared" ref="J33:J36" si="22">0.89*I33</f>
        <v>1.8780958674834113E-2</v>
      </c>
      <c r="K33" s="549">
        <f>VLOOKUP($A33,EFCO2S!$A$1:$J$44,(IF($B33=2015,4,IF($B33=2016,5,IF($B33=2017,6,IF($B33=2018,7,IF($B33=2019,8,IF($B33=2020,9,0))))))),FALSE)</f>
        <v>166.54536773790227</v>
      </c>
      <c r="L33" s="546">
        <f>VLOOKUP($A33,EFCH4S!$A$1:$J$44,(IF($B33=2015,4,IF($B33=2016,5,IF($B33=2017,6,IF($B33=2018,7,IF($B33=2019,8,IF($B33=2020,9,0))))))),FALSE)</f>
        <v>1.0004303079381925E-2</v>
      </c>
      <c r="M33" s="540">
        <f t="shared" ref="M33:M36" si="23">0.095*G33</f>
        <v>5.9073727988636242E-2</v>
      </c>
      <c r="N33" s="135">
        <v>1</v>
      </c>
      <c r="O33" s="135">
        <v>2</v>
      </c>
      <c r="P33" s="109">
        <f>0.5*22</f>
        <v>11</v>
      </c>
      <c r="Q33" s="39">
        <f t="shared" ref="Q33:Y36" si="24">(E33*$N33*$O33)</f>
        <v>0.1884288121697279</v>
      </c>
      <c r="R33" s="29">
        <f t="shared" si="24"/>
        <v>0.75059010062597786</v>
      </c>
      <c r="S33" s="29">
        <f t="shared" si="24"/>
        <v>1.2436574313397104</v>
      </c>
      <c r="T33" s="29">
        <f t="shared" si="24"/>
        <v>3.7478416423002846E-3</v>
      </c>
      <c r="U33" s="29">
        <f t="shared" si="24"/>
        <v>4.2204401516481152E-2</v>
      </c>
      <c r="V33" s="29">
        <f t="shared" si="24"/>
        <v>3.7561917349668225E-2</v>
      </c>
      <c r="W33" s="29">
        <f t="shared" si="24"/>
        <v>333.09073547580454</v>
      </c>
      <c r="X33" s="29">
        <f t="shared" si="24"/>
        <v>2.0008606158763851E-2</v>
      </c>
      <c r="Y33" s="29">
        <f t="shared" si="24"/>
        <v>0.11814745597727248</v>
      </c>
    </row>
    <row r="34" spans="1:25" s="3" customFormat="1" x14ac:dyDescent="0.25">
      <c r="A34" s="27" t="s">
        <v>202</v>
      </c>
      <c r="B34" s="34">
        <v>2017</v>
      </c>
      <c r="C34" s="25">
        <v>399</v>
      </c>
      <c r="D34" s="25">
        <v>0.28999999999999998</v>
      </c>
      <c r="E34" s="546">
        <f>VLOOKUP($A34,EFROGS!$A$1:$J$44,(IF($B34=2015,4,IF($B34=2016,5,IF($B34=2017,6,IF($B34=2018,7,IF($B34=2019,8,IF($B34=2020,9,0))))))),FALSE)</f>
        <v>0.10810494153261915</v>
      </c>
      <c r="F34" s="546">
        <f>VLOOKUP($A34,EFCOS!$A$1:$J$44,(IF($B34=2015,4,IF($B34=2016,5,IF($B34=2017,6,IF($B34=2018,7,IF($B34=2019,8,IF($B34=2020,9,0))))))),FALSE)</f>
        <v>0.45165133700519433</v>
      </c>
      <c r="G34" s="546">
        <f>VLOOKUP($A34,EFNOXS!$A$1:$J$44,(IF($B34=2015,4,IF($B34=2016,5,IF($B34=2017,6,IF($B34=2018,7,IF($B34=2019,8,IF($B34=2020,9,0))))))),FALSE)</f>
        <v>0.7915966097530136</v>
      </c>
      <c r="H34" s="546">
        <f>VLOOKUP($A34,EFSOXS!$A$1:$J$44,(IF($B34=2015,4,IF($B34=2016,5,IF($B34=2017,6,IF($B34=2018,7,IF($B34=2019,8,IF($B34=2020,9,0))))))),FALSE)</f>
        <v>1.7677528907548289E-3</v>
      </c>
      <c r="I34" s="546">
        <f>VLOOKUP($A34,EFPMS!$A$1:$J$44,(IF($B34=2015,4,IF($B34=2016,5,IF($B34=2017,6,IF($B34=2018,7,IF($B34=2019,8,IF($B34=2020,9,0))))))),FALSE)</f>
        <v>2.8846164608865917E-2</v>
      </c>
      <c r="J34" s="536">
        <f t="shared" si="22"/>
        <v>2.5673086501890666E-2</v>
      </c>
      <c r="K34" s="549">
        <f>VLOOKUP($A34,EFCO2S!$A$1:$J$44,(IF($B34=2015,4,IF($B34=2016,5,IF($B34=2017,6,IF($B34=2018,7,IF($B34=2019,8,IF($B34=2020,9,0))))))),FALSE)</f>
        <v>180.101275871506</v>
      </c>
      <c r="L34" s="546">
        <f>VLOOKUP($A34,EFCH4S!$A$1:$J$44,(IF($B34=2015,4,IF($B34=2016,5,IF($B34=2017,6,IF($B34=2018,7,IF($B34=2019,8,IF($B34=2020,9,0))))))),FALSE)</f>
        <v>1.1387086879682689E-2</v>
      </c>
      <c r="M34" s="540">
        <f t="shared" si="23"/>
        <v>7.5201677926536287E-2</v>
      </c>
      <c r="N34" s="108">
        <v>1</v>
      </c>
      <c r="O34" s="108">
        <v>4</v>
      </c>
      <c r="P34" s="109">
        <f t="shared" ref="P34:P36" si="25">0.5*22</f>
        <v>11</v>
      </c>
      <c r="Q34" s="39">
        <f t="shared" si="24"/>
        <v>0.43241976613047661</v>
      </c>
      <c r="R34" s="29">
        <f t="shared" si="24"/>
        <v>1.8066053480207773</v>
      </c>
      <c r="S34" s="29">
        <f t="shared" si="24"/>
        <v>3.1663864390120544</v>
      </c>
      <c r="T34" s="29">
        <f t="shared" si="24"/>
        <v>7.0710115630193155E-3</v>
      </c>
      <c r="U34" s="29">
        <f t="shared" si="24"/>
        <v>0.11538465843546367</v>
      </c>
      <c r="V34" s="29">
        <f t="shared" si="24"/>
        <v>0.10269234600756266</v>
      </c>
      <c r="W34" s="29">
        <f t="shared" si="24"/>
        <v>720.40510348602402</v>
      </c>
      <c r="X34" s="29">
        <f t="shared" si="24"/>
        <v>4.5548347518730756E-2</v>
      </c>
      <c r="Y34" s="29">
        <f t="shared" si="24"/>
        <v>0.30080671170614515</v>
      </c>
    </row>
    <row r="35" spans="1:25" s="3" customFormat="1" x14ac:dyDescent="0.25">
      <c r="A35" s="27" t="s">
        <v>163</v>
      </c>
      <c r="B35" s="34">
        <v>2017</v>
      </c>
      <c r="C35" s="25">
        <v>75</v>
      </c>
      <c r="D35" s="25">
        <v>0.31</v>
      </c>
      <c r="E35" s="546">
        <f>VLOOKUP($A35,EFROGS!$A$1:$J$44,(IF($B35=2015,4,IF($B35=2016,5,IF($B35=2017,6,IF($B35=2018,7,IF($B35=2019,8,IF($B35=2020,9,0))))))),FALSE)</f>
        <v>3.0893954987389453E-2</v>
      </c>
      <c r="F35" s="546">
        <f>VLOOKUP($A35,EFCOS!$A$1:$J$44,(IF($B35=2015,4,IF($B35=2016,5,IF($B35=2017,6,IF($B35=2018,7,IF($B35=2019,8,IF($B35=2020,9,0))))))),FALSE)</f>
        <v>0.22482241351057566</v>
      </c>
      <c r="G35" s="546">
        <f>VLOOKUP($A35,EFNOXS!$A$1:$J$44,(IF($B35=2015,4,IF($B35=2016,5,IF($B35=2017,6,IF($B35=2018,7,IF($B35=2019,8,IF($B35=2020,9,0))))))),FALSE)</f>
        <v>0.22603586731633477</v>
      </c>
      <c r="H35" s="546">
        <f>VLOOKUP($A35,EFSOXS!$A$1:$J$44,(IF($B35=2015,4,IF($B35=2016,5,IF($B35=2017,6,IF($B35=2018,7,IF($B35=2019,8,IF($B35=2020,9,0))))))),FALSE)</f>
        <v>4.4660191069222039E-4</v>
      </c>
      <c r="I35" s="546">
        <f>VLOOKUP($A35,EFPMS!$A$1:$J$44,(IF($B35=2015,4,IF($B35=2016,5,IF($B35=2017,6,IF($B35=2018,7,IF($B35=2019,8,IF($B35=2020,9,0))))))),FALSE)</f>
        <v>1.5650220264446981E-2</v>
      </c>
      <c r="J35" s="536">
        <f t="shared" si="22"/>
        <v>1.3928696035357813E-2</v>
      </c>
      <c r="K35" s="549">
        <f>VLOOKUP($A35,EFCO2S!$A$1:$J$44,(IF($B35=2015,4,IF($B35=2016,5,IF($B35=2017,6,IF($B35=2018,7,IF($B35=2019,8,IF($B35=2020,9,0))))))),FALSE)</f>
        <v>38.071819829304054</v>
      </c>
      <c r="L35" s="546">
        <f>VLOOKUP($A35,EFCH4S!$A$1:$J$44,(IF($B35=2015,4,IF($B35=2016,5,IF($B35=2017,6,IF($B35=2018,7,IF($B35=2019,8,IF($B35=2020,9,0))))))),FALSE)</f>
        <v>3.3225215947608622E-3</v>
      </c>
      <c r="M35" s="540">
        <f t="shared" si="23"/>
        <v>2.1473407395051804E-2</v>
      </c>
      <c r="N35" s="108">
        <v>2</v>
      </c>
      <c r="O35" s="108">
        <v>8</v>
      </c>
      <c r="P35" s="109">
        <f t="shared" si="25"/>
        <v>11</v>
      </c>
      <c r="Q35" s="39">
        <f t="shared" si="24"/>
        <v>0.49430327979823124</v>
      </c>
      <c r="R35" s="29">
        <f t="shared" si="24"/>
        <v>3.5971586161692106</v>
      </c>
      <c r="S35" s="29">
        <f t="shared" si="24"/>
        <v>3.6165738770613562</v>
      </c>
      <c r="T35" s="29">
        <f t="shared" si="24"/>
        <v>7.1456305710755263E-3</v>
      </c>
      <c r="U35" s="29">
        <f t="shared" si="24"/>
        <v>0.2504035242311517</v>
      </c>
      <c r="V35" s="29">
        <f t="shared" si="24"/>
        <v>0.22285913656572501</v>
      </c>
      <c r="W35" s="29">
        <f t="shared" si="24"/>
        <v>609.14911726886487</v>
      </c>
      <c r="X35" s="29">
        <f t="shared" si="24"/>
        <v>5.3160345516173796E-2</v>
      </c>
      <c r="Y35" s="29">
        <f t="shared" si="24"/>
        <v>0.34357451832082886</v>
      </c>
    </row>
    <row r="36" spans="1:25" s="3" customFormat="1" x14ac:dyDescent="0.25">
      <c r="A36" s="27" t="s">
        <v>192</v>
      </c>
      <c r="B36" s="34">
        <v>2017</v>
      </c>
      <c r="C36" s="25">
        <v>45</v>
      </c>
      <c r="D36" s="25">
        <v>1</v>
      </c>
      <c r="E36" s="546">
        <f>VLOOKUP($A36,EFROGS!$A$1:$J$44,(IF($B36=2015,4,IF($B36=2016,5,IF($B36=2017,6,IF($B36=2018,7,IF($B36=2019,8,IF($B36=2020,9,0))))))),FALSE)</f>
        <v>4.7254984778210878E-2</v>
      </c>
      <c r="F36" s="546">
        <f>VLOOKUP($A36,EFCOS!$A$1:$J$44,(IF($B36=2015,4,IF($B36=2016,5,IF($B36=2017,6,IF($B36=2018,7,IF($B36=2019,8,IF($B36=2020,9,0))))))),FALSE)</f>
        <v>0.25807532276457046</v>
      </c>
      <c r="G36" s="546">
        <f>VLOOKUP($A36,EFNOXS!$A$1:$J$44,(IF($B36=2015,4,IF($B36=2016,5,IF($B36=2017,6,IF($B36=2018,7,IF($B36=2019,8,IF($B36=2020,9,0))))))),FALSE)</f>
        <v>0.22252555428648887</v>
      </c>
      <c r="H36" s="546">
        <f>VLOOKUP($A36,EFSOXS!$A$1:$J$44,(IF($B36=2015,4,IF($B36=2016,5,IF($B36=2017,6,IF($B36=2018,7,IF($B36=2019,8,IF($B36=2020,9,0))))))),FALSE)</f>
        <v>2.8791182684222128E-4</v>
      </c>
      <c r="I36" s="546">
        <f>VLOOKUP($A36,EFPMS!$A$1:$J$44,(IF($B36=2015,4,IF($B36=2016,5,IF($B36=2017,6,IF($B36=2018,7,IF($B36=2019,8,IF($B36=2020,9,0))))))),FALSE)</f>
        <v>1.2197200319964813E-2</v>
      </c>
      <c r="J36" s="536">
        <f t="shared" si="22"/>
        <v>1.0855508284768684E-2</v>
      </c>
      <c r="K36" s="549">
        <f>VLOOKUP($A36,EFCO2S!$A$1:$J$44,(IF($B36=2015,4,IF($B36=2016,5,IF($B36=2017,6,IF($B36=2018,7,IF($B36=2019,8,IF($B36=2020,9,0))))))),FALSE)</f>
        <v>22.271263489608529</v>
      </c>
      <c r="L36" s="546">
        <f>VLOOKUP($A36,EFCH4S!$A$1:$J$44,(IF($B36=2015,4,IF($B36=2016,5,IF($B36=2017,6,IF($B36=2018,7,IF($B36=2019,8,IF($B36=2020,9,0))))))),FALSE)</f>
        <v>5.3296756081269462E-3</v>
      </c>
      <c r="M36" s="540">
        <f t="shared" si="23"/>
        <v>2.1139927657216444E-2</v>
      </c>
      <c r="N36" s="135">
        <v>3</v>
      </c>
      <c r="O36" s="135">
        <v>8</v>
      </c>
      <c r="P36" s="109">
        <f t="shared" si="25"/>
        <v>11</v>
      </c>
      <c r="Q36" s="39">
        <f t="shared" si="24"/>
        <v>1.134119634677061</v>
      </c>
      <c r="R36" s="29">
        <f t="shared" si="24"/>
        <v>6.193807746349691</v>
      </c>
      <c r="S36" s="29">
        <f t="shared" si="24"/>
        <v>5.3406133028757328</v>
      </c>
      <c r="T36" s="29">
        <f t="shared" si="24"/>
        <v>6.9098838442133107E-3</v>
      </c>
      <c r="U36" s="29">
        <f t="shared" si="24"/>
        <v>0.29273280767915555</v>
      </c>
      <c r="V36" s="29">
        <f t="shared" si="24"/>
        <v>0.26053219883444845</v>
      </c>
      <c r="W36" s="29">
        <f t="shared" si="24"/>
        <v>534.5103237506047</v>
      </c>
      <c r="X36" s="29">
        <f t="shared" si="24"/>
        <v>0.1279122145950467</v>
      </c>
      <c r="Y36" s="29">
        <f t="shared" si="24"/>
        <v>0.5073582637731946</v>
      </c>
    </row>
    <row r="37" spans="1:25" s="3" customFormat="1" x14ac:dyDescent="0.25">
      <c r="A37" s="19" t="s">
        <v>38</v>
      </c>
      <c r="B37" s="34"/>
      <c r="C37" s="25"/>
      <c r="D37" s="25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138">
        <f>SUM(Q33:Q36)</f>
        <v>2.2492714927754967</v>
      </c>
      <c r="R37" s="138">
        <f t="shared" ref="R37:Y37" si="26">SUM(R33:R36)</f>
        <v>12.348161811165657</v>
      </c>
      <c r="S37" s="138">
        <f t="shared" si="26"/>
        <v>13.367231050288854</v>
      </c>
      <c r="T37" s="138">
        <f t="shared" si="26"/>
        <v>2.4874367620608434E-2</v>
      </c>
      <c r="U37" s="138">
        <f t="shared" si="26"/>
        <v>0.70072539186225202</v>
      </c>
      <c r="V37" s="138">
        <f t="shared" si="26"/>
        <v>0.62364559875740433</v>
      </c>
      <c r="W37" s="138">
        <f t="shared" si="26"/>
        <v>2197.155279981298</v>
      </c>
      <c r="X37" s="138">
        <f t="shared" si="26"/>
        <v>0.24662951378871512</v>
      </c>
      <c r="Y37" s="138">
        <f t="shared" si="26"/>
        <v>1.2698869497774412</v>
      </c>
    </row>
    <row r="38" spans="1:25" s="3" customFormat="1" x14ac:dyDescent="0.25">
      <c r="A38" s="19" t="s">
        <v>633</v>
      </c>
      <c r="B38" s="34"/>
      <c r="C38" s="25"/>
      <c r="D38" s="25"/>
      <c r="E38" s="26"/>
      <c r="F38" s="26"/>
      <c r="G38" s="26"/>
      <c r="H38" s="26"/>
      <c r="I38" s="26"/>
      <c r="J38" s="27"/>
      <c r="K38" s="28"/>
      <c r="L38" s="26"/>
      <c r="M38" s="38"/>
      <c r="N38" s="135"/>
      <c r="O38" s="135"/>
      <c r="P38" s="136"/>
      <c r="Q38" s="138">
        <f>Q14+Q21+Q30+Q37</f>
        <v>8.9348563416741751</v>
      </c>
      <c r="R38" s="138">
        <f t="shared" ref="R38:Y38" si="27">R14+R21+R30+R37</f>
        <v>43.327784433445743</v>
      </c>
      <c r="S38" s="138">
        <f t="shared" si="27"/>
        <v>59.545681732981777</v>
      </c>
      <c r="T38" s="138">
        <f t="shared" si="27"/>
        <v>0.14143425286069206</v>
      </c>
      <c r="U38" s="138">
        <f t="shared" si="27"/>
        <v>2.6485163312225115</v>
      </c>
      <c r="V38" s="138">
        <f t="shared" si="27"/>
        <v>2.357179534788036</v>
      </c>
      <c r="W38" s="138">
        <f t="shared" si="27"/>
        <v>12749.317653614457</v>
      </c>
      <c r="X38" s="138">
        <f t="shared" si="27"/>
        <v>0.96302596606695534</v>
      </c>
      <c r="Y38" s="138">
        <f t="shared" si="27"/>
        <v>5.6568397646332702</v>
      </c>
    </row>
    <row r="39" spans="1:25" s="3" customFormat="1" x14ac:dyDescent="0.25">
      <c r="A39" s="27"/>
      <c r="B39" s="34"/>
      <c r="C39" s="25"/>
      <c r="D39" s="25"/>
      <c r="E39" s="26"/>
      <c r="F39" s="26"/>
      <c r="G39" s="26"/>
      <c r="H39" s="26"/>
      <c r="I39" s="26"/>
      <c r="J39" s="27"/>
      <c r="K39" s="28"/>
      <c r="L39" s="26"/>
      <c r="M39" s="38"/>
      <c r="N39" s="135"/>
      <c r="O39" s="135"/>
      <c r="P39" s="136"/>
      <c r="Q39" s="39"/>
      <c r="R39" s="29"/>
      <c r="S39" s="29"/>
      <c r="T39" s="29"/>
      <c r="U39" s="29"/>
      <c r="V39" s="29"/>
      <c r="W39" s="29"/>
      <c r="X39" s="29"/>
      <c r="Y39" s="29"/>
    </row>
    <row r="40" spans="1:25" s="3" customFormat="1" x14ac:dyDescent="0.25">
      <c r="A40" s="19" t="s">
        <v>260</v>
      </c>
      <c r="B40" s="34">
        <v>2018</v>
      </c>
      <c r="C40" s="25"/>
      <c r="D40" s="25"/>
      <c r="E40" s="26"/>
      <c r="F40" s="26"/>
      <c r="G40" s="26"/>
      <c r="H40" s="26"/>
      <c r="I40" s="26"/>
      <c r="J40" s="27"/>
      <c r="K40" s="28"/>
      <c r="L40" s="26"/>
      <c r="M40" s="38"/>
      <c r="N40" s="135"/>
      <c r="O40" s="135"/>
      <c r="P40" s="136"/>
      <c r="Q40" s="39"/>
      <c r="R40" s="29"/>
      <c r="S40" s="29"/>
      <c r="T40" s="29"/>
      <c r="U40" s="29"/>
      <c r="V40" s="29"/>
      <c r="W40" s="29"/>
      <c r="X40" s="29"/>
      <c r="Y40" s="29"/>
    </row>
    <row r="41" spans="1:25" s="3" customFormat="1" x14ac:dyDescent="0.25">
      <c r="A41" s="27" t="s">
        <v>163</v>
      </c>
      <c r="B41" s="34">
        <v>2018</v>
      </c>
      <c r="C41" s="25">
        <v>75</v>
      </c>
      <c r="D41" s="25">
        <v>0.31</v>
      </c>
      <c r="E41" s="546">
        <f>VLOOKUP($A41,EFROGS!$A$1:$J$44,(IF($B41=2015,4,IF($B41=2016,5,IF($B41=2017,6,IF($B41=2018,7,IF($B41=2019,8,IF($B41=2020,9,0))))))),FALSE)</f>
        <v>2.503304302758573E-2</v>
      </c>
      <c r="F41" s="546">
        <f>VLOOKUP($A41,EFCOS!$A$1:$J$44,(IF($B41=2015,4,IF($B41=2016,5,IF($B41=2017,6,IF($B41=2018,7,IF($B41=2019,8,IF($B41=2020,9,0))))))),FALSE)</f>
        <v>0.21923257911050123</v>
      </c>
      <c r="G41" s="546">
        <f>VLOOKUP($A41,EFNOXS!$A$1:$J$44,(IF($B41=2015,4,IF($B41=2016,5,IF($B41=2017,6,IF($B41=2018,7,IF($B41=2019,8,IF($B41=2020,9,0))))))),FALSE)</f>
        <v>0.18418335618414555</v>
      </c>
      <c r="H41" s="546">
        <f>VLOOKUP($A41,EFSOXS!$A$1:$J$44,(IF($B41=2015,4,IF($B41=2016,5,IF($B41=2017,6,IF($B41=2018,7,IF($B41=2019,8,IF($B41=2020,9,0))))))),FALSE)</f>
        <v>4.466019753080203E-4</v>
      </c>
      <c r="I41" s="546">
        <f>VLOOKUP($A41,EFPMS!$A$1:$J$44,(IF($B41=2015,4,IF($B41=2016,5,IF($B41=2017,6,IF($B41=2018,7,IF($B41=2019,8,IF($B41=2020,9,0))))))),FALSE)</f>
        <v>1.2096076420543793E-2</v>
      </c>
      <c r="J41" s="536">
        <f t="shared" ref="J41:J44" si="28">0.89*I41</f>
        <v>1.0765508014283977E-2</v>
      </c>
      <c r="K41" s="549">
        <f>VLOOKUP($A41,EFCO2S!$A$1:$J$44,(IF($B41=2015,4,IF($B41=2016,5,IF($B41=2017,6,IF($B41=2018,7,IF($B41=2019,8,IF($B41=2020,9,0))))))),FALSE)</f>
        <v>38.071830204285249</v>
      </c>
      <c r="L41" s="546">
        <f>VLOOKUP($A41,EFCH4S!$A$1:$J$44,(IF($B41=2015,4,IF($B41=2016,5,IF($B41=2017,6,IF($B41=2018,7,IF($B41=2019,8,IF($B41=2020,9,0))))))),FALSE)</f>
        <v>2.9492141591912126E-3</v>
      </c>
      <c r="M41" s="540">
        <f t="shared" ref="M41:M44" si="29">0.095*G41</f>
        <v>1.7497418837493828E-2</v>
      </c>
      <c r="N41" s="108">
        <v>4</v>
      </c>
      <c r="O41" s="108">
        <v>6</v>
      </c>
      <c r="P41" s="109">
        <f>2*22</f>
        <v>44</v>
      </c>
      <c r="Q41" s="39">
        <f t="shared" ref="Q41:Y44" si="30">(E41*$N41*$O41)</f>
        <v>0.60079303266205752</v>
      </c>
      <c r="R41" s="29">
        <f t="shared" si="30"/>
        <v>5.2615818986520297</v>
      </c>
      <c r="S41" s="29">
        <f t="shared" si="30"/>
        <v>4.4204005484194937</v>
      </c>
      <c r="T41" s="29">
        <f t="shared" si="30"/>
        <v>1.0718447407392487E-2</v>
      </c>
      <c r="U41" s="29">
        <f t="shared" si="30"/>
        <v>0.29030583409305105</v>
      </c>
      <c r="V41" s="29">
        <f t="shared" si="30"/>
        <v>0.25837219234281544</v>
      </c>
      <c r="W41" s="29">
        <f t="shared" si="30"/>
        <v>913.72392490284597</v>
      </c>
      <c r="X41" s="29">
        <f t="shared" si="30"/>
        <v>7.0781139820589103E-2</v>
      </c>
      <c r="Y41" s="29">
        <f t="shared" si="30"/>
        <v>0.41993805209985191</v>
      </c>
    </row>
    <row r="42" spans="1:25" s="3" customFormat="1" x14ac:dyDescent="0.25">
      <c r="A42" s="27" t="s">
        <v>206</v>
      </c>
      <c r="B42" s="34">
        <v>2018</v>
      </c>
      <c r="C42" s="25">
        <v>300</v>
      </c>
      <c r="D42" s="25">
        <v>0.42</v>
      </c>
      <c r="E42" s="546">
        <f>VLOOKUP($A42,EFROGS!$A$1:$J$44,(IF($B42=2015,4,IF($B42=2016,5,IF($B42=2017,6,IF($B42=2018,7,IF($B42=2019,8,IF($B42=2020,9,0))))))),FALSE)</f>
        <v>9.0225805917190885E-2</v>
      </c>
      <c r="F42" s="546">
        <f>VLOOKUP($A42,EFCOS!$A$1:$J$44,(IF($B42=2015,4,IF($B42=2016,5,IF($B42=2017,6,IF($B42=2018,7,IF($B42=2019,8,IF($B42=2020,9,0))))))),FALSE)</f>
        <v>0.51534614373640708</v>
      </c>
      <c r="G42" s="546">
        <f>VLOOKUP($A42,EFNOXS!$A$1:$J$44,(IF($B42=2015,4,IF($B42=2016,5,IF($B42=2017,6,IF($B42=2018,7,IF($B42=2019,8,IF($B42=2020,9,0))))))),FALSE)</f>
        <v>0.58526223609575434</v>
      </c>
      <c r="H42" s="546">
        <f>VLOOKUP($A42,EFSOXS!$A$1:$J$44,(IF($B42=2015,4,IF($B42=2016,5,IF($B42=2017,6,IF($B42=2018,7,IF($B42=2019,8,IF($B42=2020,9,0))))))),FALSE)</f>
        <v>2.4954338651265763E-3</v>
      </c>
      <c r="I42" s="546">
        <f>VLOOKUP($A42,EFPMS!$A$1:$J$44,(IF($B42=2015,4,IF($B42=2016,5,IF($B42=2017,6,IF($B42=2018,7,IF($B42=2019,8,IF($B42=2020,9,0))))))),FALSE)</f>
        <v>2.0522530022613474E-2</v>
      </c>
      <c r="J42" s="536">
        <f t="shared" si="28"/>
        <v>1.8265051720125991E-2</v>
      </c>
      <c r="K42" s="549">
        <f>VLOOKUP($A42,EFCO2S!$A$1:$J$44,(IF($B42=2015,4,IF($B42=2016,5,IF($B42=2017,6,IF($B42=2018,7,IF($B42=2019,8,IF($B42=2020,9,0))))))),FALSE)</f>
        <v>254.23847108919361</v>
      </c>
      <c r="L42" s="546">
        <f>VLOOKUP($A42,EFCH4S!$A$1:$J$44,(IF($B42=2015,4,IF($B42=2016,5,IF($B42=2017,6,IF($B42=2018,7,IF($B42=2019,8,IF($B42=2020,9,0))))))),FALSE)</f>
        <v>1.0126092850486785E-2</v>
      </c>
      <c r="M42" s="540">
        <f t="shared" si="29"/>
        <v>5.5599912429096662E-2</v>
      </c>
      <c r="N42" s="135">
        <v>2</v>
      </c>
      <c r="O42" s="135">
        <v>4</v>
      </c>
      <c r="P42" s="109">
        <f t="shared" ref="P42:P44" si="31">2*22</f>
        <v>44</v>
      </c>
      <c r="Q42" s="39">
        <f t="shared" si="30"/>
        <v>0.72180644733752708</v>
      </c>
      <c r="R42" s="29">
        <f t="shared" si="30"/>
        <v>4.1227691498912566</v>
      </c>
      <c r="S42" s="29">
        <f t="shared" si="30"/>
        <v>4.6820978887660347</v>
      </c>
      <c r="T42" s="29">
        <f t="shared" si="30"/>
        <v>1.996347092101261E-2</v>
      </c>
      <c r="U42" s="29">
        <f t="shared" si="30"/>
        <v>0.16418024018090779</v>
      </c>
      <c r="V42" s="29">
        <f t="shared" si="30"/>
        <v>0.14612041376100793</v>
      </c>
      <c r="W42" s="29">
        <f t="shared" si="30"/>
        <v>2033.9077687135489</v>
      </c>
      <c r="X42" s="29">
        <f t="shared" si="30"/>
        <v>8.1008742803894279E-2</v>
      </c>
      <c r="Y42" s="29">
        <f t="shared" si="30"/>
        <v>0.4447992994327733</v>
      </c>
    </row>
    <row r="43" spans="1:25" s="3" customFormat="1" x14ac:dyDescent="0.25">
      <c r="A43" s="27" t="s">
        <v>207</v>
      </c>
      <c r="B43" s="34">
        <v>2018</v>
      </c>
      <c r="C43" s="25">
        <v>300</v>
      </c>
      <c r="D43" s="25">
        <v>0.42</v>
      </c>
      <c r="E43" s="546">
        <f>VLOOKUP($A43,EFROGS!$A$1:$J$44,(IF($B43=2015,4,IF($B43=2016,5,IF($B43=2017,6,IF($B43=2018,7,IF($B43=2019,8,IF($B43=2020,9,0))))))),FALSE)</f>
        <v>9.0225805917190885E-2</v>
      </c>
      <c r="F43" s="546">
        <f>VLOOKUP($A43,EFCOS!$A$1:$J$44,(IF($B43=2015,4,IF($B43=2016,5,IF($B43=2017,6,IF($B43=2018,7,IF($B43=2019,8,IF($B43=2020,9,0))))))),FALSE)</f>
        <v>0.51534614373640708</v>
      </c>
      <c r="G43" s="546">
        <f>VLOOKUP($A43,EFNOXS!$A$1:$J$44,(IF($B43=2015,4,IF($B43=2016,5,IF($B43=2017,6,IF($B43=2018,7,IF($B43=2019,8,IF($B43=2020,9,0))))))),FALSE)</f>
        <v>0.58526223609575434</v>
      </c>
      <c r="H43" s="546">
        <f>VLOOKUP($A43,EFSOXS!$A$1:$J$44,(IF($B43=2015,4,IF($B43=2016,5,IF($B43=2017,6,IF($B43=2018,7,IF($B43=2019,8,IF($B43=2020,9,0))))))),FALSE)</f>
        <v>2.4954338651265763E-3</v>
      </c>
      <c r="I43" s="546">
        <f>VLOOKUP($A43,EFPMS!$A$1:$J$44,(IF($B43=2015,4,IF($B43=2016,5,IF($B43=2017,6,IF($B43=2018,7,IF($B43=2019,8,IF($B43=2020,9,0))))))),FALSE)</f>
        <v>2.0522530022613474E-2</v>
      </c>
      <c r="J43" s="536">
        <f t="shared" si="28"/>
        <v>1.8265051720125991E-2</v>
      </c>
      <c r="K43" s="549">
        <f>VLOOKUP($A43,EFCO2S!$A$1:$J$44,(IF($B43=2015,4,IF($B43=2016,5,IF($B43=2017,6,IF($B43=2018,7,IF($B43=2019,8,IF($B43=2020,9,0))))))),FALSE)</f>
        <v>254.23847108919361</v>
      </c>
      <c r="L43" s="546">
        <f>VLOOKUP($A43,EFCH4S!$A$1:$J$44,(IF($B43=2015,4,IF($B43=2016,5,IF($B43=2017,6,IF($B43=2018,7,IF($B43=2019,8,IF($B43=2020,9,0))))))),FALSE)</f>
        <v>1.0126092850486785E-2</v>
      </c>
      <c r="M43" s="540">
        <f t="shared" si="29"/>
        <v>5.5599912429096662E-2</v>
      </c>
      <c r="N43" s="135">
        <v>2</v>
      </c>
      <c r="O43" s="135">
        <v>4</v>
      </c>
      <c r="P43" s="109">
        <f t="shared" si="31"/>
        <v>44</v>
      </c>
      <c r="Q43" s="39">
        <f t="shared" si="30"/>
        <v>0.72180644733752708</v>
      </c>
      <c r="R43" s="29">
        <f t="shared" si="30"/>
        <v>4.1227691498912566</v>
      </c>
      <c r="S43" s="29">
        <f t="shared" si="30"/>
        <v>4.6820978887660347</v>
      </c>
      <c r="T43" s="29">
        <f t="shared" si="30"/>
        <v>1.996347092101261E-2</v>
      </c>
      <c r="U43" s="29">
        <f t="shared" si="30"/>
        <v>0.16418024018090779</v>
      </c>
      <c r="V43" s="29">
        <f t="shared" si="30"/>
        <v>0.14612041376100793</v>
      </c>
      <c r="W43" s="29">
        <f t="shared" si="30"/>
        <v>2033.9077687135489</v>
      </c>
      <c r="X43" s="29">
        <f t="shared" si="30"/>
        <v>8.1008742803894279E-2</v>
      </c>
      <c r="Y43" s="29">
        <f t="shared" si="30"/>
        <v>0.4447992994327733</v>
      </c>
    </row>
    <row r="44" spans="1:25" s="3" customFormat="1" x14ac:dyDescent="0.25">
      <c r="A44" s="27" t="s">
        <v>208</v>
      </c>
      <c r="B44" s="34">
        <v>2018</v>
      </c>
      <c r="C44" s="25">
        <v>300</v>
      </c>
      <c r="D44" s="25">
        <v>0.42</v>
      </c>
      <c r="E44" s="546">
        <f>VLOOKUP($A44,EFROGS!$A$1:$J$44,(IF($B44=2015,4,IF($B44=2016,5,IF($B44=2017,6,IF($B44=2018,7,IF($B44=2019,8,IF($B44=2020,9,0))))))),FALSE)</f>
        <v>9.0225805917190885E-2</v>
      </c>
      <c r="F44" s="546">
        <f>VLOOKUP($A44,EFCOS!$A$1:$J$44,(IF($B44=2015,4,IF($B44=2016,5,IF($B44=2017,6,IF($B44=2018,7,IF($B44=2019,8,IF($B44=2020,9,0))))))),FALSE)</f>
        <v>0.51534614373640708</v>
      </c>
      <c r="G44" s="546">
        <f>VLOOKUP($A44,EFNOXS!$A$1:$J$44,(IF($B44=2015,4,IF($B44=2016,5,IF($B44=2017,6,IF($B44=2018,7,IF($B44=2019,8,IF($B44=2020,9,0))))))),FALSE)</f>
        <v>0.58526223609575434</v>
      </c>
      <c r="H44" s="546">
        <f>VLOOKUP($A44,EFSOXS!$A$1:$J$44,(IF($B44=2015,4,IF($B44=2016,5,IF($B44=2017,6,IF($B44=2018,7,IF($B44=2019,8,IF($B44=2020,9,0))))))),FALSE)</f>
        <v>2.4954338651265763E-3</v>
      </c>
      <c r="I44" s="546">
        <f>VLOOKUP($A44,EFPMS!$A$1:$J$44,(IF($B44=2015,4,IF($B44=2016,5,IF($B44=2017,6,IF($B44=2018,7,IF($B44=2019,8,IF($B44=2020,9,0))))))),FALSE)</f>
        <v>2.0522530022613474E-2</v>
      </c>
      <c r="J44" s="536">
        <f t="shared" si="28"/>
        <v>1.8265051720125991E-2</v>
      </c>
      <c r="K44" s="549">
        <f>VLOOKUP($A44,EFCO2S!$A$1:$J$44,(IF($B44=2015,4,IF($B44=2016,5,IF($B44=2017,6,IF($B44=2018,7,IF($B44=2019,8,IF($B44=2020,9,0))))))),FALSE)</f>
        <v>254.23847108919361</v>
      </c>
      <c r="L44" s="546">
        <f>VLOOKUP($A44,EFCH4S!$A$1:$J$44,(IF($B44=2015,4,IF($B44=2016,5,IF($B44=2017,6,IF($B44=2018,7,IF($B44=2019,8,IF($B44=2020,9,0))))))),FALSE)</f>
        <v>1.0126092850486785E-2</v>
      </c>
      <c r="M44" s="540">
        <f t="shared" si="29"/>
        <v>5.5599912429096662E-2</v>
      </c>
      <c r="N44" s="135">
        <v>2</v>
      </c>
      <c r="O44" s="135">
        <v>4</v>
      </c>
      <c r="P44" s="109">
        <f t="shared" si="31"/>
        <v>44</v>
      </c>
      <c r="Q44" s="39">
        <f t="shared" si="30"/>
        <v>0.72180644733752708</v>
      </c>
      <c r="R44" s="29">
        <f t="shared" si="30"/>
        <v>4.1227691498912566</v>
      </c>
      <c r="S44" s="29">
        <f t="shared" si="30"/>
        <v>4.6820978887660347</v>
      </c>
      <c r="T44" s="29">
        <f t="shared" si="30"/>
        <v>1.996347092101261E-2</v>
      </c>
      <c r="U44" s="29">
        <f t="shared" si="30"/>
        <v>0.16418024018090779</v>
      </c>
      <c r="V44" s="29">
        <f t="shared" si="30"/>
        <v>0.14612041376100793</v>
      </c>
      <c r="W44" s="29">
        <f t="shared" si="30"/>
        <v>2033.9077687135489</v>
      </c>
      <c r="X44" s="29">
        <f t="shared" si="30"/>
        <v>8.1008742803894279E-2</v>
      </c>
      <c r="Y44" s="29">
        <f t="shared" si="30"/>
        <v>0.4447992994327733</v>
      </c>
    </row>
    <row r="45" spans="1:25" s="3" customFormat="1" x14ac:dyDescent="0.25">
      <c r="A45" s="19" t="s">
        <v>38</v>
      </c>
      <c r="B45" s="34"/>
      <c r="C45" s="25"/>
      <c r="D45" s="20"/>
      <c r="E45" s="26"/>
      <c r="F45" s="26"/>
      <c r="G45" s="26"/>
      <c r="H45" s="26"/>
      <c r="I45" s="26"/>
      <c r="J45" s="27"/>
      <c r="K45" s="28"/>
      <c r="L45" s="26"/>
      <c r="M45" s="38"/>
      <c r="N45" s="135"/>
      <c r="O45" s="135"/>
      <c r="P45" s="136"/>
      <c r="Q45" s="138">
        <f>SUM(Q41:Q44)</f>
        <v>2.7662123746746388</v>
      </c>
      <c r="R45" s="138">
        <f t="shared" ref="R45:Y45" si="32">SUM(R41:R44)</f>
        <v>17.629889348325801</v>
      </c>
      <c r="S45" s="138">
        <f t="shared" si="32"/>
        <v>18.466694214717595</v>
      </c>
      <c r="T45" s="138">
        <f t="shared" si="32"/>
        <v>7.0608860170430318E-2</v>
      </c>
      <c r="U45" s="138">
        <f t="shared" si="32"/>
        <v>0.78284655463577446</v>
      </c>
      <c r="V45" s="138">
        <f t="shared" si="32"/>
        <v>0.69673343362583928</v>
      </c>
      <c r="W45" s="138">
        <f t="shared" si="32"/>
        <v>7015.4472310434921</v>
      </c>
      <c r="X45" s="138">
        <f t="shared" si="32"/>
        <v>0.31380736823227195</v>
      </c>
      <c r="Y45" s="138">
        <f t="shared" si="32"/>
        <v>1.7543359503981719</v>
      </c>
    </row>
    <row r="46" spans="1:25" s="3" customFormat="1" x14ac:dyDescent="0.25">
      <c r="A46" s="27"/>
      <c r="B46" s="34"/>
      <c r="C46" s="25"/>
      <c r="D46" s="20"/>
      <c r="E46" s="26"/>
      <c r="F46" s="26"/>
      <c r="G46" s="26"/>
      <c r="H46" s="26"/>
      <c r="I46" s="26"/>
      <c r="J46" s="27"/>
      <c r="K46" s="28"/>
      <c r="L46" s="26"/>
      <c r="M46" s="38"/>
      <c r="N46" s="135"/>
      <c r="O46" s="135"/>
      <c r="P46" s="136"/>
      <c r="Q46" s="39"/>
      <c r="R46" s="29"/>
      <c r="S46" s="29"/>
      <c r="T46" s="29"/>
      <c r="U46" s="29"/>
      <c r="V46" s="29"/>
      <c r="W46" s="29"/>
      <c r="X46" s="29"/>
      <c r="Y46" s="29"/>
    </row>
    <row r="47" spans="1:25" s="3" customFormat="1" x14ac:dyDescent="0.25">
      <c r="A47" s="19" t="s">
        <v>261</v>
      </c>
      <c r="B47" s="34">
        <v>2018</v>
      </c>
      <c r="C47" s="25"/>
      <c r="D47" s="20"/>
      <c r="E47" s="26"/>
      <c r="F47" s="26"/>
      <c r="G47" s="26"/>
      <c r="H47" s="26"/>
      <c r="I47" s="26"/>
      <c r="J47" s="27"/>
      <c r="K47" s="28"/>
      <c r="L47" s="26"/>
      <c r="M47" s="38"/>
      <c r="N47" s="135"/>
      <c r="O47" s="135"/>
      <c r="P47" s="136"/>
      <c r="Q47" s="39"/>
      <c r="R47" s="29"/>
      <c r="S47" s="29"/>
      <c r="T47" s="29"/>
      <c r="U47" s="29"/>
      <c r="V47" s="29"/>
      <c r="W47" s="29"/>
      <c r="X47" s="29"/>
      <c r="Y47" s="29"/>
    </row>
    <row r="48" spans="1:25" s="3" customFormat="1" x14ac:dyDescent="0.25">
      <c r="A48" s="27" t="s">
        <v>205</v>
      </c>
      <c r="B48" s="34">
        <v>2018</v>
      </c>
      <c r="C48" s="25">
        <v>235</v>
      </c>
      <c r="D48" s="134">
        <v>0.38</v>
      </c>
      <c r="E48" s="546">
        <f>VLOOKUP($A48,EFROGS!$A$1:$J$44,(IF($B48=2015,4,IF($B48=2016,5,IF($B48=2017,6,IF($B48=2018,7,IF($B48=2019,8,IF($B48=2020,9,0))))))),FALSE)</f>
        <v>8.119224107646289E-2</v>
      </c>
      <c r="F48" s="546">
        <f>VLOOKUP($A48,EFCOS!$A$1:$J$44,(IF($B48=2015,4,IF($B48=2016,5,IF($B48=2017,6,IF($B48=2018,7,IF($B48=2019,8,IF($B48=2020,9,0))))))),FALSE)</f>
        <v>0.37994200133931877</v>
      </c>
      <c r="G48" s="546">
        <f>VLOOKUP($A48,EFNOXS!$A$1:$J$44,(IF($B48=2015,4,IF($B48=2016,5,IF($B48=2017,6,IF($B48=2018,7,IF($B48=2019,8,IF($B48=2020,9,0))))))),FALSE)</f>
        <v>0.48394485675138055</v>
      </c>
      <c r="H48" s="546">
        <f>VLOOKUP($A48,EFSOXS!$A$1:$J$44,(IF($B48=2015,4,IF($B48=2016,5,IF($B48=2017,6,IF($B48=2018,7,IF($B48=2019,8,IF($B48=2020,9,0))))))),FALSE)</f>
        <v>1.873921930245647E-3</v>
      </c>
      <c r="I48" s="546">
        <f>VLOOKUP($A48,EFPMS!$A$1:$J$44,(IF($B48=2015,4,IF($B48=2016,5,IF($B48=2017,6,IF($B48=2018,7,IF($B48=2019,8,IF($B48=2020,9,0))))))),FALSE)</f>
        <v>1.6665559588840455E-2</v>
      </c>
      <c r="J48" s="536">
        <f t="shared" ref="J48:J53" si="33">0.89*I48</f>
        <v>1.4832348034068006E-2</v>
      </c>
      <c r="K48" s="549">
        <f>VLOOKUP($A48,EFCO2S!$A$1:$J$44,(IF($B48=2015,4,IF($B48=2016,5,IF($B48=2017,6,IF($B48=2018,7,IF($B48=2019,8,IF($B48=2020,9,0))))))),FALSE)</f>
        <v>166.54543379579488</v>
      </c>
      <c r="L48" s="546">
        <f>VLOOKUP($A48,EFCH4S!$A$1:$J$44,(IF($B48=2015,4,IF($B48=2016,5,IF($B48=2017,6,IF($B48=2018,7,IF($B48=2019,8,IF($B48=2020,9,0))))))),FALSE)</f>
        <v>9.3996999235005617E-3</v>
      </c>
      <c r="M48" s="540">
        <f t="shared" ref="M48:M53" si="34">0.095*G48</f>
        <v>4.5974761391381153E-2</v>
      </c>
      <c r="N48" s="135">
        <v>1</v>
      </c>
      <c r="O48" s="135">
        <v>4</v>
      </c>
      <c r="P48" s="109">
        <f t="shared" ref="P48:P53" si="35">0.5*22</f>
        <v>11</v>
      </c>
      <c r="Q48" s="39">
        <f t="shared" ref="Q48:Y53" si="36">(E48*$N48*$O48)</f>
        <v>0.32476896430585156</v>
      </c>
      <c r="R48" s="29">
        <f t="shared" si="36"/>
        <v>1.5197680053572751</v>
      </c>
      <c r="S48" s="29">
        <f t="shared" si="36"/>
        <v>1.9357794270055222</v>
      </c>
      <c r="T48" s="29">
        <f t="shared" si="36"/>
        <v>7.4956877209825879E-3</v>
      </c>
      <c r="U48" s="29">
        <f t="shared" si="36"/>
        <v>6.6662238355361822E-2</v>
      </c>
      <c r="V48" s="29">
        <f t="shared" si="36"/>
        <v>5.9329392136272023E-2</v>
      </c>
      <c r="W48" s="29">
        <f t="shared" si="36"/>
        <v>666.18173518317951</v>
      </c>
      <c r="X48" s="29">
        <f t="shared" si="36"/>
        <v>3.7598799694002247E-2</v>
      </c>
      <c r="Y48" s="29">
        <f t="shared" si="36"/>
        <v>0.18389904556552461</v>
      </c>
    </row>
    <row r="49" spans="1:32" s="3" customFormat="1" x14ac:dyDescent="0.25">
      <c r="A49" s="27" t="s">
        <v>163</v>
      </c>
      <c r="B49" s="34">
        <v>2018</v>
      </c>
      <c r="C49" s="25">
        <v>75</v>
      </c>
      <c r="D49" s="134">
        <v>0.31</v>
      </c>
      <c r="E49" s="546">
        <f>VLOOKUP($A49,EFROGS!$A$1:$J$44,(IF($B49=2015,4,IF($B49=2016,5,IF($B49=2017,6,IF($B49=2018,7,IF($B49=2019,8,IF($B49=2020,9,0))))))),FALSE)</f>
        <v>2.503304302758573E-2</v>
      </c>
      <c r="F49" s="546">
        <f>VLOOKUP($A49,EFCOS!$A$1:$J$44,(IF($B49=2015,4,IF($B49=2016,5,IF($B49=2017,6,IF($B49=2018,7,IF($B49=2019,8,IF($B49=2020,9,0))))))),FALSE)</f>
        <v>0.21923257911050123</v>
      </c>
      <c r="G49" s="546">
        <f>VLOOKUP($A49,EFNOXS!$A$1:$J$44,(IF($B49=2015,4,IF($B49=2016,5,IF($B49=2017,6,IF($B49=2018,7,IF($B49=2019,8,IF($B49=2020,9,0))))))),FALSE)</f>
        <v>0.18418335618414555</v>
      </c>
      <c r="H49" s="546">
        <f>VLOOKUP($A49,EFSOXS!$A$1:$J$44,(IF($B49=2015,4,IF($B49=2016,5,IF($B49=2017,6,IF($B49=2018,7,IF($B49=2019,8,IF($B49=2020,9,0))))))),FALSE)</f>
        <v>4.466019753080203E-4</v>
      </c>
      <c r="I49" s="546">
        <f>VLOOKUP($A49,EFPMS!$A$1:$J$44,(IF($B49=2015,4,IF($B49=2016,5,IF($B49=2017,6,IF($B49=2018,7,IF($B49=2019,8,IF($B49=2020,9,0))))))),FALSE)</f>
        <v>1.2096076420543793E-2</v>
      </c>
      <c r="J49" s="536">
        <f t="shared" si="33"/>
        <v>1.0765508014283977E-2</v>
      </c>
      <c r="K49" s="549">
        <f>VLOOKUP($A49,EFCO2S!$A$1:$J$44,(IF($B49=2015,4,IF($B49=2016,5,IF($B49=2017,6,IF($B49=2018,7,IF($B49=2019,8,IF($B49=2020,9,0))))))),FALSE)</f>
        <v>38.071830204285249</v>
      </c>
      <c r="L49" s="546">
        <f>VLOOKUP($A49,EFCH4S!$A$1:$J$44,(IF($B49=2015,4,IF($B49=2016,5,IF($B49=2017,6,IF($B49=2018,7,IF($B49=2019,8,IF($B49=2020,9,0))))))),FALSE)</f>
        <v>2.9492141591912126E-3</v>
      </c>
      <c r="M49" s="540">
        <f t="shared" si="34"/>
        <v>1.7497418837493828E-2</v>
      </c>
      <c r="N49" s="108">
        <v>2</v>
      </c>
      <c r="O49" s="108">
        <v>8</v>
      </c>
      <c r="P49" s="109">
        <f t="shared" si="35"/>
        <v>11</v>
      </c>
      <c r="Q49" s="39">
        <f t="shared" si="36"/>
        <v>0.40052868844137168</v>
      </c>
      <c r="R49" s="29">
        <f t="shared" si="36"/>
        <v>3.5077212657680197</v>
      </c>
      <c r="S49" s="29">
        <f t="shared" si="36"/>
        <v>2.9469336989463288</v>
      </c>
      <c r="T49" s="29">
        <f t="shared" si="36"/>
        <v>7.1456316049283248E-3</v>
      </c>
      <c r="U49" s="29">
        <f t="shared" si="36"/>
        <v>0.19353722272870069</v>
      </c>
      <c r="V49" s="29">
        <f t="shared" si="36"/>
        <v>0.17224812822854363</v>
      </c>
      <c r="W49" s="29">
        <f t="shared" si="36"/>
        <v>609.14928326856398</v>
      </c>
      <c r="X49" s="29">
        <f t="shared" si="36"/>
        <v>4.7187426547059402E-2</v>
      </c>
      <c r="Y49" s="29">
        <f t="shared" si="36"/>
        <v>0.27995870139990126</v>
      </c>
    </row>
    <row r="50" spans="1:32" s="3" customFormat="1" x14ac:dyDescent="0.25">
      <c r="A50" s="27" t="s">
        <v>209</v>
      </c>
      <c r="B50" s="34">
        <v>2018</v>
      </c>
      <c r="C50" s="25">
        <v>25</v>
      </c>
      <c r="D50" s="134">
        <v>1</v>
      </c>
      <c r="E50" s="546">
        <f>VLOOKUP($A50,EFROGS!$A$1:$J$44,(IF($B50=2015,4,IF($B50=2016,5,IF($B50=2017,6,IF($B50=2018,7,IF($B50=2019,8,IF($B50=2020,9,0))))))),FALSE)</f>
        <v>1.5945098772087649E-2</v>
      </c>
      <c r="F50" s="546">
        <f>VLOOKUP($A50,EFCOS!$A$1:$J$44,(IF($B50=2015,4,IF($B50=2016,5,IF($B50=2017,6,IF($B50=2018,7,IF($B50=2019,8,IF($B50=2020,9,0))))))),FALSE)</f>
        <v>0.10588694014040713</v>
      </c>
      <c r="G50" s="546">
        <f>VLOOKUP($A50,EFNOXS!$A$1:$J$44,(IF($B50=2015,4,IF($B50=2016,5,IF($B50=2017,6,IF($B50=2018,7,IF($B50=2019,8,IF($B50=2020,9,0))))))),FALSE)</f>
        <v>0.12840254691102099</v>
      </c>
      <c r="H50" s="546">
        <f>VLOOKUP($A50,EFSOXS!$A$1:$J$44,(IF($B50=2015,4,IF($B50=2016,5,IF($B50=2017,6,IF($B50=2018,7,IF($B50=2019,8,IF($B50=2020,9,0))))))),FALSE)</f>
        <v>1.6770235588901616E-4</v>
      </c>
      <c r="I50" s="546">
        <f>VLOOKUP($A50,EFPMS!$A$1:$J$44,(IF($B50=2015,4,IF($B50=2016,5,IF($B50=2017,6,IF($B50=2018,7,IF($B50=2019,8,IF($B50=2020,9,0))))))),FALSE)</f>
        <v>2.9641300934263879E-3</v>
      </c>
      <c r="J50" s="536">
        <f t="shared" si="33"/>
        <v>2.6380757831494851E-3</v>
      </c>
      <c r="K50" s="549">
        <f>VLOOKUP($A50,EFCO2S!$A$1:$J$44,(IF($B50=2015,4,IF($B50=2016,5,IF($B50=2017,6,IF($B50=2018,7,IF($B50=2019,8,IF($B50=2020,9,0))))))),FALSE)</f>
        <v>13.217291495541826</v>
      </c>
      <c r="L50" s="546">
        <f>VLOOKUP($A50,EFCH4S!$A$1:$J$44,(IF($B50=2015,4,IF($B50=2016,5,IF($B50=2017,6,IF($B50=2018,7,IF($B50=2019,8,IF($B50=2020,9,0))))))),FALSE)</f>
        <v>1.4387011113433123E-3</v>
      </c>
      <c r="M50" s="540">
        <f t="shared" si="34"/>
        <v>1.2198241956546995E-2</v>
      </c>
      <c r="N50" s="135">
        <v>2</v>
      </c>
      <c r="O50" s="135">
        <v>6</v>
      </c>
      <c r="P50" s="109">
        <f t="shared" si="35"/>
        <v>11</v>
      </c>
      <c r="Q50" s="39">
        <f t="shared" si="36"/>
        <v>0.19134118526505178</v>
      </c>
      <c r="R50" s="29">
        <f t="shared" si="36"/>
        <v>1.2706432816848856</v>
      </c>
      <c r="S50" s="29">
        <f t="shared" si="36"/>
        <v>1.5408305629322518</v>
      </c>
      <c r="T50" s="29">
        <f t="shared" si="36"/>
        <v>2.0124282706681937E-3</v>
      </c>
      <c r="U50" s="29">
        <f t="shared" si="36"/>
        <v>3.5569561121116658E-2</v>
      </c>
      <c r="V50" s="29">
        <f t="shared" si="36"/>
        <v>3.1656909397793823E-2</v>
      </c>
      <c r="W50" s="29">
        <f t="shared" si="36"/>
        <v>158.60749794650189</v>
      </c>
      <c r="X50" s="29">
        <f t="shared" si="36"/>
        <v>1.7264413336119749E-2</v>
      </c>
      <c r="Y50" s="29">
        <f t="shared" si="36"/>
        <v>0.14637890347856394</v>
      </c>
    </row>
    <row r="51" spans="1:32" s="3" customFormat="1" x14ac:dyDescent="0.25">
      <c r="A51" s="27" t="s">
        <v>197</v>
      </c>
      <c r="B51" s="34">
        <v>2018</v>
      </c>
      <c r="C51" s="134">
        <v>200</v>
      </c>
      <c r="D51" s="134">
        <v>0.36</v>
      </c>
      <c r="E51" s="546">
        <f>VLOOKUP($A51,EFROGS!$A$1:$J$44,(IF($B51=2015,4,IF($B51=2016,5,IF($B51=2017,6,IF($B51=2018,7,IF($B51=2019,8,IF($B51=2020,9,0))))))),FALSE)</f>
        <v>7.2887346010641285E-2</v>
      </c>
      <c r="F51" s="546">
        <f>VLOOKUP($A51,EFCOS!$A$1:$J$44,(IF($B51=2015,4,IF($B51=2016,5,IF($B51=2017,6,IF($B51=2018,7,IF($B51=2019,8,IF($B51=2020,9,0))))))),FALSE)</f>
        <v>0.33135948621040862</v>
      </c>
      <c r="G51" s="546">
        <f>VLOOKUP($A51,EFNOXS!$A$1:$J$44,(IF($B51=2015,4,IF($B51=2016,5,IF($B51=2017,6,IF($B51=2018,7,IF($B51=2019,8,IF($B51=2020,9,0))))))),FALSE)</f>
        <v>0.51421364396110203</v>
      </c>
      <c r="H51" s="546">
        <f>VLOOKUP($A51,EFSOXS!$A$1:$J$44,(IF($B51=2015,4,IF($B51=2016,5,IF($B51=2017,6,IF($B51=2018,7,IF($B51=2019,8,IF($B51=2020,9,0))))))),FALSE)</f>
        <v>1.6762429502385828E-3</v>
      </c>
      <c r="I51" s="546">
        <f>VLOOKUP($A51,EFPMS!$A$1:$J$44,(IF($B51=2015,4,IF($B51=2016,5,IF($B51=2017,6,IF($B51=2018,7,IF($B51=2019,8,IF($B51=2020,9,0))))))),FALSE)</f>
        <v>1.7760280708673921E-2</v>
      </c>
      <c r="J51" s="536">
        <f t="shared" si="33"/>
        <v>1.5806649830719791E-2</v>
      </c>
      <c r="K51" s="549">
        <f>VLOOKUP($A51,EFCO2S!$A$1:$J$44,(IF($B51=2015,4,IF($B51=2016,5,IF($B51=2017,6,IF($B51=2018,7,IF($B51=2019,8,IF($B51=2020,9,0))))))),FALSE)</f>
        <v>148.97670143852574</v>
      </c>
      <c r="L51" s="546">
        <f>VLOOKUP($A51,EFCH4S!$A$1:$J$44,(IF($B51=2015,4,IF($B51=2016,5,IF($B51=2017,6,IF($B51=2018,7,IF($B51=2019,8,IF($B51=2020,9,0))))))),FALSE)</f>
        <v>8.5356955520187617E-3</v>
      </c>
      <c r="M51" s="540">
        <f t="shared" si="34"/>
        <v>4.8850296176304694E-2</v>
      </c>
      <c r="N51" s="135">
        <v>1</v>
      </c>
      <c r="O51" s="135">
        <v>4</v>
      </c>
      <c r="P51" s="109">
        <f t="shared" si="35"/>
        <v>11</v>
      </c>
      <c r="Q51" s="39">
        <f t="shared" si="36"/>
        <v>0.29154938404256514</v>
      </c>
      <c r="R51" s="29">
        <f t="shared" si="36"/>
        <v>1.3254379448416345</v>
      </c>
      <c r="S51" s="29">
        <f t="shared" si="36"/>
        <v>2.0568545758444081</v>
      </c>
      <c r="T51" s="29">
        <f t="shared" si="36"/>
        <v>6.7049718009543312E-3</v>
      </c>
      <c r="U51" s="29">
        <f t="shared" si="36"/>
        <v>7.1041122834695686E-2</v>
      </c>
      <c r="V51" s="29">
        <f t="shared" si="36"/>
        <v>6.3226599322879162E-2</v>
      </c>
      <c r="W51" s="29">
        <f t="shared" si="36"/>
        <v>595.90680575410295</v>
      </c>
      <c r="X51" s="29">
        <f t="shared" si="36"/>
        <v>3.4142782208075047E-2</v>
      </c>
      <c r="Y51" s="29">
        <f t="shared" si="36"/>
        <v>0.19540118470521878</v>
      </c>
    </row>
    <row r="52" spans="1:32" s="3" customFormat="1" x14ac:dyDescent="0.25">
      <c r="A52" s="175" t="s">
        <v>61</v>
      </c>
      <c r="B52" s="34">
        <v>2018</v>
      </c>
      <c r="C52" s="25">
        <v>235</v>
      </c>
      <c r="D52" s="25">
        <v>0.38</v>
      </c>
      <c r="E52" s="546">
        <f>VLOOKUP($A52,EFROGS!$A$1:$J$44,(IF($B52=2015,4,IF($B52=2016,5,IF($B52=2017,6,IF($B52=2018,7,IF($B52=2019,8,IF($B52=2020,9,0))))))),FALSE)</f>
        <v>8.119224107646289E-2</v>
      </c>
      <c r="F52" s="546">
        <f>VLOOKUP($A52,EFCOS!$A$1:$J$44,(IF($B52=2015,4,IF($B52=2016,5,IF($B52=2017,6,IF($B52=2018,7,IF($B52=2019,8,IF($B52=2020,9,0))))))),FALSE)</f>
        <v>0.37994200133931877</v>
      </c>
      <c r="G52" s="546">
        <f>VLOOKUP($A52,EFNOXS!$A$1:$J$44,(IF($B52=2015,4,IF($B52=2016,5,IF($B52=2017,6,IF($B52=2018,7,IF($B52=2019,8,IF($B52=2020,9,0))))))),FALSE)</f>
        <v>0.48394485675138055</v>
      </c>
      <c r="H52" s="546">
        <f>VLOOKUP($A52,EFSOXS!$A$1:$J$44,(IF($B52=2015,4,IF($B52=2016,5,IF($B52=2017,6,IF($B52=2018,7,IF($B52=2019,8,IF($B52=2020,9,0))))))),FALSE)</f>
        <v>1.873921930245647E-3</v>
      </c>
      <c r="I52" s="546">
        <f>VLOOKUP($A52,EFPMS!$A$1:$J$44,(IF($B52=2015,4,IF($B52=2016,5,IF($B52=2017,6,IF($B52=2018,7,IF($B52=2019,8,IF($B52=2020,9,0))))))),FALSE)</f>
        <v>1.6665559588840455E-2</v>
      </c>
      <c r="J52" s="536">
        <f t="shared" si="33"/>
        <v>1.4832348034068006E-2</v>
      </c>
      <c r="K52" s="549">
        <f>VLOOKUP($A52,EFCO2S!$A$1:$J$44,(IF($B52=2015,4,IF($B52=2016,5,IF($B52=2017,6,IF($B52=2018,7,IF($B52=2019,8,IF($B52=2020,9,0))))))),FALSE)</f>
        <v>166.54543379579488</v>
      </c>
      <c r="L52" s="546">
        <f>VLOOKUP($A52,EFCH4S!$A$1:$J$44,(IF($B52=2015,4,IF($B52=2016,5,IF($B52=2017,6,IF($B52=2018,7,IF($B52=2019,8,IF($B52=2020,9,0))))))),FALSE)</f>
        <v>9.3996999235005617E-3</v>
      </c>
      <c r="M52" s="540">
        <f t="shared" si="34"/>
        <v>4.5974761391381153E-2</v>
      </c>
      <c r="N52" s="108">
        <v>1</v>
      </c>
      <c r="O52" s="108">
        <v>2</v>
      </c>
      <c r="P52" s="109">
        <f t="shared" si="35"/>
        <v>11</v>
      </c>
      <c r="Q52" s="39">
        <f t="shared" si="36"/>
        <v>0.16238448215292578</v>
      </c>
      <c r="R52" s="29">
        <f t="shared" si="36"/>
        <v>0.75988400267863754</v>
      </c>
      <c r="S52" s="29">
        <f t="shared" si="36"/>
        <v>0.9678897135027611</v>
      </c>
      <c r="T52" s="29">
        <f t="shared" si="36"/>
        <v>3.7478438604912939E-3</v>
      </c>
      <c r="U52" s="29">
        <f t="shared" si="36"/>
        <v>3.3331119177680911E-2</v>
      </c>
      <c r="V52" s="29">
        <f t="shared" si="36"/>
        <v>2.9664696068136012E-2</v>
      </c>
      <c r="W52" s="29">
        <f t="shared" si="36"/>
        <v>333.09086759158976</v>
      </c>
      <c r="X52" s="29">
        <f t="shared" si="36"/>
        <v>1.8799399847001123E-2</v>
      </c>
      <c r="Y52" s="29">
        <f t="shared" si="36"/>
        <v>9.1949522782762305E-2</v>
      </c>
    </row>
    <row r="53" spans="1:32" s="3" customFormat="1" x14ac:dyDescent="0.25">
      <c r="A53" s="27" t="s">
        <v>202</v>
      </c>
      <c r="B53" s="34">
        <v>2018</v>
      </c>
      <c r="C53" s="25">
        <v>399</v>
      </c>
      <c r="D53" s="25">
        <v>0.28999999999999998</v>
      </c>
      <c r="E53" s="546">
        <f>VLOOKUP($A53,EFROGS!$A$1:$J$44,(IF($B53=2015,4,IF($B53=2016,5,IF($B53=2017,6,IF($B53=2018,7,IF($B53=2019,8,IF($B53=2020,9,0))))))),FALSE)</f>
        <v>9.4826505737279188E-2</v>
      </c>
      <c r="F53" s="546">
        <f>VLOOKUP($A53,EFCOS!$A$1:$J$44,(IF($B53=2015,4,IF($B53=2016,5,IF($B53=2017,6,IF($B53=2018,7,IF($B53=2019,8,IF($B53=2020,9,0))))))),FALSE)</f>
        <v>0.45434236467617739</v>
      </c>
      <c r="G53" s="546">
        <f>VLOOKUP($A53,EFNOXS!$A$1:$J$44,(IF($B53=2015,4,IF($B53=2016,5,IF($B53=2017,6,IF($B53=2018,7,IF($B53=2019,8,IF($B53=2020,9,0))))))),FALSE)</f>
        <v>0.63535292909985608</v>
      </c>
      <c r="H53" s="546">
        <f>VLOOKUP($A53,EFSOXS!$A$1:$J$44,(IF($B53=2015,4,IF($B53=2016,5,IF($B53=2017,6,IF($B53=2018,7,IF($B53=2019,8,IF($B53=2020,9,0))))))),FALSE)</f>
        <v>1.7677529466161633E-3</v>
      </c>
      <c r="I53" s="546">
        <f>VLOOKUP($A53,EFPMS!$A$1:$J$44,(IF($B53=2015,4,IF($B53=2016,5,IF($B53=2017,6,IF($B53=2018,7,IF($B53=2019,8,IF($B53=2020,9,0))))))),FALSE)</f>
        <v>2.3360137726921776E-2</v>
      </c>
      <c r="J53" s="536">
        <f t="shared" si="33"/>
        <v>2.0790522576960381E-2</v>
      </c>
      <c r="K53" s="549">
        <f>VLOOKUP($A53,EFCO2S!$A$1:$J$44,(IF($B53=2015,4,IF($B53=2016,5,IF($B53=2017,6,IF($B53=2018,7,IF($B53=2019,8,IF($B53=2020,9,0))))))),FALSE)</f>
        <v>180.10127182932982</v>
      </c>
      <c r="L53" s="546">
        <f>VLOOKUP($A53,EFCH4S!$A$1:$J$44,(IF($B53=2015,4,IF($B53=2016,5,IF($B53=2017,6,IF($B53=2018,7,IF($B53=2019,8,IF($B53=2020,9,0))))))),FALSE)</f>
        <v>1.0841920844072756E-2</v>
      </c>
      <c r="M53" s="540">
        <f t="shared" si="34"/>
        <v>6.035852826448633E-2</v>
      </c>
      <c r="N53" s="108">
        <v>1</v>
      </c>
      <c r="O53" s="108">
        <v>2</v>
      </c>
      <c r="P53" s="109">
        <f t="shared" si="35"/>
        <v>11</v>
      </c>
      <c r="Q53" s="39">
        <f t="shared" si="36"/>
        <v>0.18965301147455838</v>
      </c>
      <c r="R53" s="29">
        <f t="shared" si="36"/>
        <v>0.90868472935235478</v>
      </c>
      <c r="S53" s="29">
        <f t="shared" si="36"/>
        <v>1.2707058581997122</v>
      </c>
      <c r="T53" s="29">
        <f t="shared" si="36"/>
        <v>3.5355058932323266E-3</v>
      </c>
      <c r="U53" s="29">
        <f t="shared" si="36"/>
        <v>4.6720275453843552E-2</v>
      </c>
      <c r="V53" s="29">
        <f t="shared" si="36"/>
        <v>4.1581045153920762E-2</v>
      </c>
      <c r="W53" s="29">
        <f t="shared" si="36"/>
        <v>360.20254365865964</v>
      </c>
      <c r="X53" s="29">
        <f t="shared" si="36"/>
        <v>2.1683841688145512E-2</v>
      </c>
      <c r="Y53" s="29">
        <f t="shared" si="36"/>
        <v>0.12071705652897266</v>
      </c>
    </row>
    <row r="54" spans="1:32" s="3" customFormat="1" x14ac:dyDescent="0.25">
      <c r="A54" s="35" t="s">
        <v>38</v>
      </c>
      <c r="B54" s="181"/>
      <c r="C54" s="182"/>
      <c r="D54" s="179"/>
      <c r="E54" s="183"/>
      <c r="F54" s="183"/>
      <c r="G54" s="183"/>
      <c r="H54" s="183"/>
      <c r="I54" s="183"/>
      <c r="J54" s="162"/>
      <c r="K54" s="184"/>
      <c r="L54" s="183"/>
      <c r="M54" s="185"/>
      <c r="N54" s="135"/>
      <c r="O54" s="135"/>
      <c r="P54" s="136"/>
      <c r="Q54" s="186">
        <f>SUM(Q48:Q53)</f>
        <v>1.5602257156823245</v>
      </c>
      <c r="R54" s="186">
        <f t="shared" ref="R54:Y54" si="37">SUM(R48:R53)</f>
        <v>9.2921392296828085</v>
      </c>
      <c r="S54" s="186">
        <f t="shared" si="37"/>
        <v>10.718993836430982</v>
      </c>
      <c r="T54" s="186">
        <f t="shared" si="37"/>
        <v>3.0642069151257056E-2</v>
      </c>
      <c r="U54" s="186">
        <f t="shared" si="37"/>
        <v>0.4468615396713993</v>
      </c>
      <c r="V54" s="186">
        <f t="shared" si="37"/>
        <v>0.39770677030754537</v>
      </c>
      <c r="W54" s="186">
        <f t="shared" si="37"/>
        <v>2723.1387334025981</v>
      </c>
      <c r="X54" s="186">
        <f t="shared" si="37"/>
        <v>0.1766766633204031</v>
      </c>
      <c r="Y54" s="186">
        <f t="shared" si="37"/>
        <v>1.0183044144609434</v>
      </c>
    </row>
    <row r="55" spans="1:32" s="6" customFormat="1" x14ac:dyDescent="0.25">
      <c r="A55" s="187" t="s">
        <v>632</v>
      </c>
      <c r="B55" s="134"/>
      <c r="C55" s="25"/>
      <c r="D55" s="25"/>
      <c r="E55" s="26"/>
      <c r="F55" s="26"/>
      <c r="G55" s="26"/>
      <c r="H55" s="26"/>
      <c r="I55" s="26"/>
      <c r="J55" s="27"/>
      <c r="K55" s="28"/>
      <c r="L55" s="26"/>
      <c r="M55" s="26"/>
      <c r="N55" s="109"/>
      <c r="O55" s="109"/>
      <c r="P55" s="109"/>
      <c r="Q55" s="22">
        <f>Q45+Q54</f>
        <v>4.3264380903569633</v>
      </c>
      <c r="R55" s="22">
        <f t="shared" ref="R55:Y55" si="38">R45+R54</f>
        <v>26.922028578008607</v>
      </c>
      <c r="S55" s="22">
        <f t="shared" si="38"/>
        <v>29.185688051148578</v>
      </c>
      <c r="T55" s="22">
        <f t="shared" si="38"/>
        <v>0.10125092932168737</v>
      </c>
      <c r="U55" s="22">
        <f t="shared" si="38"/>
        <v>1.2297080943071736</v>
      </c>
      <c r="V55" s="22">
        <f t="shared" si="38"/>
        <v>1.0944402039333847</v>
      </c>
      <c r="W55" s="22">
        <f t="shared" si="38"/>
        <v>9738.5859644460907</v>
      </c>
      <c r="X55" s="22">
        <f t="shared" si="38"/>
        <v>0.49048403155267506</v>
      </c>
      <c r="Y55" s="22">
        <f t="shared" si="38"/>
        <v>2.7726403648591154</v>
      </c>
      <c r="AF55" s="7"/>
    </row>
    <row r="56" spans="1:32" s="6" customFormat="1" x14ac:dyDescent="0.25">
      <c r="A56"/>
      <c r="B56" s="1"/>
      <c r="C56" s="1"/>
      <c r="D56" s="1"/>
      <c r="E56" s="623" t="s">
        <v>2</v>
      </c>
      <c r="F56" s="623"/>
      <c r="G56" s="623"/>
      <c r="H56" s="623"/>
      <c r="I56" s="623"/>
      <c r="J56" s="623"/>
      <c r="K56" s="623"/>
      <c r="L56" s="623"/>
      <c r="M56"/>
      <c r="N56" s="3"/>
      <c r="O56"/>
      <c r="P56"/>
      <c r="Q56" s="4"/>
      <c r="R56" s="4"/>
      <c r="S56" s="4"/>
      <c r="T56" s="4"/>
      <c r="U56" s="4"/>
      <c r="V56" s="4"/>
      <c r="W56" s="5"/>
      <c r="X56" s="4"/>
      <c r="Y56" s="4"/>
      <c r="AF56" s="7"/>
    </row>
    <row r="57" spans="1:32" s="6" customFormat="1" ht="39.6" x14ac:dyDescent="0.25">
      <c r="A57" s="12" t="s">
        <v>131</v>
      </c>
      <c r="B57" s="13" t="s">
        <v>3</v>
      </c>
      <c r="C57" s="13" t="s">
        <v>4</v>
      </c>
      <c r="D57" s="1"/>
      <c r="E57" s="18" t="s">
        <v>27</v>
      </c>
      <c r="F57" s="18" t="s">
        <v>28</v>
      </c>
      <c r="G57" s="18" t="s">
        <v>29</v>
      </c>
      <c r="H57" s="18" t="s">
        <v>30</v>
      </c>
      <c r="I57" s="18" t="s">
        <v>31</v>
      </c>
      <c r="J57" s="18" t="s">
        <v>32</v>
      </c>
      <c r="K57" s="17" t="s">
        <v>33</v>
      </c>
      <c r="L57" s="18" t="s">
        <v>34</v>
      </c>
      <c r="M57" s="18" t="s">
        <v>35</v>
      </c>
      <c r="N57" s="3"/>
      <c r="O57"/>
      <c r="P57"/>
      <c r="Q57" s="4"/>
      <c r="R57" s="4"/>
      <c r="S57" s="4"/>
      <c r="T57" s="4"/>
      <c r="U57" s="4"/>
      <c r="V57" s="4"/>
      <c r="W57" s="5"/>
      <c r="X57" s="4"/>
      <c r="Y57" s="4"/>
      <c r="AF57" s="7"/>
    </row>
    <row r="58" spans="1:32" s="3" customFormat="1" x14ac:dyDescent="0.25">
      <c r="A58" s="12" t="str">
        <f t="shared" ref="A58:A64" si="39">A7</f>
        <v>Trans: Rancho San Juan - Site Grading</v>
      </c>
      <c r="B58" s="36"/>
      <c r="C58" s="20"/>
      <c r="D58" s="1"/>
      <c r="E58" s="30"/>
      <c r="F58" s="30"/>
      <c r="G58" s="30"/>
      <c r="H58" s="30"/>
      <c r="I58" s="30"/>
      <c r="J58" s="30"/>
      <c r="K58" s="30"/>
      <c r="L58" s="30"/>
      <c r="M58" s="30"/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39"/>
        <v>Bulldozer</v>
      </c>
      <c r="B59" s="36"/>
      <c r="C59" s="20"/>
      <c r="D59" s="1"/>
      <c r="E59" s="30">
        <f t="shared" ref="E59:M64" si="40">(Q8*$P8)/2000</f>
        <v>9.7438493442230014E-3</v>
      </c>
      <c r="F59" s="30">
        <f t="shared" si="40"/>
        <v>4.4597952304983063E-2</v>
      </c>
      <c r="G59" s="30">
        <f t="shared" si="40"/>
        <v>7.435890284205865E-2</v>
      </c>
      <c r="H59" s="30">
        <f t="shared" si="40"/>
        <v>1.1439164180309375E-4</v>
      </c>
      <c r="I59" s="30">
        <f t="shared" si="40"/>
        <v>3.0295588332255536E-3</v>
      </c>
      <c r="J59" s="30">
        <f t="shared" si="40"/>
        <v>2.6963073615707427E-3</v>
      </c>
      <c r="K59" s="30">
        <f t="shared" si="40"/>
        <v>11.654390293195663</v>
      </c>
      <c r="L59" s="30">
        <f t="shared" si="40"/>
        <v>1.0560783584628438E-3</v>
      </c>
      <c r="M59" s="30">
        <f t="shared" si="40"/>
        <v>7.0640957699955719E-3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39"/>
        <v>Compactor</v>
      </c>
      <c r="B60" s="36"/>
      <c r="C60" s="20"/>
      <c r="D60" s="1"/>
      <c r="E60" s="30">
        <f t="shared" si="40"/>
        <v>3.725066355868654E-3</v>
      </c>
      <c r="F60" s="30">
        <f t="shared" si="40"/>
        <v>1.59363655235247E-2</v>
      </c>
      <c r="G60" s="30">
        <f t="shared" si="40"/>
        <v>3.235544719678813E-2</v>
      </c>
      <c r="H60" s="30">
        <f t="shared" si="40"/>
        <v>7.5791005545273977E-5</v>
      </c>
      <c r="I60" s="30">
        <f t="shared" si="40"/>
        <v>1.0905915330590191E-3</v>
      </c>
      <c r="J60" s="30">
        <f t="shared" si="40"/>
        <v>9.7062646442252706E-4</v>
      </c>
      <c r="K60" s="30">
        <f t="shared" si="40"/>
        <v>6.7359504847487548</v>
      </c>
      <c r="L60" s="30">
        <f t="shared" si="40"/>
        <v>3.910320239778145E-4</v>
      </c>
      <c r="M60" s="30">
        <f t="shared" si="40"/>
        <v>3.0737674836948726E-3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39"/>
        <v>Loader</v>
      </c>
      <c r="B61" s="36"/>
      <c r="C61" s="20"/>
      <c r="D61" s="1"/>
      <c r="E61" s="30">
        <f t="shared" si="40"/>
        <v>7.4277845219652226E-3</v>
      </c>
      <c r="F61" s="30">
        <f t="shared" si="40"/>
        <v>2.9310958393378207E-2</v>
      </c>
      <c r="G61" s="30">
        <f t="shared" si="40"/>
        <v>5.7046789676245185E-2</v>
      </c>
      <c r="H61" s="30">
        <f t="shared" si="40"/>
        <v>1.4750939315676313E-4</v>
      </c>
      <c r="I61" s="30">
        <f t="shared" si="40"/>
        <v>1.9545077806407264E-3</v>
      </c>
      <c r="J61" s="30">
        <f t="shared" si="40"/>
        <v>1.7395119247702465E-3</v>
      </c>
      <c r="K61" s="30">
        <f t="shared" si="40"/>
        <v>13.109944811317643</v>
      </c>
      <c r="L61" s="30">
        <f t="shared" si="40"/>
        <v>7.9363463117003582E-4</v>
      </c>
      <c r="M61" s="30">
        <f t="shared" si="40"/>
        <v>5.419445019243292E-3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39"/>
        <v>Water Truck</v>
      </c>
      <c r="B62" s="36"/>
      <c r="C62" s="20"/>
      <c r="D62" s="1"/>
      <c r="E62" s="30">
        <f t="shared" si="40"/>
        <v>8.1670158836161747E-3</v>
      </c>
      <c r="F62" s="30">
        <f t="shared" si="40"/>
        <v>3.1079721041299638E-2</v>
      </c>
      <c r="G62" s="30">
        <f t="shared" si="40"/>
        <v>5.4455530153550431E-2</v>
      </c>
      <c r="H62" s="30">
        <f t="shared" si="40"/>
        <v>1.6490503226121252E-4</v>
      </c>
      <c r="I62" s="30">
        <f t="shared" si="40"/>
        <v>1.8437238254553293E-3</v>
      </c>
      <c r="J62" s="30">
        <f t="shared" si="40"/>
        <v>1.6409142046552431E-3</v>
      </c>
      <c r="K62" s="30">
        <f t="shared" si="40"/>
        <v>14.655992360935398</v>
      </c>
      <c r="L62" s="30">
        <f t="shared" si="40"/>
        <v>8.8037867098560943E-4</v>
      </c>
      <c r="M62" s="30">
        <f t="shared" si="40"/>
        <v>5.1732753645872915E-3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39"/>
        <v>Dump/Haul Truck</v>
      </c>
      <c r="B63" s="36"/>
      <c r="C63" s="20"/>
      <c r="D63" s="1"/>
      <c r="E63" s="30">
        <f t="shared" si="40"/>
        <v>4.1454338677340144E-3</v>
      </c>
      <c r="F63" s="30">
        <f t="shared" si="40"/>
        <v>1.6512982213771513E-2</v>
      </c>
      <c r="G63" s="30">
        <f t="shared" si="40"/>
        <v>2.736046348947363E-2</v>
      </c>
      <c r="H63" s="30">
        <f t="shared" si="40"/>
        <v>8.2452516130606261E-5</v>
      </c>
      <c r="I63" s="30">
        <f t="shared" si="40"/>
        <v>9.2849683336258533E-4</v>
      </c>
      <c r="J63" s="30">
        <f t="shared" si="40"/>
        <v>8.263621816927009E-4</v>
      </c>
      <c r="K63" s="30">
        <f t="shared" si="40"/>
        <v>7.3279961804676992</v>
      </c>
      <c r="L63" s="30">
        <f t="shared" si="40"/>
        <v>4.4018933549280472E-4</v>
      </c>
      <c r="M63" s="30">
        <f t="shared" si="40"/>
        <v>2.5992440314999946E-3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39"/>
        <v>Excavator</v>
      </c>
      <c r="B64" s="36"/>
      <c r="C64" s="20"/>
      <c r="D64" s="1"/>
      <c r="E64" s="30">
        <f t="shared" si="40"/>
        <v>5.2915422745488721E-3</v>
      </c>
      <c r="F64" s="30">
        <f t="shared" si="40"/>
        <v>2.1626929521488852E-2</v>
      </c>
      <c r="G64" s="30">
        <f t="shared" si="40"/>
        <v>3.2301193115227125E-2</v>
      </c>
      <c r="H64" s="30">
        <f t="shared" si="40"/>
        <v>1.0094428505358264E-4</v>
      </c>
      <c r="I64" s="30">
        <f t="shared" si="40"/>
        <v>1.1695768169642403E-3</v>
      </c>
      <c r="J64" s="30">
        <f t="shared" si="40"/>
        <v>1.0409233670981737E-3</v>
      </c>
      <c r="K64" s="30">
        <f t="shared" si="40"/>
        <v>10.284355474365819</v>
      </c>
      <c r="L64" s="30">
        <f t="shared" si="40"/>
        <v>5.6188733175414082E-4</v>
      </c>
      <c r="M64" s="30">
        <f t="shared" si="40"/>
        <v>3.0686133459465774E-3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2" t="str">
        <f t="shared" ref="A65" si="41">A14</f>
        <v>Subtotal</v>
      </c>
      <c r="B65" s="36"/>
      <c r="C65" s="20"/>
      <c r="D65" s="1"/>
      <c r="E65" s="24">
        <f>SUM(E59:E64)</f>
        <v>3.8500692247955937E-2</v>
      </c>
      <c r="F65" s="24">
        <f t="shared" ref="F65:M65" si="42">SUM(F59:F64)</f>
        <v>0.15906490899844597</v>
      </c>
      <c r="G65" s="24">
        <f t="shared" si="42"/>
        <v>0.27787832647334315</v>
      </c>
      <c r="H65" s="24">
        <f t="shared" si="42"/>
        <v>6.8599387395053225E-4</v>
      </c>
      <c r="I65" s="24">
        <f t="shared" si="42"/>
        <v>1.0016455622707452E-2</v>
      </c>
      <c r="J65" s="24">
        <f t="shared" si="42"/>
        <v>8.9146455042096347E-3</v>
      </c>
      <c r="K65" s="24">
        <f t="shared" si="42"/>
        <v>63.768629605030974</v>
      </c>
      <c r="L65" s="24">
        <f t="shared" si="42"/>
        <v>4.1232003518432486E-3</v>
      </c>
      <c r="M65" s="24">
        <f t="shared" si="42"/>
        <v>2.6398441014967602E-2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37"/>
      <c r="B66" s="36"/>
      <c r="C66" s="20"/>
      <c r="D66" s="1"/>
      <c r="E66" s="30"/>
      <c r="F66" s="30"/>
      <c r="G66" s="30"/>
      <c r="H66" s="30"/>
      <c r="I66" s="30"/>
      <c r="J66" s="30"/>
      <c r="K66" s="30"/>
      <c r="L66" s="30"/>
      <c r="M66" s="30"/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2" t="str">
        <f t="shared" ref="A67:A72" si="43">A16</f>
        <v>Trans: Rancho San Juan - Foundation Installations</v>
      </c>
      <c r="B67" s="36"/>
      <c r="C67" s="20"/>
      <c r="D67" s="1"/>
      <c r="E67" s="30"/>
      <c r="F67" s="30"/>
      <c r="G67" s="30"/>
      <c r="H67" s="30"/>
      <c r="I67" s="30"/>
      <c r="J67" s="30"/>
      <c r="K67" s="30"/>
      <c r="L67" s="30"/>
      <c r="M67" s="30"/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37" t="str">
        <f t="shared" si="43"/>
        <v>Concrete Trucks</v>
      </c>
      <c r="B68" s="36"/>
      <c r="C68" s="20"/>
      <c r="D68" s="1"/>
      <c r="E68" s="30">
        <f t="shared" ref="E68:M71" si="44">(Q17*$P17)/2000</f>
        <v>4.1454338677340144E-3</v>
      </c>
      <c r="F68" s="30">
        <f t="shared" si="44"/>
        <v>1.6512982213771513E-2</v>
      </c>
      <c r="G68" s="30">
        <f t="shared" si="44"/>
        <v>2.736046348947363E-2</v>
      </c>
      <c r="H68" s="30">
        <f t="shared" si="44"/>
        <v>8.2452516130606261E-5</v>
      </c>
      <c r="I68" s="30">
        <f t="shared" si="44"/>
        <v>9.2849683336258533E-4</v>
      </c>
      <c r="J68" s="30">
        <f t="shared" si="44"/>
        <v>8.263621816927009E-4</v>
      </c>
      <c r="K68" s="30">
        <f t="shared" si="44"/>
        <v>7.3279961804676992</v>
      </c>
      <c r="L68" s="30">
        <f t="shared" si="44"/>
        <v>4.4018933549280472E-4</v>
      </c>
      <c r="M68" s="30">
        <f t="shared" si="44"/>
        <v>2.5992440314999946E-3</v>
      </c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43"/>
        <v>Drill Rig</v>
      </c>
      <c r="B69" s="36"/>
      <c r="C69" s="20"/>
      <c r="D69" s="1"/>
      <c r="E69" s="30">
        <f t="shared" si="44"/>
        <v>2.8359271697461067E-3</v>
      </c>
      <c r="F69" s="30">
        <f t="shared" si="44"/>
        <v>4.3585505889898755E-2</v>
      </c>
      <c r="G69" s="30">
        <f t="shared" si="44"/>
        <v>2.3997669764417393E-2</v>
      </c>
      <c r="H69" s="30">
        <f t="shared" si="44"/>
        <v>8.9563132721362949E-5</v>
      </c>
      <c r="I69" s="30">
        <f t="shared" si="44"/>
        <v>7.8271837067032815E-4</v>
      </c>
      <c r="J69" s="30">
        <f t="shared" si="44"/>
        <v>6.9661934989659194E-4</v>
      </c>
      <c r="K69" s="30">
        <f t="shared" si="44"/>
        <v>7.6350558354862841</v>
      </c>
      <c r="L69" s="30">
        <f t="shared" si="44"/>
        <v>2.9159242044535613E-4</v>
      </c>
      <c r="M69" s="30">
        <f t="shared" si="44"/>
        <v>2.2797786276196521E-3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43"/>
        <v>CAT 416 Rubber Tire Backhoe</v>
      </c>
      <c r="B70" s="36"/>
      <c r="C70" s="20"/>
      <c r="D70" s="1"/>
      <c r="E70" s="30">
        <f t="shared" si="44"/>
        <v>5.8426073722015418E-3</v>
      </c>
      <c r="F70" s="30">
        <f t="shared" si="44"/>
        <v>3.6923540493953896E-2</v>
      </c>
      <c r="G70" s="30">
        <f t="shared" si="44"/>
        <v>3.5720056868978591E-2</v>
      </c>
      <c r="H70" s="30">
        <f t="shared" si="44"/>
        <v>6.8417484036862545E-5</v>
      </c>
      <c r="I70" s="30">
        <f t="shared" si="44"/>
        <v>2.7571864517291602E-3</v>
      </c>
      <c r="J70" s="30">
        <f t="shared" si="44"/>
        <v>2.4538959420389523E-3</v>
      </c>
      <c r="K70" s="30">
        <f t="shared" si="44"/>
        <v>5.8324379643431969</v>
      </c>
      <c r="L70" s="30">
        <f t="shared" si="44"/>
        <v>6.378704205123178E-4</v>
      </c>
      <c r="M70" s="30">
        <f t="shared" si="44"/>
        <v>3.3934054025529666E-3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43"/>
        <v>Dump Trucks</v>
      </c>
      <c r="B71" s="36"/>
      <c r="C71" s="20"/>
      <c r="D71" s="1"/>
      <c r="E71" s="30">
        <f t="shared" si="44"/>
        <v>4.1454338677340144E-3</v>
      </c>
      <c r="F71" s="30">
        <f t="shared" si="44"/>
        <v>1.6512982213771513E-2</v>
      </c>
      <c r="G71" s="30">
        <f t="shared" si="44"/>
        <v>2.736046348947363E-2</v>
      </c>
      <c r="H71" s="30">
        <f t="shared" si="44"/>
        <v>8.2452516130606261E-5</v>
      </c>
      <c r="I71" s="30">
        <f t="shared" si="44"/>
        <v>9.2849683336258533E-4</v>
      </c>
      <c r="J71" s="30">
        <f t="shared" si="44"/>
        <v>8.263621816927009E-4</v>
      </c>
      <c r="K71" s="30">
        <f t="shared" si="44"/>
        <v>7.3279961804676992</v>
      </c>
      <c r="L71" s="30">
        <f t="shared" si="44"/>
        <v>4.4018933549280472E-4</v>
      </c>
      <c r="M71" s="30">
        <f t="shared" si="44"/>
        <v>2.5992440314999946E-3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2" t="str">
        <f t="shared" si="43"/>
        <v>Subtotal</v>
      </c>
      <c r="B72" s="36"/>
      <c r="C72" s="20"/>
      <c r="D72" s="1"/>
      <c r="E72" s="24">
        <f>SUM(E68:E71)</f>
        <v>1.6969402277415679E-2</v>
      </c>
      <c r="F72" s="24">
        <f t="shared" ref="F72:M72" si="45">SUM(F68:F71)</f>
        <v>0.11353501081139568</v>
      </c>
      <c r="G72" s="24">
        <f t="shared" si="45"/>
        <v>0.11443865361234323</v>
      </c>
      <c r="H72" s="24">
        <f t="shared" si="45"/>
        <v>3.2288564901943799E-4</v>
      </c>
      <c r="I72" s="24">
        <f t="shared" si="45"/>
        <v>5.396898489124659E-3</v>
      </c>
      <c r="J72" s="24">
        <f t="shared" si="45"/>
        <v>4.8032396553209459E-3</v>
      </c>
      <c r="K72" s="24">
        <f t="shared" si="45"/>
        <v>28.12348616076488</v>
      </c>
      <c r="L72" s="24">
        <f t="shared" si="45"/>
        <v>1.8098415119432833E-3</v>
      </c>
      <c r="M72" s="24">
        <f t="shared" si="45"/>
        <v>1.0871672093172607E-2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37"/>
      <c r="B73" s="36"/>
      <c r="C73" s="20"/>
      <c r="D73" s="1"/>
      <c r="E73" s="30"/>
      <c r="F73" s="30"/>
      <c r="G73" s="30"/>
      <c r="H73" s="30"/>
      <c r="I73" s="30"/>
      <c r="J73" s="30"/>
      <c r="K73" s="30"/>
      <c r="L73" s="30"/>
      <c r="M73" s="30"/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2" t="str">
        <f>A23</f>
        <v>Trans: Rancho San Juan - Underground Trench/Conduit/Substructure</v>
      </c>
      <c r="B74" s="36"/>
      <c r="C74" s="20"/>
      <c r="D74" s="1"/>
      <c r="E74" s="30"/>
      <c r="F74" s="30"/>
      <c r="G74" s="30"/>
      <c r="H74" s="30"/>
      <c r="I74" s="30"/>
      <c r="J74" s="30"/>
      <c r="K74" s="30"/>
      <c r="L74" s="30"/>
      <c r="M74" s="30"/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2"/>
      <c r="B75" s="36"/>
      <c r="C75" s="20"/>
      <c r="D75" s="1"/>
      <c r="E75" s="30"/>
      <c r="F75" s="30"/>
      <c r="G75" s="30"/>
      <c r="H75" s="30"/>
      <c r="I75" s="30"/>
      <c r="J75" s="30"/>
      <c r="K75" s="30"/>
      <c r="L75" s="30"/>
      <c r="M75" s="30"/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37" t="str">
        <f t="shared" ref="A76:A81" si="46">A25</f>
        <v>Dump Trucks</v>
      </c>
      <c r="B76" s="36"/>
      <c r="C76" s="20"/>
      <c r="D76" s="1"/>
      <c r="E76" s="30">
        <f t="shared" ref="E76:M80" si="47">(Q25*$P25)/2000</f>
        <v>2.0727169338670071E-2</v>
      </c>
      <c r="F76" s="30">
        <f t="shared" si="47"/>
        <v>8.2564911068857549E-2</v>
      </c>
      <c r="G76" s="30">
        <f t="shared" si="47"/>
        <v>0.13680231744736815</v>
      </c>
      <c r="H76" s="30">
        <f t="shared" si="47"/>
        <v>4.1226258065303134E-4</v>
      </c>
      <c r="I76" s="30">
        <f t="shared" si="47"/>
        <v>4.6424841668129269E-3</v>
      </c>
      <c r="J76" s="30">
        <f t="shared" si="47"/>
        <v>4.1318109084635055E-3</v>
      </c>
      <c r="K76" s="30">
        <f t="shared" si="47"/>
        <v>36.6399809023385</v>
      </c>
      <c r="L76" s="30">
        <f t="shared" si="47"/>
        <v>2.2009466774640237E-3</v>
      </c>
      <c r="M76" s="30">
        <f t="shared" si="47"/>
        <v>1.2996220157499972E-2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46"/>
        <v>Small Crane</v>
      </c>
      <c r="B77" s="36"/>
      <c r="C77" s="20"/>
      <c r="D77" s="1"/>
      <c r="E77" s="30">
        <f t="shared" si="47"/>
        <v>2.4881062185914704E-3</v>
      </c>
      <c r="F77" s="30">
        <f t="shared" si="47"/>
        <v>1.3912277122508322E-2</v>
      </c>
      <c r="G77" s="30">
        <f t="shared" si="47"/>
        <v>1.4753179069652955E-2</v>
      </c>
      <c r="H77" s="30">
        <f t="shared" si="47"/>
        <v>2.5883500023494265E-5</v>
      </c>
      <c r="I77" s="30">
        <f t="shared" si="47"/>
        <v>1.2081602327740752E-3</v>
      </c>
      <c r="J77" s="30">
        <f t="shared" si="47"/>
        <v>1.0752626071689271E-3</v>
      </c>
      <c r="K77" s="30">
        <f t="shared" si="47"/>
        <v>2.2065104944695508</v>
      </c>
      <c r="L77" s="30">
        <f t="shared" si="47"/>
        <v>2.7395959167281718E-4</v>
      </c>
      <c r="M77" s="30">
        <f t="shared" si="47"/>
        <v>1.4015520116170306E-3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46"/>
        <v>CAT 416 Rubber Tire Backhoe</v>
      </c>
      <c r="B78" s="36"/>
      <c r="C78" s="20"/>
      <c r="D78" s="1"/>
      <c r="E78" s="30">
        <f t="shared" si="47"/>
        <v>2.0773715101161036E-2</v>
      </c>
      <c r="F78" s="30">
        <f t="shared" si="47"/>
        <v>0.13128369953405827</v>
      </c>
      <c r="G78" s="30">
        <f t="shared" si="47"/>
        <v>0.12700464664525724</v>
      </c>
      <c r="H78" s="30">
        <f t="shared" si="47"/>
        <v>2.4326216546440019E-4</v>
      </c>
      <c r="I78" s="30">
        <f t="shared" si="47"/>
        <v>9.8033296061481243E-3</v>
      </c>
      <c r="J78" s="30">
        <f t="shared" si="47"/>
        <v>8.7249633494718305E-3</v>
      </c>
      <c r="K78" s="30">
        <f t="shared" si="47"/>
        <v>20.737557206553589</v>
      </c>
      <c r="L78" s="30">
        <f t="shared" si="47"/>
        <v>2.2679837173771298E-3</v>
      </c>
      <c r="M78" s="30">
        <f t="shared" si="47"/>
        <v>1.2065441431299437E-2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46"/>
        <v>Concrete Trucks</v>
      </c>
      <c r="B79" s="36"/>
      <c r="C79" s="20"/>
      <c r="D79" s="1"/>
      <c r="E79" s="30">
        <f t="shared" si="47"/>
        <v>8.2908677354680289E-3</v>
      </c>
      <c r="F79" s="30">
        <f t="shared" si="47"/>
        <v>3.3025964427543027E-2</v>
      </c>
      <c r="G79" s="30">
        <f t="shared" si="47"/>
        <v>5.472092697894726E-2</v>
      </c>
      <c r="H79" s="30">
        <f t="shared" si="47"/>
        <v>1.6490503226121252E-4</v>
      </c>
      <c r="I79" s="30">
        <f t="shared" si="47"/>
        <v>1.8569936667251707E-3</v>
      </c>
      <c r="J79" s="30">
        <f t="shared" si="47"/>
        <v>1.6527243633854018E-3</v>
      </c>
      <c r="K79" s="30">
        <f t="shared" si="47"/>
        <v>14.655992360935398</v>
      </c>
      <c r="L79" s="30">
        <f t="shared" si="47"/>
        <v>8.8037867098560943E-4</v>
      </c>
      <c r="M79" s="30">
        <f t="shared" si="47"/>
        <v>5.1984880629999891E-3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37" t="str">
        <f t="shared" si="46"/>
        <v>Compactor</v>
      </c>
      <c r="B80" s="36"/>
      <c r="C80" s="20"/>
      <c r="D80" s="1"/>
      <c r="E80" s="30">
        <f t="shared" si="47"/>
        <v>3.725066355868654E-3</v>
      </c>
      <c r="F80" s="30">
        <f t="shared" si="47"/>
        <v>1.59363655235247E-2</v>
      </c>
      <c r="G80" s="30">
        <f t="shared" si="47"/>
        <v>3.235544719678813E-2</v>
      </c>
      <c r="H80" s="30">
        <f t="shared" si="47"/>
        <v>7.5791005545273977E-5</v>
      </c>
      <c r="I80" s="30">
        <f t="shared" si="47"/>
        <v>1.0905915330590191E-3</v>
      </c>
      <c r="J80" s="30">
        <f t="shared" si="47"/>
        <v>9.7062646442252706E-4</v>
      </c>
      <c r="K80" s="30">
        <f t="shared" si="47"/>
        <v>6.7359504847487548</v>
      </c>
      <c r="L80" s="30">
        <f t="shared" si="47"/>
        <v>3.910320239778145E-4</v>
      </c>
      <c r="M80" s="30">
        <f t="shared" si="47"/>
        <v>3.0737674836948726E-3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2" t="str">
        <f t="shared" si="46"/>
        <v>Subtotal</v>
      </c>
      <c r="B81" s="36"/>
      <c r="C81" s="20"/>
      <c r="D81" s="1"/>
      <c r="E81" s="24">
        <f t="shared" ref="E81:M81" si="48">SUM(E76:E80)</f>
        <v>5.6004924749759259E-2</v>
      </c>
      <c r="F81" s="24">
        <f t="shared" si="48"/>
        <v>0.27672321767649183</v>
      </c>
      <c r="G81" s="24">
        <f t="shared" si="48"/>
        <v>0.36563651733801372</v>
      </c>
      <c r="H81" s="24">
        <f t="shared" si="48"/>
        <v>9.2210428394741222E-4</v>
      </c>
      <c r="I81" s="24">
        <f t="shared" si="48"/>
        <v>1.8601559205519314E-2</v>
      </c>
      <c r="J81" s="24">
        <f t="shared" si="48"/>
        <v>1.6555387692912191E-2</v>
      </c>
      <c r="K81" s="24">
        <f t="shared" si="48"/>
        <v>80.975991449045793</v>
      </c>
      <c r="L81" s="24">
        <f t="shared" si="48"/>
        <v>6.0143006814773955E-3</v>
      </c>
      <c r="M81" s="24">
        <f t="shared" si="48"/>
        <v>3.47354691471113E-2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37"/>
      <c r="B82" s="36"/>
      <c r="C82" s="20"/>
      <c r="D82" s="1"/>
      <c r="E82" s="30"/>
      <c r="F82" s="30"/>
      <c r="G82" s="30"/>
      <c r="H82" s="30"/>
      <c r="I82" s="30"/>
      <c r="J82" s="30"/>
      <c r="K82" s="30"/>
      <c r="L82" s="30"/>
      <c r="M82" s="30"/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2" t="str">
        <f t="shared" ref="A83:A88" si="49">A32</f>
        <v>Trans: Rancho San Juan - Steel Structure Installations</v>
      </c>
      <c r="B83" s="36"/>
      <c r="C83" s="20"/>
      <c r="D83" s="1"/>
      <c r="E83" s="30"/>
      <c r="F83" s="30"/>
      <c r="G83" s="30"/>
      <c r="H83" s="30"/>
      <c r="I83" s="30"/>
      <c r="J83" s="30"/>
      <c r="K83" s="30"/>
      <c r="L83" s="30"/>
      <c r="M83" s="30"/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37" t="str">
        <f t="shared" si="49"/>
        <v>2-ton Flatbed Truck</v>
      </c>
      <c r="B84" s="36"/>
      <c r="C84" s="20"/>
      <c r="D84" s="1"/>
      <c r="E84" s="30">
        <f t="shared" ref="E84:M86" si="50">(Q33*$P33)/2000</f>
        <v>1.0363584669335036E-3</v>
      </c>
      <c r="F84" s="30">
        <f t="shared" si="50"/>
        <v>4.1282455534428783E-3</v>
      </c>
      <c r="G84" s="30">
        <f t="shared" si="50"/>
        <v>6.8401158723684075E-3</v>
      </c>
      <c r="H84" s="30">
        <f t="shared" si="50"/>
        <v>2.0613129032651565E-5</v>
      </c>
      <c r="I84" s="30">
        <f t="shared" si="50"/>
        <v>2.3212420834064633E-4</v>
      </c>
      <c r="J84" s="30">
        <f t="shared" si="50"/>
        <v>2.0659054542317522E-4</v>
      </c>
      <c r="K84" s="30">
        <f t="shared" si="50"/>
        <v>1.8319990451169248</v>
      </c>
      <c r="L84" s="30">
        <f t="shared" si="50"/>
        <v>1.1004733387320118E-4</v>
      </c>
      <c r="M84" s="30">
        <f t="shared" si="50"/>
        <v>6.4981100787499864E-4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 t="shared" si="49"/>
        <v>Crane</v>
      </c>
      <c r="B85" s="36"/>
      <c r="C85" s="20"/>
      <c r="D85" s="1"/>
      <c r="E85" s="30">
        <f t="shared" si="50"/>
        <v>2.3783087137176214E-3</v>
      </c>
      <c r="F85" s="30">
        <f t="shared" si="50"/>
        <v>9.9363294141142765E-3</v>
      </c>
      <c r="G85" s="30">
        <f t="shared" si="50"/>
        <v>1.7415125414566298E-2</v>
      </c>
      <c r="H85" s="30">
        <f t="shared" si="50"/>
        <v>3.8890563596606236E-5</v>
      </c>
      <c r="I85" s="30">
        <f t="shared" si="50"/>
        <v>6.3461562139505016E-4</v>
      </c>
      <c r="J85" s="30">
        <f t="shared" si="50"/>
        <v>5.648079030415947E-4</v>
      </c>
      <c r="K85" s="30">
        <f t="shared" si="50"/>
        <v>3.9622280691731322</v>
      </c>
      <c r="L85" s="30">
        <f t="shared" si="50"/>
        <v>2.5051591135301913E-4</v>
      </c>
      <c r="M85" s="30">
        <f t="shared" si="50"/>
        <v>1.6544369143837983E-3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 t="shared" si="49"/>
        <v>Manlift</v>
      </c>
      <c r="B86" s="36"/>
      <c r="C86" s="20"/>
      <c r="D86" s="1"/>
      <c r="E86" s="30">
        <f t="shared" si="50"/>
        <v>2.7186680388902721E-3</v>
      </c>
      <c r="F86" s="30">
        <f t="shared" si="50"/>
        <v>1.978437238893066E-2</v>
      </c>
      <c r="G86" s="30">
        <f t="shared" si="50"/>
        <v>1.989115632383746E-2</v>
      </c>
      <c r="H86" s="30">
        <f t="shared" si="50"/>
        <v>3.9300968140915397E-5</v>
      </c>
      <c r="I86" s="30">
        <f t="shared" si="50"/>
        <v>1.3772193832713344E-3</v>
      </c>
      <c r="J86" s="30">
        <f t="shared" si="50"/>
        <v>1.2257252511114875E-3</v>
      </c>
      <c r="K86" s="30">
        <f t="shared" si="50"/>
        <v>3.3503201449787565</v>
      </c>
      <c r="L86" s="30">
        <f t="shared" si="50"/>
        <v>2.9238190033895587E-4</v>
      </c>
      <c r="M86" s="30">
        <f t="shared" si="50"/>
        <v>1.8896598507645588E-3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 t="shared" si="49"/>
        <v>Air Compressor</v>
      </c>
      <c r="B87" s="36"/>
      <c r="C87" s="20"/>
      <c r="D87" s="1"/>
      <c r="E87" s="30">
        <f t="shared" ref="E87" si="51">(Q36*$P36)/2000</f>
        <v>6.2376579907238361E-3</v>
      </c>
      <c r="F87" s="30">
        <f t="shared" ref="F87" si="52">(R36*$P36)/2000</f>
        <v>3.4065942604923301E-2</v>
      </c>
      <c r="G87" s="30">
        <f t="shared" ref="G87" si="53">(S36*$P36)/2000</f>
        <v>2.9373373165816532E-2</v>
      </c>
      <c r="H87" s="30">
        <f t="shared" ref="H87" si="54">(T36*$P36)/2000</f>
        <v>3.8004361143173212E-5</v>
      </c>
      <c r="I87" s="30">
        <f t="shared" ref="I87" si="55">(U36*$P36)/2000</f>
        <v>1.6100304422353555E-3</v>
      </c>
      <c r="J87" s="30">
        <f t="shared" ref="J87" si="56">(V36*$P36)/2000</f>
        <v>1.4329270935894665E-3</v>
      </c>
      <c r="K87" s="30">
        <f t="shared" ref="K87" si="57">(W36*$P36)/2000</f>
        <v>2.9398067806283255</v>
      </c>
      <c r="L87" s="30">
        <f t="shared" ref="L87" si="58">(X36*$P36)/2000</f>
        <v>7.0351718027275687E-4</v>
      </c>
      <c r="M87" s="30">
        <f t="shared" ref="M87" si="59">(Y36*$P36)/2000</f>
        <v>2.7904704507525704E-3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2" t="str">
        <f t="shared" si="49"/>
        <v>Subtotal</v>
      </c>
      <c r="B88" s="36"/>
      <c r="C88" s="20"/>
      <c r="D88" s="1"/>
      <c r="E88" s="24">
        <f>SUM(E84:E87)</f>
        <v>1.2370993210265233E-2</v>
      </c>
      <c r="F88" s="24">
        <f t="shared" ref="F88:M88" si="60">SUM(F84:F87)</f>
        <v>6.7914889961411123E-2</v>
      </c>
      <c r="G88" s="24">
        <f t="shared" si="60"/>
        <v>7.3519770776588694E-2</v>
      </c>
      <c r="H88" s="24">
        <f t="shared" si="60"/>
        <v>1.3680902191334641E-4</v>
      </c>
      <c r="I88" s="24">
        <f t="shared" si="60"/>
        <v>3.8539896552423859E-3</v>
      </c>
      <c r="J88" s="24">
        <f t="shared" si="60"/>
        <v>3.4300507931657241E-3</v>
      </c>
      <c r="K88" s="24">
        <f t="shared" si="60"/>
        <v>12.084354039897139</v>
      </c>
      <c r="L88" s="24">
        <f t="shared" si="60"/>
        <v>1.3564623258379331E-3</v>
      </c>
      <c r="M88" s="24">
        <f t="shared" si="60"/>
        <v>6.984378223775926E-3</v>
      </c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2" t="s">
        <v>639</v>
      </c>
      <c r="B89" s="36"/>
      <c r="C89" s="20"/>
      <c r="D89" s="1"/>
      <c r="E89" s="24">
        <f>E65+E72+E81+E88</f>
        <v>0.1238460124853961</v>
      </c>
      <c r="F89" s="24">
        <f t="shared" ref="F89:M89" si="61">F65+F72+F81+F88</f>
        <v>0.61723802744774459</v>
      </c>
      <c r="G89" s="24">
        <f t="shared" si="61"/>
        <v>0.83147326820028877</v>
      </c>
      <c r="H89" s="24">
        <f t="shared" si="61"/>
        <v>2.0677928288307286E-3</v>
      </c>
      <c r="I89" s="24">
        <f t="shared" si="61"/>
        <v>3.7868902972593807E-2</v>
      </c>
      <c r="J89" s="24">
        <f t="shared" si="61"/>
        <v>3.3703323645608498E-2</v>
      </c>
      <c r="K89" s="24">
        <f t="shared" si="61"/>
        <v>184.95246125473878</v>
      </c>
      <c r="L89" s="24">
        <f t="shared" si="61"/>
        <v>1.330380487110186E-2</v>
      </c>
      <c r="M89" s="24">
        <f t="shared" si="61"/>
        <v>7.8989960479027441E-2</v>
      </c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37"/>
      <c r="B90" s="36"/>
      <c r="C90" s="20"/>
      <c r="D90" s="1"/>
      <c r="E90" s="30"/>
      <c r="F90" s="30"/>
      <c r="G90" s="30"/>
      <c r="H90" s="30"/>
      <c r="I90" s="30"/>
      <c r="J90" s="30"/>
      <c r="K90" s="30"/>
      <c r="L90" s="30"/>
      <c r="M90" s="30"/>
      <c r="O90" s="572"/>
      <c r="P90" s="572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2" t="str">
        <f t="shared" ref="A91:A96" si="62">A40</f>
        <v>Trans: Rancho San Juan - Cable/Conductor Pulling and Tensioning</v>
      </c>
      <c r="B91" s="36"/>
      <c r="C91" s="20"/>
      <c r="D91" s="1"/>
      <c r="E91" s="30"/>
      <c r="F91" s="30"/>
      <c r="G91" s="30"/>
      <c r="H91" s="30"/>
      <c r="I91" s="30"/>
      <c r="J91" s="30"/>
      <c r="K91" s="30"/>
      <c r="L91" s="30"/>
      <c r="M91" s="30"/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62"/>
        <v>Manlift</v>
      </c>
      <c r="B92" s="36"/>
      <c r="C92" s="20"/>
      <c r="D92" s="1"/>
      <c r="E92" s="30">
        <f t="shared" ref="E92:M95" si="63">(Q41*$P41)/2000</f>
        <v>1.3217446718565265E-2</v>
      </c>
      <c r="F92" s="30">
        <f t="shared" si="63"/>
        <v>0.11575480177034465</v>
      </c>
      <c r="G92" s="30">
        <f t="shared" si="63"/>
        <v>9.7248812065228868E-2</v>
      </c>
      <c r="H92" s="30">
        <f t="shared" si="63"/>
        <v>2.3580584296263471E-4</v>
      </c>
      <c r="I92" s="30">
        <f t="shared" si="63"/>
        <v>6.3867283500471236E-3</v>
      </c>
      <c r="J92" s="30">
        <f t="shared" si="63"/>
        <v>5.6841882315419399E-3</v>
      </c>
      <c r="K92" s="30">
        <f t="shared" si="63"/>
        <v>20.101926347862612</v>
      </c>
      <c r="L92" s="30">
        <f t="shared" si="63"/>
        <v>1.5571850760529601E-3</v>
      </c>
      <c r="M92" s="30">
        <f t="shared" si="63"/>
        <v>9.2386371461967431E-3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62"/>
        <v>Puller and Tensioner</v>
      </c>
      <c r="B93" s="36"/>
      <c r="C93" s="20"/>
      <c r="D93" s="1"/>
      <c r="E93" s="30">
        <f t="shared" si="63"/>
        <v>1.5879741841425595E-2</v>
      </c>
      <c r="F93" s="30">
        <f t="shared" si="63"/>
        <v>9.0700921297607651E-2</v>
      </c>
      <c r="G93" s="30">
        <f t="shared" si="63"/>
        <v>0.10300615355285277</v>
      </c>
      <c r="H93" s="30">
        <f t="shared" si="63"/>
        <v>4.3919636026227741E-4</v>
      </c>
      <c r="I93" s="30">
        <f t="shared" si="63"/>
        <v>3.6119652839799714E-3</v>
      </c>
      <c r="J93" s="30">
        <f t="shared" si="63"/>
        <v>3.2146491027421746E-3</v>
      </c>
      <c r="K93" s="30">
        <f t="shared" si="63"/>
        <v>44.745970911698073</v>
      </c>
      <c r="L93" s="30">
        <f t="shared" si="63"/>
        <v>1.7821923416856743E-3</v>
      </c>
      <c r="M93" s="30">
        <f t="shared" si="63"/>
        <v>9.7855845875210127E-3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62"/>
        <v>Reel Trailer</v>
      </c>
      <c r="B94" s="36"/>
      <c r="C94" s="20"/>
      <c r="D94" s="1"/>
      <c r="E94" s="30">
        <f t="shared" si="63"/>
        <v>1.5879741841425595E-2</v>
      </c>
      <c r="F94" s="30">
        <f t="shared" si="63"/>
        <v>9.0700921297607651E-2</v>
      </c>
      <c r="G94" s="30">
        <f t="shared" si="63"/>
        <v>0.10300615355285277</v>
      </c>
      <c r="H94" s="30">
        <f t="shared" si="63"/>
        <v>4.3919636026227741E-4</v>
      </c>
      <c r="I94" s="30">
        <f t="shared" si="63"/>
        <v>3.6119652839799714E-3</v>
      </c>
      <c r="J94" s="30">
        <f t="shared" si="63"/>
        <v>3.2146491027421746E-3</v>
      </c>
      <c r="K94" s="30">
        <f t="shared" si="63"/>
        <v>44.745970911698073</v>
      </c>
      <c r="L94" s="30">
        <f t="shared" si="63"/>
        <v>1.7821923416856743E-3</v>
      </c>
      <c r="M94" s="30">
        <f t="shared" si="63"/>
        <v>9.7855845875210127E-3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 t="str">
        <f t="shared" si="62"/>
        <v>Splice Trailer</v>
      </c>
      <c r="B95" s="36"/>
      <c r="C95" s="20"/>
      <c r="D95" s="1"/>
      <c r="E95" s="30">
        <f t="shared" si="63"/>
        <v>1.5879741841425595E-2</v>
      </c>
      <c r="F95" s="30">
        <f t="shared" si="63"/>
        <v>9.0700921297607651E-2</v>
      </c>
      <c r="G95" s="30">
        <f t="shared" si="63"/>
        <v>0.10300615355285277</v>
      </c>
      <c r="H95" s="30">
        <f t="shared" si="63"/>
        <v>4.3919636026227741E-4</v>
      </c>
      <c r="I95" s="30">
        <f t="shared" si="63"/>
        <v>3.6119652839799714E-3</v>
      </c>
      <c r="J95" s="30">
        <f t="shared" si="63"/>
        <v>3.2146491027421746E-3</v>
      </c>
      <c r="K95" s="30">
        <f t="shared" si="63"/>
        <v>44.745970911698073</v>
      </c>
      <c r="L95" s="30">
        <f t="shared" si="63"/>
        <v>1.7821923416856743E-3</v>
      </c>
      <c r="M95" s="30">
        <f t="shared" si="63"/>
        <v>9.7855845875210127E-3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2" t="str">
        <f t="shared" si="62"/>
        <v>Subtotal</v>
      </c>
      <c r="B96" s="36"/>
      <c r="C96" s="20"/>
      <c r="D96" s="1"/>
      <c r="E96" s="24">
        <f>SUM(E92:E95)</f>
        <v>6.0856672242842053E-2</v>
      </c>
      <c r="F96" s="24">
        <f t="shared" ref="F96:M96" si="64">SUM(F92:F95)</f>
        <v>0.38785756566316759</v>
      </c>
      <c r="G96" s="24">
        <f t="shared" si="64"/>
        <v>0.40626727272378715</v>
      </c>
      <c r="H96" s="24">
        <f t="shared" si="64"/>
        <v>1.5533949237494669E-3</v>
      </c>
      <c r="I96" s="24">
        <f t="shared" si="64"/>
        <v>1.7222624201987037E-2</v>
      </c>
      <c r="J96" s="24">
        <f t="shared" si="64"/>
        <v>1.5328135539768462E-2</v>
      </c>
      <c r="K96" s="24">
        <f t="shared" si="64"/>
        <v>154.33983908295681</v>
      </c>
      <c r="L96" s="24">
        <f t="shared" si="64"/>
        <v>6.903762101109984E-3</v>
      </c>
      <c r="M96" s="24">
        <f t="shared" si="64"/>
        <v>3.8595390908759776E-2</v>
      </c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37"/>
      <c r="B97" s="36"/>
      <c r="C97" s="20"/>
      <c r="D97" s="1"/>
      <c r="E97" s="30"/>
      <c r="F97" s="30"/>
      <c r="G97" s="30"/>
      <c r="H97" s="30"/>
      <c r="I97" s="30"/>
      <c r="J97" s="30"/>
      <c r="K97" s="30"/>
      <c r="L97" s="30"/>
      <c r="M97" s="30"/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s="3" customFormat="1" x14ac:dyDescent="0.25">
      <c r="A98" s="12" t="str">
        <f t="shared" ref="A98:A105" si="65">A47</f>
        <v>Trans: Rancho San Juan - Removal of Steel Riser Structures</v>
      </c>
      <c r="B98" s="36"/>
      <c r="C98" s="20"/>
      <c r="D98" s="1"/>
      <c r="E98" s="30"/>
      <c r="F98" s="30"/>
      <c r="G98" s="30"/>
      <c r="H98" s="30"/>
      <c r="I98" s="30"/>
      <c r="J98" s="30"/>
      <c r="K98" s="30"/>
      <c r="L98" s="30"/>
      <c r="M98" s="30"/>
      <c r="O98"/>
      <c r="P98"/>
      <c r="Q98" s="4"/>
      <c r="R98" s="4"/>
      <c r="S98" s="4"/>
      <c r="T98" s="4"/>
      <c r="U98" s="4"/>
      <c r="V98" s="4"/>
      <c r="W98" s="5"/>
      <c r="X98" s="4"/>
      <c r="Y98" s="4"/>
      <c r="Z98" s="6"/>
      <c r="AA98" s="6"/>
      <c r="AB98" s="6"/>
      <c r="AC98" s="6"/>
      <c r="AD98" s="6"/>
      <c r="AE98" s="6"/>
      <c r="AF98" s="7"/>
    </row>
    <row r="99" spans="1:32" s="3" customFormat="1" x14ac:dyDescent="0.25">
      <c r="A99" s="137" t="str">
        <f t="shared" si="65"/>
        <v>2-ton Flatbed Truck</v>
      </c>
      <c r="B99" s="36"/>
      <c r="C99" s="20"/>
      <c r="D99" s="1"/>
      <c r="E99" s="30">
        <f t="shared" ref="E99:M104" si="66">(Q48*$P48)/2000</f>
        <v>1.7862293036821834E-3</v>
      </c>
      <c r="F99" s="30">
        <f t="shared" si="66"/>
        <v>8.3587240294650117E-3</v>
      </c>
      <c r="G99" s="30">
        <f t="shared" si="66"/>
        <v>1.0646786848530371E-2</v>
      </c>
      <c r="H99" s="30">
        <f t="shared" si="66"/>
        <v>4.1226282465404231E-5</v>
      </c>
      <c r="I99" s="30">
        <f t="shared" si="66"/>
        <v>3.6664231095449E-4</v>
      </c>
      <c r="J99" s="30">
        <f t="shared" si="66"/>
        <v>3.2631165674949612E-4</v>
      </c>
      <c r="K99" s="30">
        <f t="shared" si="66"/>
        <v>3.6639995435074875</v>
      </c>
      <c r="L99" s="30">
        <f t="shared" si="66"/>
        <v>2.0679339831701236E-4</v>
      </c>
      <c r="M99" s="30">
        <f t="shared" si="66"/>
        <v>1.0114447506103855E-3</v>
      </c>
      <c r="O99"/>
      <c r="P99"/>
      <c r="Q99" s="4"/>
      <c r="R99" s="4"/>
      <c r="S99" s="4"/>
      <c r="T99" s="4"/>
      <c r="U99" s="4"/>
      <c r="V99" s="4"/>
      <c r="W99" s="5"/>
      <c r="X99" s="4"/>
      <c r="Y99" s="4"/>
      <c r="Z99" s="6"/>
      <c r="AA99" s="6"/>
      <c r="AB99" s="6"/>
      <c r="AC99" s="6"/>
      <c r="AD99" s="6"/>
      <c r="AE99" s="6"/>
      <c r="AF99" s="7"/>
    </row>
    <row r="100" spans="1:32" s="3" customFormat="1" x14ac:dyDescent="0.25">
      <c r="A100" s="137" t="str">
        <f t="shared" si="65"/>
        <v>Manlift</v>
      </c>
      <c r="B100" s="36"/>
      <c r="C100" s="20"/>
      <c r="D100" s="1"/>
      <c r="E100" s="30">
        <f t="shared" si="66"/>
        <v>2.2029077864275442E-3</v>
      </c>
      <c r="F100" s="30">
        <f t="shared" si="66"/>
        <v>1.9292466961724108E-2</v>
      </c>
      <c r="G100" s="30">
        <f t="shared" si="66"/>
        <v>1.6208135344204809E-2</v>
      </c>
      <c r="H100" s="30">
        <f t="shared" si="66"/>
        <v>3.9300973827105787E-5</v>
      </c>
      <c r="I100" s="30">
        <f t="shared" si="66"/>
        <v>1.0644547250078537E-3</v>
      </c>
      <c r="J100" s="30">
        <f t="shared" si="66"/>
        <v>9.4736470525698998E-4</v>
      </c>
      <c r="K100" s="30">
        <f t="shared" si="66"/>
        <v>3.3503210579771019</v>
      </c>
      <c r="L100" s="30">
        <f t="shared" si="66"/>
        <v>2.5953084600882669E-4</v>
      </c>
      <c r="M100" s="30">
        <f t="shared" si="66"/>
        <v>1.5397728576994568E-3</v>
      </c>
      <c r="O100"/>
      <c r="P100"/>
      <c r="Q100" s="4"/>
      <c r="R100" s="4"/>
      <c r="S100" s="4"/>
      <c r="T100" s="4"/>
      <c r="U100" s="4"/>
      <c r="V100" s="4"/>
      <c r="W100" s="5"/>
      <c r="X100" s="4"/>
      <c r="Y100" s="4"/>
      <c r="Z100" s="6"/>
      <c r="AA100" s="6"/>
      <c r="AB100" s="6"/>
      <c r="AC100" s="6"/>
      <c r="AD100" s="6"/>
      <c r="AE100" s="6"/>
      <c r="AF100" s="7"/>
    </row>
    <row r="101" spans="1:32" s="3" customFormat="1" x14ac:dyDescent="0.25">
      <c r="A101" s="137" t="str">
        <f t="shared" si="65"/>
        <v>Jackhammer</v>
      </c>
      <c r="B101" s="36"/>
      <c r="C101" s="20"/>
      <c r="D101" s="1"/>
      <c r="E101" s="30">
        <f t="shared" si="66"/>
        <v>1.0523765189577848E-3</v>
      </c>
      <c r="F101" s="30">
        <f t="shared" si="66"/>
        <v>6.9885380492668708E-3</v>
      </c>
      <c r="G101" s="30">
        <f t="shared" si="66"/>
        <v>8.4745680961273856E-3</v>
      </c>
      <c r="H101" s="30">
        <f t="shared" si="66"/>
        <v>1.1068355488675067E-5</v>
      </c>
      <c r="I101" s="30">
        <f t="shared" si="66"/>
        <v>1.9563258616614161E-4</v>
      </c>
      <c r="J101" s="30">
        <f t="shared" si="66"/>
        <v>1.7411300168786604E-4</v>
      </c>
      <c r="K101" s="30">
        <f t="shared" si="66"/>
        <v>0.87234123870576041</v>
      </c>
      <c r="L101" s="30">
        <f t="shared" si="66"/>
        <v>9.4954273348658622E-5</v>
      </c>
      <c r="M101" s="30">
        <f t="shared" si="66"/>
        <v>8.0508396913210167E-4</v>
      </c>
      <c r="O101"/>
      <c r="P101"/>
      <c r="Q101" s="4"/>
      <c r="R101" s="4"/>
      <c r="S101" s="4"/>
      <c r="T101" s="4"/>
      <c r="U101" s="4"/>
      <c r="V101" s="4"/>
      <c r="W101" s="5"/>
      <c r="X101" s="4"/>
      <c r="Y101" s="4"/>
      <c r="Z101" s="6"/>
      <c r="AA101" s="6"/>
      <c r="AB101" s="6"/>
      <c r="AC101" s="6"/>
      <c r="AD101" s="6"/>
      <c r="AE101" s="6"/>
      <c r="AF101" s="7"/>
    </row>
    <row r="102" spans="1:32" s="3" customFormat="1" x14ac:dyDescent="0.25">
      <c r="A102" s="137" t="str">
        <f t="shared" si="65"/>
        <v>Loader</v>
      </c>
      <c r="B102" s="36"/>
      <c r="C102" s="20"/>
      <c r="D102" s="1"/>
      <c r="E102" s="30">
        <f t="shared" si="66"/>
        <v>1.6035216122341084E-3</v>
      </c>
      <c r="F102" s="30">
        <f t="shared" si="66"/>
        <v>7.2899086966289901E-3</v>
      </c>
      <c r="G102" s="30">
        <f t="shared" si="66"/>
        <v>1.1312700167144245E-2</v>
      </c>
      <c r="H102" s="30">
        <f t="shared" si="66"/>
        <v>3.6877344905248817E-5</v>
      </c>
      <c r="I102" s="30">
        <f t="shared" si="66"/>
        <v>3.9072617559082626E-4</v>
      </c>
      <c r="J102" s="30">
        <f t="shared" si="66"/>
        <v>3.4774629627583542E-4</v>
      </c>
      <c r="K102" s="30">
        <f t="shared" si="66"/>
        <v>3.277487431647566</v>
      </c>
      <c r="L102" s="30">
        <f t="shared" si="66"/>
        <v>1.8778530214441275E-4</v>
      </c>
      <c r="M102" s="30">
        <f t="shared" si="66"/>
        <v>1.0747065158787032E-3</v>
      </c>
      <c r="O102"/>
      <c r="P102"/>
      <c r="Q102" s="4"/>
      <c r="R102" s="4"/>
      <c r="S102" s="4"/>
      <c r="T102" s="4"/>
      <c r="U102" s="4"/>
      <c r="V102" s="4"/>
      <c r="W102" s="5"/>
      <c r="X102" s="4"/>
      <c r="Y102" s="4"/>
      <c r="Z102" s="6"/>
      <c r="AA102" s="6"/>
      <c r="AB102" s="6"/>
      <c r="AC102" s="6"/>
      <c r="AD102" s="6"/>
      <c r="AE102" s="6"/>
      <c r="AF102" s="7"/>
    </row>
    <row r="103" spans="1:32" s="3" customFormat="1" x14ac:dyDescent="0.25">
      <c r="A103" s="137" t="str">
        <f t="shared" si="65"/>
        <v>Dump Trucks</v>
      </c>
      <c r="B103" s="36"/>
      <c r="C103" s="20"/>
      <c r="D103" s="1"/>
      <c r="E103" s="30">
        <f t="shared" si="66"/>
        <v>8.9311465184109171E-4</v>
      </c>
      <c r="F103" s="30">
        <f t="shared" si="66"/>
        <v>4.1793620147325058E-3</v>
      </c>
      <c r="G103" s="30">
        <f t="shared" si="66"/>
        <v>5.3233934242651855E-3</v>
      </c>
      <c r="H103" s="30">
        <f t="shared" si="66"/>
        <v>2.0613141232702115E-5</v>
      </c>
      <c r="I103" s="30">
        <f t="shared" si="66"/>
        <v>1.83321155477245E-4</v>
      </c>
      <c r="J103" s="30">
        <f t="shared" si="66"/>
        <v>1.6315582837474806E-4</v>
      </c>
      <c r="K103" s="30">
        <f t="shared" si="66"/>
        <v>1.8319997717537437</v>
      </c>
      <c r="L103" s="30">
        <f t="shared" si="66"/>
        <v>1.0339669915850618E-4</v>
      </c>
      <c r="M103" s="30">
        <f t="shared" si="66"/>
        <v>5.0572237530519275E-4</v>
      </c>
      <c r="O103"/>
      <c r="P103"/>
      <c r="Q103" s="4"/>
      <c r="R103" s="4"/>
      <c r="S103" s="4"/>
      <c r="T103" s="4"/>
      <c r="U103" s="4"/>
      <c r="V103" s="4"/>
      <c r="W103" s="5"/>
      <c r="X103" s="4"/>
      <c r="Y103" s="4"/>
      <c r="Z103" s="6"/>
      <c r="AA103" s="6"/>
      <c r="AB103" s="6"/>
      <c r="AC103" s="6"/>
      <c r="AD103" s="6"/>
      <c r="AE103" s="6"/>
      <c r="AF103" s="7"/>
    </row>
    <row r="104" spans="1:32" s="3" customFormat="1" x14ac:dyDescent="0.25">
      <c r="A104" s="137" t="str">
        <f t="shared" si="65"/>
        <v>Crane</v>
      </c>
      <c r="B104" s="36"/>
      <c r="C104" s="20"/>
      <c r="D104" s="1"/>
      <c r="E104" s="30">
        <f t="shared" si="66"/>
        <v>1.0430915631100711E-3</v>
      </c>
      <c r="F104" s="30">
        <f t="shared" si="66"/>
        <v>4.9977660114379511E-3</v>
      </c>
      <c r="G104" s="30">
        <f t="shared" si="66"/>
        <v>6.988882220098417E-3</v>
      </c>
      <c r="H104" s="30">
        <f t="shared" si="66"/>
        <v>1.9445282412777796E-5</v>
      </c>
      <c r="I104" s="30">
        <f t="shared" si="66"/>
        <v>2.5696151499613953E-4</v>
      </c>
      <c r="J104" s="30">
        <f t="shared" si="66"/>
        <v>2.2869574834656419E-4</v>
      </c>
      <c r="K104" s="30">
        <f t="shared" si="66"/>
        <v>1.981113990122628</v>
      </c>
      <c r="L104" s="30">
        <f t="shared" si="66"/>
        <v>1.1926112928480032E-4</v>
      </c>
      <c r="M104" s="30">
        <f t="shared" si="66"/>
        <v>6.6394381090934961E-4</v>
      </c>
      <c r="O104"/>
      <c r="P104"/>
      <c r="Q104" s="4"/>
      <c r="R104" s="4"/>
      <c r="S104" s="4"/>
      <c r="T104" s="4"/>
      <c r="U104" s="4"/>
      <c r="V104" s="4"/>
      <c r="W104" s="5"/>
      <c r="X104" s="4"/>
      <c r="Y104" s="4"/>
      <c r="Z104" s="6"/>
      <c r="AA104" s="6"/>
      <c r="AB104" s="6"/>
      <c r="AC104" s="6"/>
      <c r="AD104" s="6"/>
      <c r="AE104" s="6"/>
      <c r="AF104" s="7"/>
    </row>
    <row r="105" spans="1:32" s="3" customFormat="1" x14ac:dyDescent="0.25">
      <c r="A105" s="144" t="str">
        <f t="shared" si="65"/>
        <v>Subtotal</v>
      </c>
      <c r="B105" s="178"/>
      <c r="C105" s="179"/>
      <c r="D105" s="1"/>
      <c r="E105" s="180">
        <f>SUM(E99:E104)</f>
        <v>8.5812414362527838E-3</v>
      </c>
      <c r="F105" s="180">
        <f t="shared" ref="F105:M105" si="67">SUM(F99:F104)</f>
        <v>5.1106765763255436E-2</v>
      </c>
      <c r="G105" s="180">
        <f t="shared" si="67"/>
        <v>5.8954466100370417E-2</v>
      </c>
      <c r="H105" s="180">
        <f t="shared" si="67"/>
        <v>1.6853138033191386E-4</v>
      </c>
      <c r="I105" s="180">
        <f t="shared" si="67"/>
        <v>2.4577384681926961E-3</v>
      </c>
      <c r="J105" s="180">
        <f t="shared" si="67"/>
        <v>2.1873872366914996E-3</v>
      </c>
      <c r="K105" s="180">
        <f t="shared" si="67"/>
        <v>14.977263033714287</v>
      </c>
      <c r="L105" s="180">
        <f t="shared" si="67"/>
        <v>9.7172164826221695E-4</v>
      </c>
      <c r="M105" s="180">
        <f t="shared" si="67"/>
        <v>5.6006742795351892E-3</v>
      </c>
      <c r="O105"/>
      <c r="P105"/>
      <c r="Q105" s="4"/>
      <c r="R105" s="4"/>
      <c r="S105" s="4"/>
      <c r="T105" s="4"/>
      <c r="U105" s="4"/>
      <c r="V105" s="4"/>
      <c r="W105" s="5"/>
      <c r="X105" s="4"/>
      <c r="Y105" s="4"/>
      <c r="Z105" s="6"/>
      <c r="AA105" s="6"/>
      <c r="AB105" s="6"/>
      <c r="AC105" s="6"/>
      <c r="AD105" s="6"/>
      <c r="AE105" s="6"/>
      <c r="AF105" s="7"/>
    </row>
    <row r="106" spans="1:32" x14ac:dyDescent="0.25">
      <c r="A106" s="19" t="s">
        <v>636</v>
      </c>
      <c r="B106" s="20"/>
      <c r="C106" s="20"/>
      <c r="D106" s="20"/>
      <c r="E106" s="22">
        <f>E96+E105</f>
        <v>6.943791367909484E-2</v>
      </c>
      <c r="F106" s="22">
        <f t="shared" ref="F106:M106" si="68">F96+F105</f>
        <v>0.43896433142642305</v>
      </c>
      <c r="G106" s="22">
        <f t="shared" si="68"/>
        <v>0.46522173882415757</v>
      </c>
      <c r="H106" s="22">
        <f t="shared" si="68"/>
        <v>1.7219263040813809E-3</v>
      </c>
      <c r="I106" s="22">
        <f t="shared" si="68"/>
        <v>1.9680362670179734E-2</v>
      </c>
      <c r="J106" s="22">
        <f t="shared" si="68"/>
        <v>1.7515522776459961E-2</v>
      </c>
      <c r="K106" s="22">
        <f t="shared" si="68"/>
        <v>169.31710211667109</v>
      </c>
      <c r="L106" s="22">
        <f t="shared" si="68"/>
        <v>7.8754837493722005E-3</v>
      </c>
      <c r="M106" s="22">
        <f t="shared" si="68"/>
        <v>4.4196065188294963E-2</v>
      </c>
    </row>
  </sheetData>
  <mergeCells count="3">
    <mergeCell ref="E3:L3"/>
    <mergeCell ref="Q3:X3"/>
    <mergeCell ref="E56:L56"/>
  </mergeCells>
  <pageMargins left="0.75" right="0.75" top="1" bottom="1" header="0.5" footer="0.5"/>
  <pageSetup scale="36" orientation="landscape" r:id="rId1"/>
  <headerFooter alignWithMargins="0">
    <oddHeader xml:space="preserve">&amp;CTable A-4
Construction Heavy Equipment Emissions
South Orange County Reliability Project
Segment 2: Rancho San Juan 230kV
</oddHeader>
    <oddFooter>&amp;CA-4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B22" workbookViewId="0">
      <selection activeCell="H51" sqref="H51"/>
    </sheetView>
  </sheetViews>
  <sheetFormatPr defaultRowHeight="13.2" x14ac:dyDescent="0.25"/>
  <cols>
    <col min="1" max="1" width="33.6640625" customWidth="1"/>
  </cols>
  <sheetData>
    <row r="1" spans="1:45" x14ac:dyDescent="0.25">
      <c r="D1">
        <f>'EFs with Tier 4'!D1</f>
        <v>2015</v>
      </c>
      <c r="E1" s="502">
        <f>'EFs with Tier 4'!K1</f>
        <v>2016</v>
      </c>
      <c r="F1" s="502">
        <f>'EFs with Tier 4'!R1</f>
        <v>2017</v>
      </c>
      <c r="G1" s="502">
        <f>'EFs with Tier 4'!Y1</f>
        <v>2018</v>
      </c>
      <c r="H1" s="502">
        <f>'EFs with Tier 4'!AF1</f>
        <v>2019</v>
      </c>
      <c r="I1" s="502">
        <f>'EFs with Tier 4'!AM1</f>
        <v>2020</v>
      </c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</row>
    <row r="2" spans="1:45" x14ac:dyDescent="0.25">
      <c r="A2" s="97" t="s">
        <v>502</v>
      </c>
      <c r="B2" s="502" t="s">
        <v>572</v>
      </c>
      <c r="C2" s="97" t="s">
        <v>5</v>
      </c>
      <c r="D2" s="502" t="str">
        <f>'EFs with Tier 4'!D2</f>
        <v>ROG</v>
      </c>
      <c r="E2" s="98" t="str">
        <f>'EFs with Tier 4'!K2</f>
        <v>ROG</v>
      </c>
      <c r="F2" s="98" t="str">
        <f>'EFs with Tier 4'!R2</f>
        <v>ROG</v>
      </c>
      <c r="G2" s="98" t="str">
        <f>'EFs with Tier 4'!Y2</f>
        <v>ROG</v>
      </c>
      <c r="H2" s="98" t="str">
        <f>'EFs with Tier 4'!AF2</f>
        <v>ROG</v>
      </c>
      <c r="I2" s="98" t="str">
        <f>'EFs with Tier 4'!AM2</f>
        <v>ROG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4'!D3</f>
        <v>0.28066021184881418</v>
      </c>
      <c r="E3" s="502">
        <f>'EFs with Tier 4'!K3</f>
        <v>0.2557578409919421</v>
      </c>
      <c r="F3" s="502">
        <f>'EFs with Tier 4'!R3</f>
        <v>0.22145112145961368</v>
      </c>
      <c r="G3" s="502">
        <f>'EFs with Tier 4'!Y3</f>
        <v>0.19010885208217745</v>
      </c>
      <c r="H3" s="502">
        <f>'EFs with Tier 4'!AF3</f>
        <v>0.16170672025220467</v>
      </c>
      <c r="I3" s="502">
        <f>'EFs with Tier 4'!AM3</f>
        <v>0.13615919955496442</v>
      </c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4'!D4</f>
        <v>0.16050268261922351</v>
      </c>
      <c r="E4" s="502">
        <f>'EFs with Tier 4'!K4</f>
        <v>0.14651052375647014</v>
      </c>
      <c r="F4" s="502">
        <f>'EFs with Tier 4'!R4</f>
        <v>0.12859424881759116</v>
      </c>
      <c r="G4" s="502">
        <f>'EFs with Tier 4'!Y4</f>
        <v>0.11271974728864882</v>
      </c>
      <c r="H4" s="502">
        <f>'EFs with Tier 4'!AF4</f>
        <v>9.8702022682727431E-2</v>
      </c>
      <c r="I4" s="502">
        <f>'EFs with Tier 4'!AM4</f>
        <v>8.6324717064820797E-2</v>
      </c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4'!D5</f>
        <v>0.27645201730360836</v>
      </c>
      <c r="E5" s="502">
        <f>'EFs with Tier 4'!K5</f>
        <v>0.2514430376401327</v>
      </c>
      <c r="F5" s="502">
        <f>'EFs with Tier 4'!R5</f>
        <v>0.21792636194908874</v>
      </c>
      <c r="G5" s="502">
        <f>'EFs with Tier 4'!Y5</f>
        <v>0.18763802971858667</v>
      </c>
      <c r="H5" s="502">
        <f>'EFs with Tier 4'!AF5</f>
        <v>0.1605582423299094</v>
      </c>
      <c r="I5" s="502">
        <f>'EFs with Tier 4'!AM5</f>
        <v>0.1364999779739714</v>
      </c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4'!D6</f>
        <v>0.10659360197116201</v>
      </c>
      <c r="E6" s="502">
        <f>'EFs with Tier 4'!K6</f>
        <v>9.6724769789427623E-2</v>
      </c>
      <c r="F6" s="502">
        <f>'EFs with Tier 4'!R6</f>
        <v>8.4660598997014863E-2</v>
      </c>
      <c r="G6" s="502">
        <f>'EFs with Tier 4'!Y6</f>
        <v>7.4149915068081579E-2</v>
      </c>
      <c r="H6" s="502">
        <f>'EFs with Tier 4'!AF6</f>
        <v>6.4907591581502125E-2</v>
      </c>
      <c r="I6" s="502">
        <f>'EFs with Tier 4'!AM6</f>
        <v>5.6751800870460556E-2</v>
      </c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4'!D7</f>
        <v>0.10736823912786365</v>
      </c>
      <c r="E7" s="502">
        <f>'EFs with Tier 4'!K7</f>
        <v>9.729792471015461E-2</v>
      </c>
      <c r="F7" s="502">
        <f>'EFs with Tier 4'!R7</f>
        <v>8.4406642295059356E-2</v>
      </c>
      <c r="G7" s="502">
        <f>'EFs with Tier 4'!Y7</f>
        <v>7.2887346010641285E-2</v>
      </c>
      <c r="H7" s="502">
        <f>'EFs with Tier 4'!AF7</f>
        <v>6.2620965153998093E-2</v>
      </c>
      <c r="I7" s="502">
        <f>'EFs with Tier 4'!AM7</f>
        <v>5.3515780486374981E-2</v>
      </c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4'!D8</f>
        <v>0.11992127080629632</v>
      </c>
      <c r="E8" s="502">
        <f>'EFs with Tier 4'!K8</f>
        <v>0.10818245578273432</v>
      </c>
      <c r="F8" s="502">
        <f>'EFs with Tier 4'!R8</f>
        <v>9.2806998677456537E-2</v>
      </c>
      <c r="G8" s="502">
        <f>'EFs with Tier 4'!Y8</f>
        <v>7.9081129965351771E-2</v>
      </c>
      <c r="H8" s="502">
        <f>'EFs with Tier 4'!AF8</f>
        <v>6.7085777655213327E-2</v>
      </c>
      <c r="I8" s="502">
        <f>'EFs with Tier 4'!AM8</f>
        <v>5.6624968735151403E-2</v>
      </c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4'!D9</f>
        <v>0.12027312265814816</v>
      </c>
      <c r="E9" s="502">
        <f>'EFs with Tier 4'!K9</f>
        <v>0.10888615948643803</v>
      </c>
      <c r="F9" s="502">
        <f>'EFs with Tier 4'!R9</f>
        <v>9.421440608486395E-2</v>
      </c>
      <c r="G9" s="502">
        <f>'EFs with Tier 4'!Y9</f>
        <v>8.119224107646289E-2</v>
      </c>
      <c r="H9" s="502">
        <f>'EFs with Tier 4'!AF9</f>
        <v>6.9900592470028153E-2</v>
      </c>
      <c r="I9" s="502">
        <f>'EFs with Tier 4'!AM9</f>
        <v>6.0143487253669921E-2</v>
      </c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4'!D10</f>
        <v>0.15156273531486869</v>
      </c>
      <c r="E10" s="502">
        <f>'EFs with Tier 4'!K10</f>
        <v>0.1381142190897551</v>
      </c>
      <c r="F10" s="502">
        <f>'EFs with Tier 4'!R10</f>
        <v>0.12026232442156529</v>
      </c>
      <c r="G10" s="502">
        <f>'EFs with Tier 4'!Y10</f>
        <v>0.10426204652182813</v>
      </c>
      <c r="H10" s="502">
        <f>'EFs with Tier 4'!AF10</f>
        <v>9.0027095659543435E-2</v>
      </c>
      <c r="I10" s="502">
        <f>'EFs with Tier 4'!AM10</f>
        <v>7.7506246154943781E-2</v>
      </c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4'!D11</f>
        <v>3.6309327217992599E-2</v>
      </c>
      <c r="E11" s="502">
        <f>'EFs with Tier 4'!K11</f>
        <v>3.2676882569317077E-2</v>
      </c>
      <c r="F11" s="502">
        <f>'EFs with Tier 4'!R11</f>
        <v>2.8645728987334414E-2</v>
      </c>
      <c r="G11" s="502">
        <f>'EFs with Tier 4'!Y11</f>
        <v>2.539041750948743E-2</v>
      </c>
      <c r="H11" s="502">
        <f>'EFs with Tier 4'!AF11</f>
        <v>2.2638771537541364E-2</v>
      </c>
      <c r="I11" s="502">
        <f>'EFs with Tier 4'!AM11</f>
        <v>2.0322862690302396E-2</v>
      </c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4'!D12</f>
        <v>7.6361523310359322E-2</v>
      </c>
      <c r="E12" s="502">
        <f>'EFs with Tier 4'!K12</f>
        <v>6.7622575092812595E-2</v>
      </c>
      <c r="F12" s="502">
        <f>'EFs with Tier 4'!R12</f>
        <v>5.6547868604351598E-2</v>
      </c>
      <c r="G12" s="502">
        <f>'EFs with Tier 4'!Y12</f>
        <v>4.6723352066517031E-2</v>
      </c>
      <c r="H12" s="502">
        <f>'EFs with Tier 4'!AF12</f>
        <v>3.8046255521407342E-2</v>
      </c>
      <c r="I12" s="502">
        <f>'EFs with Tier 4'!AM12</f>
        <v>3.0471404126858958E-2</v>
      </c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4'!D13</f>
        <v>0.12027312265814816</v>
      </c>
      <c r="E13" s="502">
        <f>'EFs with Tier 4'!K13</f>
        <v>0.10888615948643803</v>
      </c>
      <c r="F13" s="502">
        <f>'EFs with Tier 4'!R13</f>
        <v>9.421440608486395E-2</v>
      </c>
      <c r="G13" s="502">
        <f>'EFs with Tier 4'!Y13</f>
        <v>8.119224107646289E-2</v>
      </c>
      <c r="H13" s="502">
        <f>'EFs with Tier 4'!AF13</f>
        <v>6.9900592470028153E-2</v>
      </c>
      <c r="I13" s="502">
        <f>'EFs with Tier 4'!AM13</f>
        <v>6.0143487253669921E-2</v>
      </c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4'!D14</f>
        <v>7.9801484832556724E-2</v>
      </c>
      <c r="E14" s="502">
        <f>'EFs with Tier 4'!K14</f>
        <v>7.0472327021646672E-2</v>
      </c>
      <c r="F14" s="502">
        <f>'EFs with Tier 4'!R14</f>
        <v>5.901623608284385E-2</v>
      </c>
      <c r="G14" s="502">
        <f>'EFs with Tier 4'!Y14</f>
        <v>4.9009458509410124E-2</v>
      </c>
      <c r="H14" s="502">
        <f>'EFs with Tier 4'!AF14</f>
        <v>4.0326567741176787E-2</v>
      </c>
      <c r="I14" s="502">
        <f>'EFs with Tier 4'!AM14</f>
        <v>3.284960736195533E-2</v>
      </c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4'!D15</f>
        <v>0.12027312265814816</v>
      </c>
      <c r="E15" s="502">
        <f>'EFs with Tier 4'!K15</f>
        <v>0.10888615948643803</v>
      </c>
      <c r="F15" s="502">
        <f>'EFs with Tier 4'!R15</f>
        <v>9.421440608486395E-2</v>
      </c>
      <c r="G15" s="502">
        <f>'EFs with Tier 4'!Y15</f>
        <v>8.119224107646289E-2</v>
      </c>
      <c r="H15" s="502">
        <f>'EFs with Tier 4'!AF15</f>
        <v>6.9900592470028153E-2</v>
      </c>
      <c r="I15" s="502">
        <f>'EFs with Tier 4'!AM15</f>
        <v>6.0143487253669921E-2</v>
      </c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4'!D16</f>
        <v>0.13409687669306566</v>
      </c>
      <c r="E16" s="502">
        <f>'EFs with Tier 4'!K16</f>
        <v>0.1228188382407441</v>
      </c>
      <c r="F16" s="502">
        <f>'EFs with Tier 4'!R16</f>
        <v>0.10810494153261915</v>
      </c>
      <c r="G16" s="502">
        <f>'EFs with Tier 4'!Y16</f>
        <v>9.4826505737279188E-2</v>
      </c>
      <c r="H16" s="502">
        <f>'EFs with Tier 4'!AF16</f>
        <v>8.2871583486714584E-2</v>
      </c>
      <c r="I16" s="502">
        <f>'EFs with Tier 4'!AM16</f>
        <v>7.2230270108486982E-2</v>
      </c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</row>
    <row r="17" spans="1:45" x14ac:dyDescent="0.25">
      <c r="A17" s="27" t="s">
        <v>205</v>
      </c>
      <c r="B17" s="25">
        <v>235</v>
      </c>
      <c r="C17" s="134">
        <v>0.38</v>
      </c>
      <c r="D17" s="502">
        <f>'EFs with Tier 4'!D17</f>
        <v>0.12027312265814816</v>
      </c>
      <c r="E17" s="502">
        <f>'EFs with Tier 4'!K17</f>
        <v>0.10888615948643803</v>
      </c>
      <c r="F17" s="502">
        <f>'EFs with Tier 4'!R17</f>
        <v>9.421440608486395E-2</v>
      </c>
      <c r="G17" s="502">
        <f>'EFs with Tier 4'!Y17</f>
        <v>8.119224107646289E-2</v>
      </c>
      <c r="H17" s="502">
        <f>'EFs with Tier 4'!AF17</f>
        <v>6.9900592470028153E-2</v>
      </c>
      <c r="I17" s="502">
        <f>'EFs with Tier 4'!AM17</f>
        <v>6.0143487253669921E-2</v>
      </c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</row>
    <row r="18" spans="1:45" x14ac:dyDescent="0.25">
      <c r="A18" s="27" t="s">
        <v>163</v>
      </c>
      <c r="B18" s="25">
        <v>75</v>
      </c>
      <c r="C18" s="25">
        <v>0.31</v>
      </c>
      <c r="D18" s="502">
        <f>'EFs with Tier 4'!D18</f>
        <v>4.4076900613026021E-2</v>
      </c>
      <c r="E18" s="502">
        <f>'EFs with Tier 4'!K18</f>
        <v>3.7848085547672369E-2</v>
      </c>
      <c r="F18" s="502">
        <f>'EFs with Tier 4'!R18</f>
        <v>3.0893954987389453E-2</v>
      </c>
      <c r="G18" s="502">
        <f>'EFs with Tier 4'!Y18</f>
        <v>2.503304302758573E-2</v>
      </c>
      <c r="H18" s="502">
        <f>'EFs with Tier 4'!AF18</f>
        <v>2.0166176667999011E-2</v>
      </c>
      <c r="I18" s="502">
        <f>'EFs with Tier 4'!AM18</f>
        <v>1.6539933625842183E-2</v>
      </c>
      <c r="J18" s="502"/>
      <c r="K18" s="502"/>
      <c r="L18" s="502"/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</row>
    <row r="19" spans="1:45" x14ac:dyDescent="0.25">
      <c r="A19" s="27" t="s">
        <v>192</v>
      </c>
      <c r="B19" s="25">
        <v>45</v>
      </c>
      <c r="C19" s="25">
        <v>1</v>
      </c>
      <c r="D19" s="502">
        <f>'EFs with Tier 4'!D19</f>
        <v>7.4731714184131492E-2</v>
      </c>
      <c r="E19" s="502">
        <f>'EFs with Tier 4'!K19</f>
        <v>6.0031826185753062E-2</v>
      </c>
      <c r="F19" s="502">
        <f>'EFs with Tier 4'!R19</f>
        <v>4.7254984778210878E-2</v>
      </c>
      <c r="G19" s="502">
        <f>'EFs with Tier 4'!Y19</f>
        <v>3.624756413896417E-2</v>
      </c>
      <c r="H19" s="502">
        <f>'EFs with Tier 4'!AF19</f>
        <v>2.697378470435937E-2</v>
      </c>
      <c r="I19" s="502">
        <f>'EFs with Tier 4'!AM19</f>
        <v>1.9923073354728198E-2</v>
      </c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</row>
    <row r="20" spans="1:45" x14ac:dyDescent="0.25">
      <c r="A20" s="27" t="s">
        <v>206</v>
      </c>
      <c r="B20" s="25">
        <v>300</v>
      </c>
      <c r="C20" s="25">
        <v>0.42</v>
      </c>
      <c r="D20" s="502">
        <f>'EFs with Tier 4'!D20</f>
        <v>0.12634860383051666</v>
      </c>
      <c r="E20" s="502">
        <f>'EFs with Tier 4'!K20</f>
        <v>0.11577475029587816</v>
      </c>
      <c r="F20" s="502">
        <f>'EFs with Tier 4'!R20</f>
        <v>0.10224540819147032</v>
      </c>
      <c r="G20" s="502">
        <f>'EFs with Tier 4'!Y20</f>
        <v>9.0225805917190885E-2</v>
      </c>
      <c r="H20" s="502">
        <f>'EFs with Tier 4'!AF20</f>
        <v>7.9524938192631206E-2</v>
      </c>
      <c r="I20" s="502">
        <f>'EFs with Tier 4'!AM20</f>
        <v>7.0054010550034865E-2</v>
      </c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</row>
    <row r="21" spans="1:45" x14ac:dyDescent="0.25">
      <c r="A21" s="27" t="s">
        <v>207</v>
      </c>
      <c r="B21" s="25">
        <v>300</v>
      </c>
      <c r="C21" s="25">
        <v>0.42</v>
      </c>
      <c r="D21" s="502">
        <f>'EFs with Tier 4'!D21</f>
        <v>0.12634860383051666</v>
      </c>
      <c r="E21" s="502">
        <f>'EFs with Tier 4'!K21</f>
        <v>0.11577475029587816</v>
      </c>
      <c r="F21" s="502">
        <f>'EFs with Tier 4'!R21</f>
        <v>0.10224540819147032</v>
      </c>
      <c r="G21" s="502">
        <f>'EFs with Tier 4'!Y21</f>
        <v>9.0225805917190885E-2</v>
      </c>
      <c r="H21" s="502">
        <f>'EFs with Tier 4'!AF21</f>
        <v>7.9524938192631206E-2</v>
      </c>
      <c r="I21" s="502">
        <f>'EFs with Tier 4'!AM21</f>
        <v>7.0054010550034865E-2</v>
      </c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</row>
    <row r="22" spans="1:45" x14ac:dyDescent="0.25">
      <c r="A22" s="27" t="s">
        <v>208</v>
      </c>
      <c r="B22" s="25">
        <v>300</v>
      </c>
      <c r="C22" s="25">
        <v>0.42</v>
      </c>
      <c r="D22" s="502">
        <f>'EFs with Tier 4'!D22</f>
        <v>0.12634860383051666</v>
      </c>
      <c r="E22" s="502">
        <f>'EFs with Tier 4'!K22</f>
        <v>0.11577475029587816</v>
      </c>
      <c r="F22" s="502">
        <f>'EFs with Tier 4'!R22</f>
        <v>0.10224540819147032</v>
      </c>
      <c r="G22" s="502">
        <f>'EFs with Tier 4'!Y22</f>
        <v>9.0225805917190885E-2</v>
      </c>
      <c r="H22" s="502">
        <f>'EFs with Tier 4'!AF22</f>
        <v>7.9524938192631206E-2</v>
      </c>
      <c r="I22" s="502">
        <f>'EFs with Tier 4'!AM22</f>
        <v>7.0054010550034865E-2</v>
      </c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</row>
    <row r="23" spans="1:45" x14ac:dyDescent="0.25">
      <c r="A23" s="27" t="s">
        <v>242</v>
      </c>
      <c r="B23" s="25">
        <v>25</v>
      </c>
      <c r="C23" s="25">
        <v>1</v>
      </c>
      <c r="D23" s="502">
        <f>'EFs with Tier 4'!D23</f>
        <v>1.5948887253296615E-2</v>
      </c>
      <c r="E23" s="502">
        <f>'EFs with Tier 4'!K23</f>
        <v>1.594510335063087E-2</v>
      </c>
      <c r="F23" s="502">
        <f>'EFs with Tier 4'!R23</f>
        <v>1.5945103311665532E-2</v>
      </c>
      <c r="G23" s="502">
        <f>'EFs with Tier 4'!Y23</f>
        <v>1.5945098772087649E-2</v>
      </c>
      <c r="H23" s="502">
        <f>'EFs with Tier 4'!AF23</f>
        <v>1.5945101750761009E-2</v>
      </c>
      <c r="I23" s="502">
        <f>'EFs with Tier 4'!AM23</f>
        <v>1.5945102824719573E-2</v>
      </c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</row>
    <row r="24" spans="1:45" x14ac:dyDescent="0.25">
      <c r="A24" s="531" t="s">
        <v>249</v>
      </c>
      <c r="B24" s="25">
        <v>300</v>
      </c>
      <c r="C24" s="134">
        <v>0.42</v>
      </c>
      <c r="D24" s="502">
        <f>'EFs with Tier 4'!D24</f>
        <v>0.12634860383051666</v>
      </c>
      <c r="E24" s="502">
        <f>'EFs with Tier 4'!K24</f>
        <v>0.11577475029587816</v>
      </c>
      <c r="F24" s="502">
        <f>'EFs with Tier 4'!R24</f>
        <v>0.10224540819147032</v>
      </c>
      <c r="G24" s="502">
        <f>'EFs with Tier 4'!Y24</f>
        <v>9.0225805917190885E-2</v>
      </c>
      <c r="H24" s="502">
        <f>'EFs with Tier 4'!AF24</f>
        <v>7.9524938192631206E-2</v>
      </c>
      <c r="I24" s="502">
        <f>'EFs with Tier 4'!AM24</f>
        <v>7.0054010550034865E-2</v>
      </c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</row>
    <row r="25" spans="1:45" x14ac:dyDescent="0.25">
      <c r="A25" s="27" t="s">
        <v>201</v>
      </c>
      <c r="B25" s="25">
        <v>300</v>
      </c>
      <c r="C25" s="25">
        <v>0.38</v>
      </c>
      <c r="D25" s="502">
        <f>'EFs with Tier 4'!D25</f>
        <v>0.12616341864533145</v>
      </c>
      <c r="E25" s="502">
        <f>'EFs with Tier 4'!K25</f>
        <v>0.1154043799255078</v>
      </c>
      <c r="F25" s="502">
        <f>'EFs with Tier 4'!R25</f>
        <v>0.10150466745072959</v>
      </c>
      <c r="G25" s="502">
        <f>'EFs with Tier 4'!Y25</f>
        <v>8.9114694806079767E-2</v>
      </c>
      <c r="H25" s="502">
        <f>'EFs with Tier 4'!AF25</f>
        <v>7.804345671114972E-2</v>
      </c>
      <c r="I25" s="502">
        <f>'EFs with Tier 4'!AM25</f>
        <v>6.820215869818301E-2</v>
      </c>
      <c r="J25" s="502"/>
      <c r="K25" s="502"/>
      <c r="L25" s="502"/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</row>
    <row r="26" spans="1:45" x14ac:dyDescent="0.25">
      <c r="A26" s="27" t="s">
        <v>209</v>
      </c>
      <c r="B26" s="25">
        <v>25</v>
      </c>
      <c r="C26" s="25">
        <v>1</v>
      </c>
      <c r="D26" s="502">
        <f>'EFs with Tier 4'!D26</f>
        <v>1.5948887253296615E-2</v>
      </c>
      <c r="E26" s="502">
        <f>'EFs with Tier 4'!K26</f>
        <v>1.594510335063087E-2</v>
      </c>
      <c r="F26" s="502">
        <f>'EFs with Tier 4'!R26</f>
        <v>1.5945103311665532E-2</v>
      </c>
      <c r="G26" s="502">
        <f>'EFs with Tier 4'!Y26</f>
        <v>1.5945098772087649E-2</v>
      </c>
      <c r="H26" s="502">
        <f>'EFs with Tier 4'!AF26</f>
        <v>1.5945101750761009E-2</v>
      </c>
      <c r="I26" s="502">
        <f>'EFs with Tier 4'!AM26</f>
        <v>1.5945102824719573E-2</v>
      </c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</row>
    <row r="27" spans="1:45" x14ac:dyDescent="0.25">
      <c r="A27" s="27" t="s">
        <v>156</v>
      </c>
      <c r="B27" s="134">
        <v>37</v>
      </c>
      <c r="C27" s="134">
        <v>0.37</v>
      </c>
      <c r="D27" s="502">
        <f>'EFs with Tier 4'!D27</f>
        <v>3.7835624751667511E-2</v>
      </c>
      <c r="E27" s="502">
        <f>'EFs with Tier 4'!K27</f>
        <v>3.2313389441625637E-2</v>
      </c>
      <c r="F27" s="502">
        <f>'EFs with Tier 4'!R27</f>
        <v>2.8760043847205142E-2</v>
      </c>
      <c r="G27" s="502">
        <f>'EFs with Tier 4'!Y27</f>
        <v>2.6321181794284464E-2</v>
      </c>
      <c r="H27" s="502">
        <f>'EFs with Tier 4'!AF27</f>
        <v>2.4499499630862814E-2</v>
      </c>
      <c r="I27" s="502">
        <f>'EFs with Tier 4'!AM27</f>
        <v>2.2997456128846298E-2</v>
      </c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</row>
    <row r="28" spans="1:45" x14ac:dyDescent="0.25">
      <c r="A28" s="27" t="s">
        <v>158</v>
      </c>
      <c r="B28" s="532">
        <v>165</v>
      </c>
      <c r="C28" s="134">
        <v>0.42</v>
      </c>
      <c r="D28" s="502">
        <f>'EFs with Tier 4'!D28</f>
        <v>7.6718391157238927E-2</v>
      </c>
      <c r="E28" s="502">
        <f>'EFs with Tier 4'!K28</f>
        <v>6.7713438407732779E-2</v>
      </c>
      <c r="F28" s="502">
        <f>'EFs with Tier 4'!R28</f>
        <v>5.7492654911296272E-2</v>
      </c>
      <c r="G28" s="502">
        <f>'EFs with Tier 4'!Y28</f>
        <v>4.8978950385765892E-2</v>
      </c>
      <c r="H28" s="502">
        <f>'EFs with Tier 4'!AF28</f>
        <v>4.2299128336869024E-2</v>
      </c>
      <c r="I28" s="502">
        <f>'EFs with Tier 4'!AM28</f>
        <v>3.6908575206375527E-2</v>
      </c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</row>
    <row r="29" spans="1:45" x14ac:dyDescent="0.25">
      <c r="A29" s="27" t="s">
        <v>159</v>
      </c>
      <c r="B29" s="532">
        <v>8</v>
      </c>
      <c r="C29" s="25">
        <v>1</v>
      </c>
      <c r="D29" s="502">
        <f>'EFs with Tier 4'!D29</f>
        <v>1.1765479299563907E-2</v>
      </c>
      <c r="E29" s="502">
        <f>'EFs with Tier 4'!K29</f>
        <v>1.1765479064338774E-2</v>
      </c>
      <c r="F29" s="502">
        <f>'EFs with Tier 4'!R29</f>
        <v>1.176547805155017E-2</v>
      </c>
      <c r="G29" s="502">
        <f>'EFs with Tier 4'!Y29</f>
        <v>1.1765476462069602E-2</v>
      </c>
      <c r="H29" s="502">
        <f>'EFs with Tier 4'!AF29</f>
        <v>1.1765474967285321E-2</v>
      </c>
      <c r="I29" s="502">
        <f>'EFs with Tier 4'!AM29</f>
        <v>1.1765473786187855E-2</v>
      </c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</row>
    <row r="30" spans="1:45" x14ac:dyDescent="0.25">
      <c r="A30" s="27" t="s">
        <v>162</v>
      </c>
      <c r="B30" s="532">
        <v>235</v>
      </c>
      <c r="C30" s="25">
        <v>0.38</v>
      </c>
      <c r="D30" s="502">
        <f>'EFs with Tier 4'!D30</f>
        <v>0.12027312265814816</v>
      </c>
      <c r="E30" s="502">
        <f>'EFs with Tier 4'!K30</f>
        <v>0.10888615948643803</v>
      </c>
      <c r="F30" s="502">
        <f>'EFs with Tier 4'!R30</f>
        <v>9.421440608486395E-2</v>
      </c>
      <c r="G30" s="502">
        <f>'EFs with Tier 4'!Y30</f>
        <v>8.119224107646289E-2</v>
      </c>
      <c r="H30" s="502">
        <f>'EFs with Tier 4'!AF30</f>
        <v>6.9900592470028153E-2</v>
      </c>
      <c r="I30" s="502">
        <f>'EFs with Tier 4'!AM30</f>
        <v>6.0143487253669921E-2</v>
      </c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</row>
    <row r="31" spans="1:45" x14ac:dyDescent="0.25">
      <c r="A31" s="27" t="s">
        <v>165</v>
      </c>
      <c r="B31" s="25">
        <v>525</v>
      </c>
      <c r="C31" s="25">
        <v>0.38</v>
      </c>
      <c r="D31" s="502">
        <f>'EFs with Tier 4'!D31</f>
        <v>0</v>
      </c>
      <c r="E31" s="502">
        <f>'EFs with Tier 4'!K31</f>
        <v>0</v>
      </c>
      <c r="F31" s="502">
        <f>'EFs with Tier 4'!R31</f>
        <v>0</v>
      </c>
      <c r="G31" s="502">
        <f>'EFs with Tier 4'!Y31</f>
        <v>0</v>
      </c>
      <c r="H31" s="502">
        <f>'EFs with Tier 4'!AF31</f>
        <v>0</v>
      </c>
      <c r="I31" s="502">
        <f>'EFs with Tier 4'!AM31</f>
        <v>0</v>
      </c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</row>
    <row r="32" spans="1:45" x14ac:dyDescent="0.25">
      <c r="A32" s="27" t="s">
        <v>166</v>
      </c>
      <c r="B32" s="25">
        <v>300</v>
      </c>
      <c r="C32" s="25">
        <v>0.38</v>
      </c>
      <c r="D32" s="502">
        <f>'EFs with Tier 4'!D32</f>
        <v>0.12616341864533145</v>
      </c>
      <c r="E32" s="502">
        <f>'EFs with Tier 4'!K32</f>
        <v>0.1154043799255078</v>
      </c>
      <c r="F32" s="502">
        <f>'EFs with Tier 4'!R32</f>
        <v>0.10150466745072959</v>
      </c>
      <c r="G32" s="502">
        <f>'EFs with Tier 4'!Y32</f>
        <v>8.9114694806079767E-2</v>
      </c>
      <c r="H32" s="502">
        <f>'EFs with Tier 4'!AF32</f>
        <v>7.804345671114972E-2</v>
      </c>
      <c r="I32" s="502">
        <f>'EFs with Tier 4'!AM32</f>
        <v>6.820215869818301E-2</v>
      </c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4'!D33</f>
        <v>0.11992127080629632</v>
      </c>
      <c r="E33" s="502">
        <f>'EFs with Tier 4'!K33</f>
        <v>0.10818245578273432</v>
      </c>
      <c r="F33" s="502">
        <f>'EFs with Tier 4'!R33</f>
        <v>9.2806998677456537E-2</v>
      </c>
      <c r="G33" s="502">
        <f>'EFs with Tier 4'!Y33</f>
        <v>7.9081129965351771E-2</v>
      </c>
      <c r="H33" s="502">
        <f>'EFs with Tier 4'!AF33</f>
        <v>6.7085777655213327E-2</v>
      </c>
      <c r="I33" s="502">
        <f>'EFs with Tier 4'!AM33</f>
        <v>5.6624968735151403E-2</v>
      </c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4'!D34</f>
        <v>0.11209958615994069</v>
      </c>
      <c r="E34" s="502">
        <f>'EFs with Tier 4'!K34</f>
        <v>0.10185105781538266</v>
      </c>
      <c r="F34" s="502">
        <f>'EFs with Tier 4'!R34</f>
        <v>8.8178645308718662E-2</v>
      </c>
      <c r="G34" s="502">
        <f>'EFs with Tier 4'!Y34</f>
        <v>7.5830237214484689E-2</v>
      </c>
      <c r="H34" s="502">
        <f>'EFs with Tier 4'!AF34</f>
        <v>6.4856695417305807E-2</v>
      </c>
      <c r="I34" s="502">
        <f>'EFs with Tier 4'!AM34</f>
        <v>5.5142305674740939E-2</v>
      </c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4'!D35</f>
        <v>0.12027312265814816</v>
      </c>
      <c r="E35" s="502">
        <f>'EFs with Tier 4'!K35</f>
        <v>0.10888615948643803</v>
      </c>
      <c r="F35" s="502">
        <f>'EFs with Tier 4'!R35</f>
        <v>9.421440608486395E-2</v>
      </c>
      <c r="G35" s="502">
        <f>'EFs with Tier 4'!Y35</f>
        <v>8.119224107646289E-2</v>
      </c>
      <c r="H35" s="502">
        <f>'EFs with Tier 4'!AF35</f>
        <v>6.9900592470028153E-2</v>
      </c>
      <c r="I35" s="502">
        <f>'EFs with Tier 4'!AM35</f>
        <v>6.0143487253669921E-2</v>
      </c>
      <c r="J35" s="502"/>
      <c r="K35" s="502"/>
      <c r="L35" s="502"/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4'!D36</f>
        <v>0.12027312265814816</v>
      </c>
      <c r="E36" s="502">
        <f>'EFs with Tier 4'!K36</f>
        <v>0.10888615948643803</v>
      </c>
      <c r="F36" s="502">
        <f>'EFs with Tier 4'!R36</f>
        <v>9.421440608486395E-2</v>
      </c>
      <c r="G36" s="502">
        <f>'EFs with Tier 4'!Y36</f>
        <v>8.119224107646289E-2</v>
      </c>
      <c r="H36" s="502">
        <f>'EFs with Tier 4'!AF36</f>
        <v>6.9900592470028153E-2</v>
      </c>
      <c r="I36" s="502">
        <f>'EFs with Tier 4'!AM36</f>
        <v>6.0143487253669921E-2</v>
      </c>
      <c r="J36" s="502"/>
      <c r="K36" s="502"/>
      <c r="L36" s="502"/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4'!D37</f>
        <v>0.12027312265814816</v>
      </c>
      <c r="E37" s="502">
        <f>'EFs with Tier 4'!K37</f>
        <v>0.10888615948643803</v>
      </c>
      <c r="F37" s="502">
        <f>'EFs with Tier 4'!R37</f>
        <v>9.421440608486395E-2</v>
      </c>
      <c r="G37" s="502">
        <f>'EFs with Tier 4'!Y37</f>
        <v>8.119224107646289E-2</v>
      </c>
      <c r="H37" s="502">
        <f>'EFs with Tier 4'!AF37</f>
        <v>6.9900592470028153E-2</v>
      </c>
      <c r="I37" s="502">
        <f>'EFs with Tier 4'!AM37</f>
        <v>6.0143487253669921E-2</v>
      </c>
      <c r="J37" s="502"/>
      <c r="K37" s="502"/>
      <c r="L37" s="502"/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4'!D38</f>
        <v>0.11992127080629632</v>
      </c>
      <c r="E38" s="502">
        <f>'EFs with Tier 4'!K38</f>
        <v>0.10818245578273432</v>
      </c>
      <c r="F38" s="502">
        <f>'EFs with Tier 4'!R38</f>
        <v>9.2806998677456537E-2</v>
      </c>
      <c r="G38" s="502">
        <f>'EFs with Tier 4'!Y38</f>
        <v>7.9081129965351771E-2</v>
      </c>
      <c r="H38" s="502">
        <f>'EFs with Tier 4'!AF38</f>
        <v>6.7085777655213327E-2</v>
      </c>
      <c r="I38" s="502">
        <f>'EFs with Tier 4'!AM38</f>
        <v>5.6624968735151403E-2</v>
      </c>
      <c r="J38" s="502"/>
      <c r="K38" s="502"/>
      <c r="L38" s="502"/>
      <c r="M38" s="502"/>
      <c r="N38" s="502"/>
      <c r="O38" s="502"/>
      <c r="P38" s="502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2"/>
      <c r="AC38" s="502"/>
      <c r="AD38" s="502"/>
      <c r="AE38" s="502"/>
      <c r="AF38" s="502"/>
      <c r="AG38" s="502"/>
      <c r="AH38" s="502"/>
      <c r="AI38" s="502"/>
      <c r="AJ38" s="502"/>
      <c r="AK38" s="502"/>
      <c r="AL38" s="502"/>
      <c r="AM38" s="502"/>
      <c r="AN38" s="502"/>
      <c r="AO38" s="502"/>
      <c r="AP38" s="502"/>
      <c r="AQ38" s="502"/>
      <c r="AR38" s="502"/>
      <c r="AS38" s="502"/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4'!D39</f>
        <v>8.6112792503162949E-2</v>
      </c>
      <c r="E39" s="562">
        <f>'EFs with Tier 4'!K39</f>
        <v>7.5554865433584556E-2</v>
      </c>
      <c r="F39" s="562">
        <f>'EFs with Tier 4'!R39</f>
        <v>6.3721755027132496E-2</v>
      </c>
      <c r="G39" s="562">
        <f>'EFs with Tier 4'!Y39</f>
        <v>5.3793332935407064E-2</v>
      </c>
      <c r="H39" s="562">
        <f>'EFs with Tier 4'!AF39</f>
        <v>4.5755550353338607E-2</v>
      </c>
      <c r="I39" s="562">
        <f>'EFs with Tier 4'!AM39</f>
        <v>3.9997342609844569E-2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4'!D40</f>
        <v>8.3557909444994069E-2</v>
      </c>
      <c r="E40" s="562">
        <f>'EFs with Tier 4'!K40</f>
        <v>6.961542254476509E-2</v>
      </c>
      <c r="F40" s="562">
        <f>'EFs with Tier 4'!R40</f>
        <v>5.6093397225957069E-2</v>
      </c>
      <c r="G40" s="562">
        <f>'EFs with Tier 4'!Y40</f>
        <v>4.5269732461574119E-2</v>
      </c>
      <c r="H40" s="562">
        <f>'EFs with Tier 4'!AF40</f>
        <v>3.6015397598256366E-2</v>
      </c>
      <c r="I40" s="562">
        <f>'EFs with Tier 4'!AM40</f>
        <v>2.7755408215840431E-2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4'!D41</f>
        <v>0.11084933946613457</v>
      </c>
      <c r="E41" s="562">
        <f>'EFs with Tier 4'!K41</f>
        <v>9.4851060942125434E-2</v>
      </c>
      <c r="F41" s="562">
        <f>'EFs with Tier 4'!R41</f>
        <v>7.5826153300356233E-2</v>
      </c>
      <c r="G41" s="562">
        <f>'EFs with Tier 4'!Y41</f>
        <v>5.9457409853908558E-2</v>
      </c>
      <c r="H41" s="562">
        <f>'EFs with Tier 4'!AF41</f>
        <v>4.5576040394742078E-2</v>
      </c>
      <c r="I41" s="562">
        <f>'EFs with Tier 4'!AM41</f>
        <v>3.4607101394109781E-2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4'!D42</f>
        <v>9.2034784780492415E-2</v>
      </c>
      <c r="E42" s="562">
        <f>'EFs with Tier 4'!K42</f>
        <v>8.2080386941678934E-2</v>
      </c>
      <c r="F42" s="562">
        <f>'EFs with Tier 4'!R42</f>
        <v>6.8606320588406627E-2</v>
      </c>
      <c r="G42" s="562">
        <f>'EFs with Tier 4'!Y42</f>
        <v>5.6383575197656861E-2</v>
      </c>
      <c r="H42" s="562">
        <f>'EFs with Tier 4'!AF42</f>
        <v>4.5337786557899447E-2</v>
      </c>
      <c r="I42" s="562">
        <f>'EFs with Tier 4'!AM42</f>
        <v>3.5395780291784404E-2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4'!D43</f>
        <v>7.1819076358046203E-3</v>
      </c>
      <c r="E43" s="562">
        <f>'EFs with Tier 4'!K43</f>
        <v>7.1819042171482588E-3</v>
      </c>
      <c r="F43" s="562">
        <f>'EFs with Tier 4'!R43</f>
        <v>7.1819048828458678E-3</v>
      </c>
      <c r="G43" s="562">
        <f>'EFs with Tier 4'!Y43</f>
        <v>7.1819060341132114E-3</v>
      </c>
      <c r="H43" s="562">
        <f>'EFs with Tier 4'!AF43</f>
        <v>7.1819059201588169E-3</v>
      </c>
      <c r="I43" s="562">
        <f>'EFs with Tier 4'!AM43</f>
        <v>7.1819053326675122E-3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4'!D44</f>
        <v>0.11889503623839508</v>
      </c>
      <c r="E44" s="562">
        <f>'EFs with Tier 4'!K44</f>
        <v>0.10612998664693185</v>
      </c>
      <c r="F44" s="562">
        <f>'EFs with Tier 4'!R44</f>
        <v>8.8702060405851602E-2</v>
      </c>
      <c r="G44" s="562">
        <f>'EFs with Tier 4'!Y44</f>
        <v>7.2923722557944368E-2</v>
      </c>
      <c r="H44" s="562">
        <f>'EFs with Tier 4'!AF44</f>
        <v>5.8875901112003456E-2</v>
      </c>
      <c r="I44" s="562">
        <f>'EFs with Tier 4'!AM44</f>
        <v>4.6362623056139057E-2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workbookViewId="0">
      <selection activeCell="D3" sqref="D3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45" x14ac:dyDescent="0.25">
      <c r="D1" s="502">
        <f>'EFs with Tier 4'!E1</f>
        <v>2015</v>
      </c>
      <c r="E1" s="502">
        <f>'EFs with Tier 4'!L1</f>
        <v>2016</v>
      </c>
      <c r="F1" s="502">
        <f>'EFs with Tier 4'!S1</f>
        <v>2017</v>
      </c>
      <c r="G1" s="502">
        <f>'EFs with Tier 4'!Z1</f>
        <v>2018</v>
      </c>
      <c r="H1" s="502">
        <f>'EFs with Tier 4'!AG1</f>
        <v>2019</v>
      </c>
      <c r="I1" s="502">
        <f>'EFs with Tier 4'!AN1</f>
        <v>2020</v>
      </c>
    </row>
    <row r="2" spans="1:45" x14ac:dyDescent="0.25">
      <c r="A2" s="97" t="s">
        <v>502</v>
      </c>
      <c r="B2" s="502" t="s">
        <v>572</v>
      </c>
      <c r="C2" s="97" t="s">
        <v>5</v>
      </c>
      <c r="D2" s="98" t="str">
        <f>'EFs with Tier 4'!E2</f>
        <v>CO</v>
      </c>
      <c r="E2" s="98" t="str">
        <f>'EFs with Tier 4'!L2</f>
        <v>CO</v>
      </c>
      <c r="F2" s="98" t="str">
        <f>'EFs with Tier 4'!S2</f>
        <v>CO</v>
      </c>
      <c r="G2" s="98" t="str">
        <f>'EFs with Tier 4'!Z2</f>
        <v>CO</v>
      </c>
      <c r="H2" s="98" t="str">
        <f>'EFs with Tier 4'!AG2</f>
        <v>CO</v>
      </c>
      <c r="I2" s="98" t="str">
        <f>'EFs with Tier 4'!AN2</f>
        <v>CO</v>
      </c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4'!E3</f>
        <v>1.2234716378508228</v>
      </c>
      <c r="E3" s="502">
        <f>'EFs with Tier 4'!L3</f>
        <v>1.1189343582037012</v>
      </c>
      <c r="F3" s="502">
        <f>'EFs with Tier 4'!S3</f>
        <v>1.0135898251132514</v>
      </c>
      <c r="G3" s="502">
        <f>'EFs with Tier 4'!Z3</f>
        <v>0.92733674311132774</v>
      </c>
      <c r="H3" s="502">
        <f>'EFs with Tier 4'!AG3</f>
        <v>0.85799129832501397</v>
      </c>
      <c r="I3" s="502">
        <f>'EFs with Tier 4'!AN3</f>
        <v>0.80332723727592048</v>
      </c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4'!E4</f>
        <v>0.58634095857918989</v>
      </c>
      <c r="E4" s="502">
        <f>'EFs with Tier 4'!L4</f>
        <v>0.56681044061980379</v>
      </c>
      <c r="F4" s="502">
        <f>'EFs with Tier 4'!S4</f>
        <v>0.56672529164515606</v>
      </c>
      <c r="G4" s="502">
        <f>'EFs with Tier 4'!Z4</f>
        <v>0.57241121436476616</v>
      </c>
      <c r="H4" s="502">
        <f>'EFs with Tier 4'!AG4</f>
        <v>0.58273413827780207</v>
      </c>
      <c r="I4" s="502">
        <f>'EFs with Tier 4'!AN4</f>
        <v>0.59631454330490463</v>
      </c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4'!E5</f>
        <v>1.0635193230957918</v>
      </c>
      <c r="E5" s="502">
        <f>'EFs with Tier 4'!L5</f>
        <v>0.99109696815177406</v>
      </c>
      <c r="F5" s="502">
        <f>'EFs with Tier 4'!S5</f>
        <v>0.93114922897044761</v>
      </c>
      <c r="G5" s="502">
        <f>'EFs with Tier 4'!Z5</f>
        <v>0.88597384260811585</v>
      </c>
      <c r="H5" s="502">
        <f>'EFs with Tier 4'!AG5</f>
        <v>0.8530099475615206</v>
      </c>
      <c r="I5" s="502">
        <f>'EFs with Tier 4'!AN5</f>
        <v>0.8301374696971533</v>
      </c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4'!E6</f>
        <v>0.36686319474726009</v>
      </c>
      <c r="E6" s="502">
        <f>'EFs with Tier 4'!L6</f>
        <v>0.3577820874321771</v>
      </c>
      <c r="F6" s="502">
        <f>'EFs with Tier 4'!S6</f>
        <v>0.36219012553465224</v>
      </c>
      <c r="G6" s="502">
        <f>'EFs with Tier 4'!Z6</f>
        <v>0.36965336086439693</v>
      </c>
      <c r="H6" s="502">
        <f>'EFs with Tier 4'!AG6</f>
        <v>0.37926042703511742</v>
      </c>
      <c r="I6" s="502">
        <f>'EFs with Tier 4'!AN6</f>
        <v>0.39041445622655258</v>
      </c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4'!E7</f>
        <v>0.34779590495709528</v>
      </c>
      <c r="E7" s="502">
        <f>'EFs with Tier 4'!L7</f>
        <v>0.33702924568892922</v>
      </c>
      <c r="F7" s="502">
        <f>'EFs with Tier 4'!S7</f>
        <v>0.33307907265202508</v>
      </c>
      <c r="G7" s="502">
        <f>'EFs with Tier 4'!Z7</f>
        <v>0.33135948621040862</v>
      </c>
      <c r="H7" s="502">
        <f>'EFs with Tier 4'!AG7</f>
        <v>0.33133639961939571</v>
      </c>
      <c r="I7" s="502">
        <f>'EFs with Tier 4'!AN7</f>
        <v>0.33254931786059394</v>
      </c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4'!E8</f>
        <v>0.37073007054215767</v>
      </c>
      <c r="E8" s="502">
        <f>'EFs with Tier 4'!L8</f>
        <v>0.36086282658912588</v>
      </c>
      <c r="F8" s="502">
        <f>'EFs with Tier 4'!S8</f>
        <v>0.35317864819658679</v>
      </c>
      <c r="G8" s="502">
        <f>'EFs with Tier 4'!Z8</f>
        <v>0.34676739816471558</v>
      </c>
      <c r="H8" s="502">
        <f>'EFs with Tier 4'!AG8</f>
        <v>0.34144226313529447</v>
      </c>
      <c r="I8" s="502">
        <f>'EFs with Tier 4'!AN8</f>
        <v>0.33698254165636399</v>
      </c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4'!E9</f>
        <v>0.37726446207654918</v>
      </c>
      <c r="E9" s="502">
        <f>'EFs with Tier 4'!L9</f>
        <v>0.37192102764732693</v>
      </c>
      <c r="F9" s="502">
        <f>'EFs with Tier 4'!S9</f>
        <v>0.37529505031298893</v>
      </c>
      <c r="G9" s="502">
        <f>'EFs with Tier 4'!Z9</f>
        <v>0.37994200133931877</v>
      </c>
      <c r="H9" s="502">
        <f>'EFs with Tier 4'!AG9</f>
        <v>0.38567506736809876</v>
      </c>
      <c r="I9" s="502">
        <f>'EFs with Tier 4'!AN9</f>
        <v>0.39227354694736927</v>
      </c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4'!E10</f>
        <v>0.5042955535817204</v>
      </c>
      <c r="E10" s="502">
        <f>'EFs with Tier 4'!L10</f>
        <v>0.49183840998979317</v>
      </c>
      <c r="F10" s="502">
        <f>'EFs with Tier 4'!S10</f>
        <v>0.491521125488383</v>
      </c>
      <c r="G10" s="502">
        <f>'EFs with Tier 4'!Z10</f>
        <v>0.49410087136290803</v>
      </c>
      <c r="H10" s="502">
        <f>'EFs with Tier 4'!AG10</f>
        <v>0.49909307769164696</v>
      </c>
      <c r="I10" s="502">
        <f>'EFs with Tier 4'!AN10</f>
        <v>0.50598055840465317</v>
      </c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4'!E11</f>
        <v>0.46093801457747435</v>
      </c>
      <c r="E11" s="502">
        <f>'EFs with Tier 4'!L11</f>
        <v>0.45381045354696059</v>
      </c>
      <c r="F11" s="502">
        <f>'EFs with Tier 4'!S11</f>
        <v>0.44025763525150252</v>
      </c>
      <c r="G11" s="502">
        <f>'EFs with Tier 4'!Z11</f>
        <v>0.42688220139286698</v>
      </c>
      <c r="H11" s="502">
        <f>'EFs with Tier 4'!AG11</f>
        <v>0.41357942053287283</v>
      </c>
      <c r="I11" s="502">
        <f>'EFs with Tier 4'!AN11</f>
        <v>0.40032860958692951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4'!E12</f>
        <v>0.34700607793748495</v>
      </c>
      <c r="E12" s="502">
        <f>'EFs with Tier 4'!L12</f>
        <v>0.33572135988655399</v>
      </c>
      <c r="F12" s="502">
        <f>'EFs with Tier 4'!S12</f>
        <v>0.31618811642064365</v>
      </c>
      <c r="G12" s="502">
        <f>'EFs with Tier 4'!Z12</f>
        <v>0.29726544857788689</v>
      </c>
      <c r="H12" s="502">
        <f>'EFs with Tier 4'!AG12</f>
        <v>0.27888114578186085</v>
      </c>
      <c r="I12" s="502">
        <f>'EFs with Tier 4'!AN12</f>
        <v>0.26099641237183524</v>
      </c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4'!E13</f>
        <v>0.37726446207654918</v>
      </c>
      <c r="E13" s="502">
        <f>'EFs with Tier 4'!L13</f>
        <v>0.37192102764732693</v>
      </c>
      <c r="F13" s="502">
        <f>'EFs with Tier 4'!S13</f>
        <v>0.37529505031298893</v>
      </c>
      <c r="G13" s="502">
        <f>'EFs with Tier 4'!Z13</f>
        <v>0.37994200133931877</v>
      </c>
      <c r="H13" s="502">
        <f>'EFs with Tier 4'!AG13</f>
        <v>0.38567506736809876</v>
      </c>
      <c r="I13" s="502">
        <f>'EFs with Tier 4'!AN13</f>
        <v>0.39227354694736927</v>
      </c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4'!E14</f>
        <v>0.40100742191945721</v>
      </c>
      <c r="E14" s="502">
        <f>'EFs with Tier 4'!L14</f>
        <v>0.39060550026585111</v>
      </c>
      <c r="F14" s="502">
        <f>'EFs with Tier 4'!S14</f>
        <v>0.37296505549448378</v>
      </c>
      <c r="G14" s="502">
        <f>'EFs with Tier 4'!Z14</f>
        <v>0.35597152405712146</v>
      </c>
      <c r="H14" s="502">
        <f>'EFs with Tier 4'!AG14</f>
        <v>0.33955044677951485</v>
      </c>
      <c r="I14" s="502">
        <f>'EFs with Tier 4'!AN14</f>
        <v>0.32363598273876659</v>
      </c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4'!E15</f>
        <v>0.37726446207654918</v>
      </c>
      <c r="E15" s="502">
        <f>'EFs with Tier 4'!L15</f>
        <v>0.37192102764732693</v>
      </c>
      <c r="F15" s="502">
        <f>'EFs with Tier 4'!S15</f>
        <v>0.37529505031298893</v>
      </c>
      <c r="G15" s="502">
        <f>'EFs with Tier 4'!Z15</f>
        <v>0.37994200133931877</v>
      </c>
      <c r="H15" s="502">
        <f>'EFs with Tier 4'!AG15</f>
        <v>0.38567506736809876</v>
      </c>
      <c r="I15" s="502">
        <f>'EFs with Tier 4'!AN15</f>
        <v>0.39227354694736927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4'!E16</f>
        <v>0.47613955125877999</v>
      </c>
      <c r="E16" s="502">
        <f>'EFs with Tier 4'!L16</f>
        <v>0.45492412964990703</v>
      </c>
      <c r="F16" s="502">
        <f>'EFs with Tier 4'!S16</f>
        <v>0.45165133700519433</v>
      </c>
      <c r="G16" s="502">
        <f>'EFs with Tier 4'!Z16</f>
        <v>0.45434236467617739</v>
      </c>
      <c r="H16" s="502">
        <f>'EFs with Tier 4'!AG16</f>
        <v>0.46156953515221461</v>
      </c>
      <c r="I16" s="502">
        <f>'EFs with Tier 4'!AN16</f>
        <v>0.47254102223366623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4'!E17</f>
        <v>0.37726446207654918</v>
      </c>
      <c r="E17" s="502">
        <f>'EFs with Tier 4'!L17</f>
        <v>0.37192102764732693</v>
      </c>
      <c r="F17" s="502">
        <f>'EFs with Tier 4'!S17</f>
        <v>0.37529505031298893</v>
      </c>
      <c r="G17" s="502">
        <f>'EFs with Tier 4'!Z17</f>
        <v>0.37994200133931877</v>
      </c>
      <c r="H17" s="502">
        <f>'EFs with Tier 4'!AG17</f>
        <v>0.38567506736809876</v>
      </c>
      <c r="I17" s="502">
        <f>'EFs with Tier 4'!AN17</f>
        <v>0.39227354694736927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4'!E18</f>
        <v>0.23533863205747899</v>
      </c>
      <c r="E18" s="502">
        <f>'EFs with Tier 4'!L18</f>
        <v>0.23095739347567587</v>
      </c>
      <c r="F18" s="502">
        <f>'EFs with Tier 4'!S18</f>
        <v>0.22482241351057566</v>
      </c>
      <c r="G18" s="502">
        <f>'EFs with Tier 4'!Z18</f>
        <v>0.21923257911050123</v>
      </c>
      <c r="H18" s="502">
        <f>'EFs with Tier 4'!AG18</f>
        <v>0.21408068490373316</v>
      </c>
      <c r="I18" s="502">
        <f>'EFs with Tier 4'!AN18</f>
        <v>0.20944561071938492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4'!E19</f>
        <v>0.24453724453802805</v>
      </c>
      <c r="E19" s="502">
        <f>'EFs with Tier 4'!L19</f>
        <v>0.24597366704095389</v>
      </c>
      <c r="F19" s="502">
        <f>'EFs with Tier 4'!S19</f>
        <v>0.25807532276457046</v>
      </c>
      <c r="G19" s="502">
        <f>'EFs with Tier 4'!Z19</f>
        <v>0.2719453796022327</v>
      </c>
      <c r="H19" s="502">
        <f>'EFs with Tier 4'!AG19</f>
        <v>0.28740197709984749</v>
      </c>
      <c r="I19" s="502">
        <f>'EFs with Tier 4'!AN19</f>
        <v>0.30488468077411202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4'!E20</f>
        <v>0.50758739181396961</v>
      </c>
      <c r="E20" s="502">
        <f>'EFs with Tier 4'!L20</f>
        <v>0.49927069740964902</v>
      </c>
      <c r="F20" s="502">
        <f>'EFs with Tier 4'!S20</f>
        <v>0.5059376637450087</v>
      </c>
      <c r="G20" s="502">
        <f>'EFs with Tier 4'!Z20</f>
        <v>0.51534614373640708</v>
      </c>
      <c r="H20" s="502">
        <f>'EFs with Tier 4'!AG20</f>
        <v>0.5267193623565769</v>
      </c>
      <c r="I20" s="502">
        <f>'EFs with Tier 4'!AN20</f>
        <v>0.53937003610918288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4'!E21</f>
        <v>0.50758739181396961</v>
      </c>
      <c r="E21" s="502">
        <f>'EFs with Tier 4'!L21</f>
        <v>0.49927069740964902</v>
      </c>
      <c r="F21" s="502">
        <f>'EFs with Tier 4'!S21</f>
        <v>0.5059376637450087</v>
      </c>
      <c r="G21" s="502">
        <f>'EFs with Tier 4'!Z21</f>
        <v>0.51534614373640708</v>
      </c>
      <c r="H21" s="502">
        <f>'EFs with Tier 4'!AG21</f>
        <v>0.5267193623565769</v>
      </c>
      <c r="I21" s="502">
        <f>'EFs with Tier 4'!AN21</f>
        <v>0.53937003610918288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4'!E22</f>
        <v>0.50758739181396961</v>
      </c>
      <c r="E22" s="502">
        <f>'EFs with Tier 4'!L22</f>
        <v>0.49927069740964902</v>
      </c>
      <c r="F22" s="502">
        <f>'EFs with Tier 4'!S22</f>
        <v>0.5059376637450087</v>
      </c>
      <c r="G22" s="502">
        <f>'EFs with Tier 4'!Z22</f>
        <v>0.51534614373640708</v>
      </c>
      <c r="H22" s="502">
        <f>'EFs with Tier 4'!AG22</f>
        <v>0.5267193623565769</v>
      </c>
      <c r="I22" s="502">
        <f>'EFs with Tier 4'!AN22</f>
        <v>0.53937003610918288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4'!E23</f>
        <v>6.3000141533904722E-2</v>
      </c>
      <c r="E23" s="502">
        <f>'EFs with Tier 4'!L23</f>
        <v>7.1577507134053725E-2</v>
      </c>
      <c r="F23" s="502">
        <f>'EFs with Tier 4'!S23</f>
        <v>8.8732222032637045E-2</v>
      </c>
      <c r="G23" s="502">
        <f>'EFs with Tier 4'!Z23</f>
        <v>0.10588694014040713</v>
      </c>
      <c r="H23" s="502">
        <f>'EFs with Tier 4'!AG23</f>
        <v>0.1230416717901647</v>
      </c>
      <c r="I23" s="502">
        <f>'EFs with Tier 4'!AN23</f>
        <v>0.14019639606271714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4'!E24</f>
        <v>0.50758739181396961</v>
      </c>
      <c r="E24" s="502">
        <f>'EFs with Tier 4'!L24</f>
        <v>0.49927069740964902</v>
      </c>
      <c r="F24" s="502">
        <f>'EFs with Tier 4'!S24</f>
        <v>0.5059376637450087</v>
      </c>
      <c r="G24" s="502">
        <f>'EFs with Tier 4'!Z24</f>
        <v>0.51534614373640708</v>
      </c>
      <c r="H24" s="502">
        <f>'EFs with Tier 4'!AG24</f>
        <v>0.5267193623565769</v>
      </c>
      <c r="I24" s="502">
        <f>'EFs with Tier 4'!AN24</f>
        <v>0.53937003610918288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4'!E25</f>
        <v>0.50414823837481615</v>
      </c>
      <c r="E25" s="502">
        <f>'EFs with Tier 4'!L25</f>
        <v>0.49345059158954319</v>
      </c>
      <c r="F25" s="502">
        <f>'EFs with Tier 4'!S25</f>
        <v>0.49429745210479703</v>
      </c>
      <c r="G25" s="502">
        <f>'EFs with Tier 4'!Z25</f>
        <v>0.49788582627608957</v>
      </c>
      <c r="H25" s="502">
        <f>'EFs with Tier 4'!AG25</f>
        <v>0.50343893907615356</v>
      </c>
      <c r="I25" s="502">
        <f>'EFs with Tier 4'!AN25</f>
        <v>0.51026950700865381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4'!E26</f>
        <v>6.3000141533904722E-2</v>
      </c>
      <c r="E26" s="502">
        <f>'EFs with Tier 4'!L26</f>
        <v>7.1577507134053725E-2</v>
      </c>
      <c r="F26" s="502">
        <f>'EFs with Tier 4'!S26</f>
        <v>8.8732222032637045E-2</v>
      </c>
      <c r="G26" s="502">
        <f>'EFs with Tier 4'!Z26</f>
        <v>0.10588694014040713</v>
      </c>
      <c r="H26" s="502">
        <f>'EFs with Tier 4'!AG26</f>
        <v>0.1230416717901647</v>
      </c>
      <c r="I26" s="502">
        <f>'EFs with Tier 4'!AN26</f>
        <v>0.14019639606271714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4'!E27</f>
        <v>0.20932457344446903</v>
      </c>
      <c r="E27" s="502">
        <f>'EFs with Tier 4'!L27</f>
        <v>0.20037366892983427</v>
      </c>
      <c r="F27" s="502">
        <f>'EFs with Tier 4'!S27</f>
        <v>0.18927800312329326</v>
      </c>
      <c r="G27" s="502">
        <f>'EFs with Tier 4'!Z27</f>
        <v>0.17955203678474077</v>
      </c>
      <c r="H27" s="502">
        <f>'EFs with Tier 4'!AG27</f>
        <v>0.17062418961348225</v>
      </c>
      <c r="I27" s="502">
        <f>'EFs with Tier 4'!AN27</f>
        <v>0.16217397634163561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4'!E28</f>
        <v>0.57691948043252073</v>
      </c>
      <c r="E28" s="502">
        <f>'EFs with Tier 4'!L28</f>
        <v>0.56115626588623435</v>
      </c>
      <c r="F28" s="502">
        <f>'EFs with Tier 4'!S28</f>
        <v>0.53600856490293192</v>
      </c>
      <c r="G28" s="502">
        <f>'EFs with Tier 4'!Z28</f>
        <v>0.51096761064993668</v>
      </c>
      <c r="H28" s="502">
        <f>'EFs with Tier 4'!AG28</f>
        <v>0.48597777467220105</v>
      </c>
      <c r="I28" s="502">
        <f>'EFs with Tier 4'!AN28</f>
        <v>0.46099046652367526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4'!E29</f>
        <v>5.862897981528551E-2</v>
      </c>
      <c r="E29" s="502">
        <f>'EFs with Tier 4'!L29</f>
        <v>5.5543241180051911E-2</v>
      </c>
      <c r="F29" s="502">
        <f>'EFs with Tier 4'!S29</f>
        <v>4.9371773591445359E-2</v>
      </c>
      <c r="G29" s="502">
        <f>'EFs with Tier 4'!Z29</f>
        <v>4.320029666805545E-2</v>
      </c>
      <c r="H29" s="502">
        <f>'EFs with Tier 4'!AG29</f>
        <v>3.7028827603012467E-2</v>
      </c>
      <c r="I29" s="502">
        <f>'EFs with Tier 4'!AN29</f>
        <v>3.0857353579400008E-2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4'!E30</f>
        <v>0.37726446207654918</v>
      </c>
      <c r="E30" s="502">
        <f>'EFs with Tier 4'!L30</f>
        <v>0.37192102764732693</v>
      </c>
      <c r="F30" s="502">
        <f>'EFs with Tier 4'!S30</f>
        <v>0.37529505031298893</v>
      </c>
      <c r="G30" s="502">
        <f>'EFs with Tier 4'!Z30</f>
        <v>0.37994200133931877</v>
      </c>
      <c r="H30" s="502">
        <f>'EFs with Tier 4'!AG30</f>
        <v>0.38567506736809876</v>
      </c>
      <c r="I30" s="502">
        <f>'EFs with Tier 4'!AN30</f>
        <v>0.39227354694736927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4'!E31</f>
        <v>0</v>
      </c>
      <c r="E31" s="502">
        <f>'EFs with Tier 4'!L31</f>
        <v>0</v>
      </c>
      <c r="F31" s="502">
        <f>'EFs with Tier 4'!S31</f>
        <v>0</v>
      </c>
      <c r="G31" s="502">
        <f>'EFs with Tier 4'!Z31</f>
        <v>0</v>
      </c>
      <c r="H31" s="502">
        <f>'EFs with Tier 4'!AG31</f>
        <v>0</v>
      </c>
      <c r="I31" s="502">
        <f>'EFs with Tier 4'!AN31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4'!E32</f>
        <v>0.50414823837481615</v>
      </c>
      <c r="E32" s="502">
        <f>'EFs with Tier 4'!L32</f>
        <v>0.49345059158954319</v>
      </c>
      <c r="F32" s="502">
        <f>'EFs with Tier 4'!S32</f>
        <v>0.49429745210479703</v>
      </c>
      <c r="G32" s="502">
        <f>'EFs with Tier 4'!Z32</f>
        <v>0.49788582627608957</v>
      </c>
      <c r="H32" s="502">
        <f>'EFs with Tier 4'!AG32</f>
        <v>0.50343893907615356</v>
      </c>
      <c r="I32" s="502">
        <f>'EFs with Tier 4'!AN32</f>
        <v>0.51026950700865381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4'!E33</f>
        <v>0.37073007054215767</v>
      </c>
      <c r="E33" s="502">
        <f>'EFs with Tier 4'!L33</f>
        <v>0.36086282658912588</v>
      </c>
      <c r="F33" s="502">
        <f>'EFs with Tier 4'!S33</f>
        <v>0.35317864819658679</v>
      </c>
      <c r="G33" s="502">
        <f>'EFs with Tier 4'!Z33</f>
        <v>0.34676739816471558</v>
      </c>
      <c r="H33" s="502">
        <f>'EFs with Tier 4'!AG33</f>
        <v>0.34144226313529447</v>
      </c>
      <c r="I33" s="502">
        <f>'EFs with Tier 4'!AN33</f>
        <v>0.33698254165636399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4'!E34</f>
        <v>0.36735843490140963</v>
      </c>
      <c r="E34" s="502">
        <f>'EFs with Tier 4'!L34</f>
        <v>0.3581637101019437</v>
      </c>
      <c r="F34" s="502">
        <f>'EFs with Tier 4'!S34</f>
        <v>0.35335227263519642</v>
      </c>
      <c r="G34" s="502">
        <f>'EFs with Tier 4'!Z34</f>
        <v>0.35001927453450471</v>
      </c>
      <c r="H34" s="502">
        <f>'EFs with Tier 4'!AG34</f>
        <v>0.34786991441472004</v>
      </c>
      <c r="I34" s="502">
        <f>'EFs with Tier 4'!AN34</f>
        <v>0.34668993271728404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4'!E35</f>
        <v>0.37726446207654918</v>
      </c>
      <c r="E35" s="502">
        <f>'EFs with Tier 4'!L35</f>
        <v>0.37192102764732693</v>
      </c>
      <c r="F35" s="502">
        <f>'EFs with Tier 4'!S35</f>
        <v>0.37529505031298893</v>
      </c>
      <c r="G35" s="502">
        <f>'EFs with Tier 4'!Z35</f>
        <v>0.37994200133931877</v>
      </c>
      <c r="H35" s="502">
        <f>'EFs with Tier 4'!AG35</f>
        <v>0.38567506736809876</v>
      </c>
      <c r="I35" s="502">
        <f>'EFs with Tier 4'!AN35</f>
        <v>0.39227354694736927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4'!E36</f>
        <v>0.37726446207654918</v>
      </c>
      <c r="E36" s="502">
        <f>'EFs with Tier 4'!L36</f>
        <v>0.37192102764732693</v>
      </c>
      <c r="F36" s="502">
        <f>'EFs with Tier 4'!S36</f>
        <v>0.37529505031298893</v>
      </c>
      <c r="G36" s="502">
        <f>'EFs with Tier 4'!Z36</f>
        <v>0.37994200133931877</v>
      </c>
      <c r="H36" s="502">
        <f>'EFs with Tier 4'!AG36</f>
        <v>0.38567506736809876</v>
      </c>
      <c r="I36" s="502">
        <f>'EFs with Tier 4'!AN36</f>
        <v>0.39227354694736927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4'!E37</f>
        <v>0.37726446207654918</v>
      </c>
      <c r="E37" s="502">
        <f>'EFs with Tier 4'!L37</f>
        <v>0.37192102764732693</v>
      </c>
      <c r="F37" s="502">
        <f>'EFs with Tier 4'!S37</f>
        <v>0.37529505031298893</v>
      </c>
      <c r="G37" s="502">
        <f>'EFs with Tier 4'!Z37</f>
        <v>0.37994200133931877</v>
      </c>
      <c r="H37" s="502">
        <f>'EFs with Tier 4'!AG37</f>
        <v>0.38567506736809876</v>
      </c>
      <c r="I37" s="502">
        <f>'EFs with Tier 4'!AN37</f>
        <v>0.39227354694736927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4'!E38</f>
        <v>0.37073007054215767</v>
      </c>
      <c r="E38" s="502">
        <f>'EFs with Tier 4'!L38</f>
        <v>0.36086282658912588</v>
      </c>
      <c r="F38" s="502">
        <f>'EFs with Tier 4'!S38</f>
        <v>0.35317864819658679</v>
      </c>
      <c r="G38" s="502">
        <f>'EFs with Tier 4'!Z38</f>
        <v>0.34676739816471558</v>
      </c>
      <c r="H38" s="502">
        <f>'EFs with Tier 4'!AG38</f>
        <v>0.34144226313529447</v>
      </c>
      <c r="I38" s="502">
        <f>'EFs with Tier 4'!AN38</f>
        <v>0.33698254165636399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4'!E39</f>
        <v>0.47768471513224703</v>
      </c>
      <c r="E39" s="562">
        <f>'EFs with Tier 4'!L39</f>
        <v>0.46849260071097004</v>
      </c>
      <c r="F39" s="562">
        <f>'EFs with Tier 4'!S39</f>
        <v>0.46190821163844553</v>
      </c>
      <c r="G39" s="562">
        <f>'EFs with Tier 4'!Z39</f>
        <v>0.45617070695886652</v>
      </c>
      <c r="H39" s="562">
        <f>'EFs with Tier 4'!AG39</f>
        <v>0.45122797849522067</v>
      </c>
      <c r="I39" s="562">
        <f>'EFs with Tier 4'!AN39</f>
        <v>0.44719796979785664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4'!E40</f>
        <v>0.48027506625173494</v>
      </c>
      <c r="E40" s="562">
        <f>'EFs with Tier 4'!L40</f>
        <v>0.45151789624743172</v>
      </c>
      <c r="F40" s="562">
        <f>'EFs with Tier 4'!S40</f>
        <v>0.39966590076489672</v>
      </c>
      <c r="G40" s="562">
        <f>'EFs with Tier 4'!Z40</f>
        <v>0.34879653895298601</v>
      </c>
      <c r="H40" s="562">
        <f>'EFs with Tier 4'!AG40</f>
        <v>0.29836931325570715</v>
      </c>
      <c r="I40" s="562">
        <f>'EFs with Tier 4'!AN40</f>
        <v>0.24796231387233575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4'!E41</f>
        <v>0.53639639888157509</v>
      </c>
      <c r="E41" s="562">
        <f>'EFs with Tier 4'!L41</f>
        <v>0.50342950793672014</v>
      </c>
      <c r="F41" s="562">
        <f>'EFs with Tier 4'!S41</f>
        <v>0.44375898087407628</v>
      </c>
      <c r="G41" s="562">
        <f>'EFs with Tier 4'!Z41</f>
        <v>0.38543101034526134</v>
      </c>
      <c r="H41" s="562">
        <f>'EFs with Tier 4'!AG41</f>
        <v>0.32824827075954544</v>
      </c>
      <c r="I41" s="562">
        <f>'EFs with Tier 4'!AN41</f>
        <v>0.27232245695046259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4'!E42</f>
        <v>0.36967137363888714</v>
      </c>
      <c r="E42" s="562">
        <f>'EFs with Tier 4'!L42</f>
        <v>0.34755238019416934</v>
      </c>
      <c r="F42" s="562">
        <f>'EFs with Tier 4'!S42</f>
        <v>0.30674200101255639</v>
      </c>
      <c r="G42" s="562">
        <f>'EFs with Tier 4'!Z42</f>
        <v>0.26661086458830779</v>
      </c>
      <c r="H42" s="562">
        <f>'EFs with Tier 4'!AG42</f>
        <v>0.22708978765967841</v>
      </c>
      <c r="I42" s="562">
        <f>'EFs with Tier 4'!AN42</f>
        <v>0.1881208435089857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4'!E43</f>
        <v>3.5788414726185346E-2</v>
      </c>
      <c r="E43" s="562">
        <f>'EFs with Tier 4'!L43</f>
        <v>3.3904810265154364E-2</v>
      </c>
      <c r="F43" s="562">
        <f>'EFs with Tier 4'!S43</f>
        <v>3.0137608940437211E-2</v>
      </c>
      <c r="G43" s="562">
        <f>'EFs with Tier 4'!Z43</f>
        <v>2.6370407652557094E-2</v>
      </c>
      <c r="H43" s="562">
        <f>'EFs with Tier 4'!AG43</f>
        <v>2.2603207169161983E-2</v>
      </c>
      <c r="I43" s="562">
        <f>'EFs with Tier 4'!AN43</f>
        <v>1.883600671847295E-2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4'!E44</f>
        <v>0.35167142856684902</v>
      </c>
      <c r="E44" s="562">
        <f>'EFs with Tier 4'!L44</f>
        <v>0.32860974016937278</v>
      </c>
      <c r="F44" s="562">
        <f>'EFs with Tier 4'!S44</f>
        <v>0.28867247535708063</v>
      </c>
      <c r="G44" s="562">
        <f>'EFs with Tier 4'!Z44</f>
        <v>0.25000813890545631</v>
      </c>
      <c r="H44" s="562">
        <f>'EFs with Tier 4'!AG44</f>
        <v>0.21242991745628215</v>
      </c>
      <c r="I44" s="562">
        <f>'EFs with Tier 4'!AN44</f>
        <v>0.17571710955759856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B1" workbookViewId="0">
      <selection activeCell="H27" sqref="H27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45" x14ac:dyDescent="0.25">
      <c r="D1" s="502">
        <f>'EFs with Tier 4'!F1</f>
        <v>2015</v>
      </c>
      <c r="E1" s="502">
        <f>'EFs with Tier 4'!M1</f>
        <v>2016</v>
      </c>
      <c r="F1" s="502">
        <f>'EFs with Tier 4'!T1</f>
        <v>2017</v>
      </c>
      <c r="G1" s="502">
        <f>'EFs with Tier 4'!AA1</f>
        <v>2018</v>
      </c>
      <c r="H1" s="502">
        <f>'EFs with Tier 4'!AH1</f>
        <v>2019</v>
      </c>
      <c r="I1" s="502">
        <f>'EFs with Tier 4'!AO1</f>
        <v>2020</v>
      </c>
    </row>
    <row r="2" spans="1:45" x14ac:dyDescent="0.25">
      <c r="A2" s="97" t="s">
        <v>502</v>
      </c>
      <c r="B2" s="502" t="s">
        <v>572</v>
      </c>
      <c r="C2" s="97" t="s">
        <v>5</v>
      </c>
      <c r="D2" s="98" t="str">
        <f>'EFs with Tier 4'!F2</f>
        <v>NOX</v>
      </c>
      <c r="E2" s="98" t="str">
        <f>'EFs with Tier 4'!M2</f>
        <v>NOX</v>
      </c>
      <c r="F2" s="98" t="str">
        <f>'EFs with Tier 4'!T2</f>
        <v>NOX</v>
      </c>
      <c r="G2" s="98" t="str">
        <f>'EFs with Tier 4'!AA2</f>
        <v>NOX</v>
      </c>
      <c r="H2" s="98" t="str">
        <f>'EFs with Tier 4'!AH2</f>
        <v>NOX</v>
      </c>
      <c r="I2" s="98" t="str">
        <f>'EFs with Tier 4'!AO2</f>
        <v>NOX</v>
      </c>
      <c r="J2" s="98"/>
      <c r="K2" s="98"/>
      <c r="L2" s="98"/>
      <c r="M2" s="98"/>
      <c r="N2" s="98"/>
      <c r="O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4'!F3</f>
        <v>2.2984677151643464</v>
      </c>
      <c r="E3" s="502">
        <f>'EFs with Tier 4'!M3</f>
        <v>2.0238173119322376</v>
      </c>
      <c r="F3" s="502">
        <f>'EFs with Tier 4'!T3</f>
        <v>1.689975064592242</v>
      </c>
      <c r="G3" s="502">
        <f>'EFs with Tier 4'!AA3</f>
        <v>1.3911192919446005</v>
      </c>
      <c r="H3" s="502">
        <f>'EFs with Tier 4'!AH3</f>
        <v>1.1250881073923746</v>
      </c>
      <c r="I3" s="502">
        <f>'EFs with Tier 4'!AO3</f>
        <v>0.88968145700350976</v>
      </c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4'!F4</f>
        <v>1.3309478779062127</v>
      </c>
      <c r="E4" s="502">
        <f>'EFs with Tier 4'!M4</f>
        <v>1.1249463591257944</v>
      </c>
      <c r="F4" s="502">
        <f>'EFs with Tier 4'!T4</f>
        <v>0.91006625906627936</v>
      </c>
      <c r="G4" s="502">
        <f>'EFs with Tier 4'!AA4</f>
        <v>0.72770024308986958</v>
      </c>
      <c r="H4" s="502">
        <f>'EFs with Tier 4'!AH4</f>
        <v>0.57434158476764108</v>
      </c>
      <c r="I4" s="502">
        <f>'EFs with Tier 4'!AO4</f>
        <v>0.44653029889120027</v>
      </c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4'!F5</f>
        <v>2.3176715449187282</v>
      </c>
      <c r="E5" s="502">
        <f>'EFs with Tier 4'!M5</f>
        <v>2.0075927195057486</v>
      </c>
      <c r="F5" s="502">
        <f>'EFs with Tier 4'!T5</f>
        <v>1.6522402065662012</v>
      </c>
      <c r="G5" s="502">
        <f>'EFs with Tier 4'!AA5</f>
        <v>1.3408039950378134</v>
      </c>
      <c r="H5" s="502">
        <f>'EFs with Tier 4'!AH5</f>
        <v>1.0699706323957581</v>
      </c>
      <c r="I5" s="502">
        <f>'EFs with Tier 4'!AO5</f>
        <v>0.83629167421805861</v>
      </c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4'!F6</f>
        <v>1.0557516810303123</v>
      </c>
      <c r="E6" s="502">
        <f>'EFs with Tier 4'!M6</f>
        <v>0.90277961977021004</v>
      </c>
      <c r="F6" s="502">
        <f>'EFs with Tier 4'!T6</f>
        <v>0.73535107265427568</v>
      </c>
      <c r="G6" s="502">
        <f>'EFs with Tier 4'!AA6</f>
        <v>0.59034226834521442</v>
      </c>
      <c r="H6" s="502">
        <f>'EFs with Tier 4'!AH6</f>
        <v>0.46592493202644208</v>
      </c>
      <c r="I6" s="502">
        <f>'EFs with Tier 4'!AO6</f>
        <v>0.36046250974546989</v>
      </c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4'!F7</f>
        <v>0.95148079591778234</v>
      </c>
      <c r="E7" s="502">
        <f>'EFs with Tier 4'!M7</f>
        <v>0.80550520916128832</v>
      </c>
      <c r="F7" s="502">
        <f>'EFs with Tier 4'!T7</f>
        <v>0.64825897359369522</v>
      </c>
      <c r="G7" s="502">
        <f>'EFs with Tier 4'!AA7</f>
        <v>0.51421364396110203</v>
      </c>
      <c r="H7" s="502">
        <f>'EFs with Tier 4'!AH7</f>
        <v>0.4010295074054433</v>
      </c>
      <c r="I7" s="502">
        <f>'EFs with Tier 4'!AO7</f>
        <v>0.30657467104185876</v>
      </c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4'!F8</f>
        <v>0.94368289767104196</v>
      </c>
      <c r="E8" s="502">
        <f>'EFs with Tier 4'!M8</f>
        <v>0.78543132668854698</v>
      </c>
      <c r="F8" s="502">
        <f>'EFs with Tier 4'!T8</f>
        <v>0.61881284265398218</v>
      </c>
      <c r="G8" s="502">
        <f>'EFs with Tier 4'!AA8</f>
        <v>0.47942104722757106</v>
      </c>
      <c r="H8" s="502">
        <f>'EFs with Tier 4'!AH8</f>
        <v>0.36542804294942877</v>
      </c>
      <c r="I8" s="502">
        <f>'EFs with Tier 4'!AO8</f>
        <v>0.27411119268865514</v>
      </c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4'!F9</f>
        <v>0.94745273894088322</v>
      </c>
      <c r="E9" s="502">
        <f>'EFs with Tier 4'!M9</f>
        <v>0.78693926319648355</v>
      </c>
      <c r="F9" s="502">
        <f>'EFs with Tier 4'!T9</f>
        <v>0.6218287156698552</v>
      </c>
      <c r="G9" s="502">
        <f>'EFs with Tier 4'!AA9</f>
        <v>0.48394485675138055</v>
      </c>
      <c r="H9" s="502">
        <f>'EFs with Tier 4'!AH9</f>
        <v>0.37145978898117477</v>
      </c>
      <c r="I9" s="502">
        <f>'EFs with Tier 4'!AO9</f>
        <v>0.28165087522833765</v>
      </c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4'!F10</f>
        <v>1.1226784907797649</v>
      </c>
      <c r="E10" s="502">
        <f>'EFs with Tier 4'!M10</f>
        <v>0.92879862084536025</v>
      </c>
      <c r="F10" s="502">
        <f>'EFs with Tier 4'!T10</f>
        <v>0.73411802534607107</v>
      </c>
      <c r="G10" s="502">
        <f>'EFs with Tier 4'!AA10</f>
        <v>0.57429575315352943</v>
      </c>
      <c r="H10" s="502">
        <f>'EFs with Tier 4'!AH10</f>
        <v>0.44416145719239825</v>
      </c>
      <c r="I10" s="502">
        <f>'EFs with Tier 4'!AO10</f>
        <v>0.33908677348864613</v>
      </c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4'!F11</f>
        <v>0.36619894798559588</v>
      </c>
      <c r="E11" s="502">
        <f>'EFs with Tier 4'!M11</f>
        <v>0.30042047018448315</v>
      </c>
      <c r="F11" s="502">
        <f>'EFs with Tier 4'!T11</f>
        <v>0.24240070469108477</v>
      </c>
      <c r="G11" s="502">
        <f>'EFs with Tier 4'!AA11</f>
        <v>0.19783712892298524</v>
      </c>
      <c r="H11" s="502">
        <f>'EFs with Tier 4'!AH11</f>
        <v>0.160886432215434</v>
      </c>
      <c r="I11" s="502">
        <f>'EFs with Tier 4'!AO11</f>
        <v>0.13001567244095247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4'!F12</f>
        <v>0.46405567062959902</v>
      </c>
      <c r="E12" s="502">
        <f>'EFs with Tier 4'!M12</f>
        <v>0.40429473843070329</v>
      </c>
      <c r="F12" s="502">
        <f>'EFs with Tier 4'!T12</f>
        <v>0.33529952431029442</v>
      </c>
      <c r="G12" s="502">
        <f>'EFs with Tier 4'!AA12</f>
        <v>0.27434017818861878</v>
      </c>
      <c r="H12" s="502">
        <f>'EFs with Tier 4'!AH12</f>
        <v>0.22047187018750058</v>
      </c>
      <c r="I12" s="502">
        <f>'EFs with Tier 4'!AO12</f>
        <v>0.17301839960294127</v>
      </c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4'!F13</f>
        <v>0.94745273894088322</v>
      </c>
      <c r="E13" s="502">
        <f>'EFs with Tier 4'!M13</f>
        <v>0.78693926319648355</v>
      </c>
      <c r="F13" s="502">
        <f>'EFs with Tier 4'!T13</f>
        <v>0.6218287156698552</v>
      </c>
      <c r="G13" s="502">
        <f>'EFs with Tier 4'!AA13</f>
        <v>0.48394485675138055</v>
      </c>
      <c r="H13" s="502">
        <f>'EFs with Tier 4'!AH13</f>
        <v>0.37145978898117477</v>
      </c>
      <c r="I13" s="502">
        <f>'EFs with Tier 4'!AO13</f>
        <v>0.28165087522833765</v>
      </c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4'!F14</f>
        <v>0.50491905800089187</v>
      </c>
      <c r="E14" s="502">
        <f>'EFs with Tier 4'!M14</f>
        <v>0.43652693917262747</v>
      </c>
      <c r="F14" s="502">
        <f>'EFs with Tier 4'!T14</f>
        <v>0.36080865524220801</v>
      </c>
      <c r="G14" s="502">
        <f>'EFs with Tier 4'!AA14</f>
        <v>0.2945711828715753</v>
      </c>
      <c r="H14" s="502">
        <f>'EFs with Tier 4'!AH14</f>
        <v>0.23683421861049553</v>
      </c>
      <c r="I14" s="502">
        <f>'EFs with Tier 4'!AO14</f>
        <v>0.18656817524346153</v>
      </c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4'!F15</f>
        <v>0.94745273894088322</v>
      </c>
      <c r="E15" s="502">
        <f>'EFs with Tier 4'!M15</f>
        <v>0.78693926319648355</v>
      </c>
      <c r="F15" s="502">
        <f>'EFs with Tier 4'!T15</f>
        <v>0.6218287156698552</v>
      </c>
      <c r="G15" s="502">
        <f>'EFs with Tier 4'!AA15</f>
        <v>0.48394485675138055</v>
      </c>
      <c r="H15" s="502">
        <f>'EFs with Tier 4'!AH15</f>
        <v>0.37145978898117477</v>
      </c>
      <c r="I15" s="502">
        <f>'EFs with Tier 4'!AO15</f>
        <v>0.28165087522833765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4'!F16</f>
        <v>1.1412855646229325</v>
      </c>
      <c r="E16" s="502">
        <f>'EFs with Tier 4'!M16</f>
        <v>0.97275799069431301</v>
      </c>
      <c r="F16" s="502">
        <f>'EFs with Tier 4'!T16</f>
        <v>0.7915966097530136</v>
      </c>
      <c r="G16" s="502">
        <f>'EFs with Tier 4'!AA16</f>
        <v>0.63535292909985608</v>
      </c>
      <c r="H16" s="502">
        <f>'EFs with Tier 4'!AH16</f>
        <v>0.50226025133659624</v>
      </c>
      <c r="I16" s="502">
        <f>'EFs with Tier 4'!AO16</f>
        <v>0.39060344164754407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4'!F17</f>
        <v>0.94745273894088322</v>
      </c>
      <c r="E17" s="502">
        <f>'EFs with Tier 4'!M17</f>
        <v>0.78693926319648355</v>
      </c>
      <c r="F17" s="502">
        <f>'EFs with Tier 4'!T17</f>
        <v>0.6218287156698552</v>
      </c>
      <c r="G17" s="502">
        <f>'EFs with Tier 4'!AA17</f>
        <v>0.48394485675138055</v>
      </c>
      <c r="H17" s="502">
        <f>'EFs with Tier 4'!AH17</f>
        <v>0.37145978898117477</v>
      </c>
      <c r="I17" s="502">
        <f>'EFs with Tier 4'!AO17</f>
        <v>0.28165087522833765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4'!F18</f>
        <v>0.3172440428712176</v>
      </c>
      <c r="E18" s="502">
        <f>'EFs with Tier 4'!M18</f>
        <v>0.27347169152642881</v>
      </c>
      <c r="F18" s="502">
        <f>'EFs with Tier 4'!T18</f>
        <v>0.22603586731633477</v>
      </c>
      <c r="G18" s="502">
        <f>'EFs with Tier 4'!AA18</f>
        <v>0.18418335618414555</v>
      </c>
      <c r="H18" s="502">
        <f>'EFs with Tier 4'!AH18</f>
        <v>0.14741234027371314</v>
      </c>
      <c r="I18" s="502">
        <f>'EFs with Tier 4'!AO18</f>
        <v>0.11600955386994313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4'!F19</f>
        <v>0.22305455439379515</v>
      </c>
      <c r="E19" s="502">
        <f>'EFs with Tier 4'!M19</f>
        <v>0.21311283631353706</v>
      </c>
      <c r="F19" s="502">
        <f>'EFs with Tier 4'!T19</f>
        <v>0.22252555428648887</v>
      </c>
      <c r="G19" s="502">
        <f>'EFs with Tier 4'!AA19</f>
        <v>0.23351800673201462</v>
      </c>
      <c r="H19" s="502">
        <f>'EFs with Tier 4'!AH19</f>
        <v>0.24591872324439579</v>
      </c>
      <c r="I19" s="502">
        <f>'EFs with Tier 4'!AO19</f>
        <v>0.25985727814502335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4'!F20</f>
        <v>1.1481509547445321</v>
      </c>
      <c r="E20" s="502">
        <f>'EFs with Tier 4'!M20</f>
        <v>0.94570260397547923</v>
      </c>
      <c r="F20" s="502">
        <f>'EFs with Tier 4'!T20</f>
        <v>0.7475804786143414</v>
      </c>
      <c r="G20" s="502">
        <f>'EFs with Tier 4'!AA20</f>
        <v>0.58526223609575434</v>
      </c>
      <c r="H20" s="502">
        <f>'EFs with Tier 4'!AH20</f>
        <v>0.45244268589912862</v>
      </c>
      <c r="I20" s="502">
        <f>'EFs with Tier 4'!AO20</f>
        <v>0.3449280266843181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4'!F21</f>
        <v>1.1481509547445321</v>
      </c>
      <c r="E21" s="502">
        <f>'EFs with Tier 4'!M21</f>
        <v>0.94570260397547923</v>
      </c>
      <c r="F21" s="502">
        <f>'EFs with Tier 4'!T21</f>
        <v>0.7475804786143414</v>
      </c>
      <c r="G21" s="502">
        <f>'EFs with Tier 4'!AA21</f>
        <v>0.58526223609575434</v>
      </c>
      <c r="H21" s="502">
        <f>'EFs with Tier 4'!AH21</f>
        <v>0.45244268589912862</v>
      </c>
      <c r="I21" s="502">
        <f>'EFs with Tier 4'!AO21</f>
        <v>0.3449280266843181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4'!F22</f>
        <v>1.1481509547445321</v>
      </c>
      <c r="E22" s="502">
        <f>'EFs with Tier 4'!M22</f>
        <v>0.94570260397547923</v>
      </c>
      <c r="F22" s="502">
        <f>'EFs with Tier 4'!T22</f>
        <v>0.7475804786143414</v>
      </c>
      <c r="G22" s="502">
        <f>'EFs with Tier 4'!AA22</f>
        <v>0.58526223609575434</v>
      </c>
      <c r="H22" s="502">
        <f>'EFs with Tier 4'!AH22</f>
        <v>0.45244268589912862</v>
      </c>
      <c r="I22" s="502">
        <f>'EFs with Tier 4'!AO22</f>
        <v>0.3449280266843181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4'!F23</f>
        <v>0.11120375249615494</v>
      </c>
      <c r="E23" s="502">
        <f>'EFs with Tier 4'!M23</f>
        <v>0.10997438255858664</v>
      </c>
      <c r="F23" s="502">
        <f>'EFs with Tier 4'!T23</f>
        <v>0.11918846462610326</v>
      </c>
      <c r="G23" s="502">
        <f>'EFs with Tier 4'!AA23</f>
        <v>0.12840254691102099</v>
      </c>
      <c r="H23" s="502">
        <f>'EFs with Tier 4'!AH23</f>
        <v>0.13761665580650345</v>
      </c>
      <c r="I23" s="502">
        <f>'EFs with Tier 4'!AO23</f>
        <v>0.14683075391866268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4'!F24</f>
        <v>1.1481509547445321</v>
      </c>
      <c r="E24" s="502">
        <f>'EFs with Tier 4'!M24</f>
        <v>0.94570260397547923</v>
      </c>
      <c r="F24" s="502">
        <f>'EFs with Tier 4'!T24</f>
        <v>0.7475804786143414</v>
      </c>
      <c r="G24" s="502">
        <f>'EFs with Tier 4'!AA24</f>
        <v>0.58526223609575434</v>
      </c>
      <c r="H24" s="502">
        <f>'EFs with Tier 4'!AH24</f>
        <v>0.45244268589912862</v>
      </c>
      <c r="I24" s="502">
        <f>'EFs with Tier 4'!AO24</f>
        <v>0.3449280266843181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4'!F25</f>
        <v>1.1461668277604051</v>
      </c>
      <c r="E25" s="502">
        <f>'EFs with Tier 4'!M25</f>
        <v>0.94490895318182844</v>
      </c>
      <c r="F25" s="502">
        <f>'EFs with Tier 4'!T25</f>
        <v>0.74599317702703971</v>
      </c>
      <c r="G25" s="502">
        <f>'EFs with Tier 4'!AA25</f>
        <v>0.58288128371480197</v>
      </c>
      <c r="H25" s="502">
        <f>'EFs with Tier 4'!AH25</f>
        <v>0.44926808272452545</v>
      </c>
      <c r="I25" s="502">
        <f>'EFs with Tier 4'!AO25</f>
        <v>0.34095977271606409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4'!F26</f>
        <v>0.11120375249615494</v>
      </c>
      <c r="E26" s="502">
        <f>'EFs with Tier 4'!M26</f>
        <v>0.10997438255858664</v>
      </c>
      <c r="F26" s="502">
        <f>'EFs with Tier 4'!T26</f>
        <v>0.11918846462610326</v>
      </c>
      <c r="G26" s="502">
        <f>'EFs with Tier 4'!AA26</f>
        <v>0.12840254691102099</v>
      </c>
      <c r="H26" s="502">
        <f>'EFs with Tier 4'!AH26</f>
        <v>0.13761665580650345</v>
      </c>
      <c r="I26" s="502">
        <f>'EFs with Tier 4'!AO26</f>
        <v>0.14683075391866268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4'!F27</f>
        <v>0.20341030443730182</v>
      </c>
      <c r="E27" s="502">
        <f>'EFs with Tier 4'!M27</f>
        <v>0.18631538743497714</v>
      </c>
      <c r="F27" s="502">
        <f>'EFs with Tier 4'!T27</f>
        <v>0.17033532852494726</v>
      </c>
      <c r="G27" s="502">
        <f>'EFs with Tier 4'!AA27</f>
        <v>0.15677301180901521</v>
      </c>
      <c r="H27" s="502">
        <f>'EFs with Tier 4'!AH27</f>
        <v>0.14527425870544475</v>
      </c>
      <c r="I27" s="502">
        <f>'EFs with Tier 4'!AO27</f>
        <v>0.13555888836817209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4'!F28</f>
        <v>0.64186104698906621</v>
      </c>
      <c r="E28" s="502">
        <f>'EFs with Tier 4'!M28</f>
        <v>0.53163273020702595</v>
      </c>
      <c r="F28" s="502">
        <f>'EFs with Tier 4'!T28</f>
        <v>0.41978071106832393</v>
      </c>
      <c r="G28" s="502">
        <f>'EFs with Tier 4'!AA28</f>
        <v>0.32718702918888704</v>
      </c>
      <c r="H28" s="502">
        <f>'EFs with Tier 4'!AH28</f>
        <v>0.25304411242557712</v>
      </c>
      <c r="I28" s="502">
        <f>'EFs with Tier 4'!AO28</f>
        <v>0.19363692091474388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4'!F29</f>
        <v>6.9995902894833636E-2</v>
      </c>
      <c r="E29" s="502">
        <f>'EFs with Tier 4'!M29</f>
        <v>6.6311908821261228E-2</v>
      </c>
      <c r="F29" s="502">
        <f>'EFs with Tier 4'!T29</f>
        <v>5.8943916649465578E-2</v>
      </c>
      <c r="G29" s="502">
        <f>'EFs with Tier 4'!AA29</f>
        <v>5.1575922736762966E-2</v>
      </c>
      <c r="H29" s="502">
        <f>'EFs with Tier 4'!AH29</f>
        <v>4.4207934637366476E-2</v>
      </c>
      <c r="I29" s="502">
        <f>'EFs with Tier 4'!AO29</f>
        <v>3.6839943560437474E-2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4'!F30</f>
        <v>0.94745273894088322</v>
      </c>
      <c r="E30" s="502">
        <f>'EFs with Tier 4'!M30</f>
        <v>0.78693926319648355</v>
      </c>
      <c r="F30" s="502">
        <f>'EFs with Tier 4'!T30</f>
        <v>0.6218287156698552</v>
      </c>
      <c r="G30" s="502">
        <f>'EFs with Tier 4'!AA30</f>
        <v>0.48394485675138055</v>
      </c>
      <c r="H30" s="502">
        <f>'EFs with Tier 4'!AH30</f>
        <v>0.37145978898117477</v>
      </c>
      <c r="I30" s="502">
        <f>'EFs with Tier 4'!AO30</f>
        <v>0.28165087522833765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4'!F31</f>
        <v>0</v>
      </c>
      <c r="E31" s="502">
        <f>'EFs with Tier 4'!M31</f>
        <v>0</v>
      </c>
      <c r="F31" s="502">
        <f>'EFs with Tier 4'!T31</f>
        <v>0</v>
      </c>
      <c r="G31" s="502">
        <f>'EFs with Tier 4'!AA31</f>
        <v>0</v>
      </c>
      <c r="H31" s="502">
        <f>'EFs with Tier 4'!AH31</f>
        <v>0</v>
      </c>
      <c r="I31" s="502">
        <f>'EFs with Tier 4'!AO31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4'!F32</f>
        <v>1.1461668277604051</v>
      </c>
      <c r="E32" s="502">
        <f>'EFs with Tier 4'!M32</f>
        <v>0.94490895318182844</v>
      </c>
      <c r="F32" s="502">
        <f>'EFs with Tier 4'!T32</f>
        <v>0.74599317702703971</v>
      </c>
      <c r="G32" s="502">
        <f>'EFs with Tier 4'!AA32</f>
        <v>0.58288128371480197</v>
      </c>
      <c r="H32" s="502">
        <f>'EFs with Tier 4'!AH32</f>
        <v>0.44926808272452545</v>
      </c>
      <c r="I32" s="502">
        <f>'EFs with Tier 4'!AO32</f>
        <v>0.34095977271606409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4'!F33</f>
        <v>0.94368289767104196</v>
      </c>
      <c r="E33" s="502">
        <f>'EFs with Tier 4'!M33</f>
        <v>0.78543132668854698</v>
      </c>
      <c r="F33" s="502">
        <f>'EFs with Tier 4'!T33</f>
        <v>0.61881284265398218</v>
      </c>
      <c r="G33" s="502">
        <f>'EFs with Tier 4'!AA33</f>
        <v>0.47942104722757106</v>
      </c>
      <c r="H33" s="502">
        <f>'EFs with Tier 4'!AH33</f>
        <v>0.36542804294942877</v>
      </c>
      <c r="I33" s="502">
        <f>'EFs with Tier 4'!AO33</f>
        <v>0.27411119268865514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4'!F34</f>
        <v>0.99851916371893912</v>
      </c>
      <c r="E34" s="502">
        <f>'EFs with Tier 4'!M34</f>
        <v>0.83338525268821684</v>
      </c>
      <c r="F34" s="502">
        <f>'EFs with Tier 4'!T34</f>
        <v>0.65732505244487904</v>
      </c>
      <c r="G34" s="502">
        <f>'EFs with Tier 4'!AA34</f>
        <v>0.50955409039388411</v>
      </c>
      <c r="H34" s="502">
        <f>'EFs with Tier 4'!AH34</f>
        <v>0.38967408702590323</v>
      </c>
      <c r="I34" s="502">
        <f>'EFs with Tier 4'!AO34</f>
        <v>0.29268932450712115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4'!F35</f>
        <v>0.94745273894088322</v>
      </c>
      <c r="E35" s="502">
        <f>'EFs with Tier 4'!M35</f>
        <v>0.78693926319648355</v>
      </c>
      <c r="F35" s="502">
        <f>'EFs with Tier 4'!T35</f>
        <v>0.6218287156698552</v>
      </c>
      <c r="G35" s="502">
        <f>'EFs with Tier 4'!AA35</f>
        <v>0.48394485675138055</v>
      </c>
      <c r="H35" s="502">
        <f>'EFs with Tier 4'!AH35</f>
        <v>0.37145978898117477</v>
      </c>
      <c r="I35" s="502">
        <f>'EFs with Tier 4'!AO35</f>
        <v>0.28165087522833765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4'!F36</f>
        <v>0.94745273894088322</v>
      </c>
      <c r="E36" s="502">
        <f>'EFs with Tier 4'!M36</f>
        <v>0.78693926319648355</v>
      </c>
      <c r="F36" s="502">
        <f>'EFs with Tier 4'!T36</f>
        <v>0.6218287156698552</v>
      </c>
      <c r="G36" s="502">
        <f>'EFs with Tier 4'!AA36</f>
        <v>0.48394485675138055</v>
      </c>
      <c r="H36" s="502">
        <f>'EFs with Tier 4'!AH36</f>
        <v>0.37145978898117477</v>
      </c>
      <c r="I36" s="502">
        <f>'EFs with Tier 4'!AO36</f>
        <v>0.28165087522833765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4'!F37</f>
        <v>0.94745273894088322</v>
      </c>
      <c r="E37" s="502">
        <f>'EFs with Tier 4'!M37</f>
        <v>0.78693926319648355</v>
      </c>
      <c r="F37" s="502">
        <f>'EFs with Tier 4'!T37</f>
        <v>0.6218287156698552</v>
      </c>
      <c r="G37" s="502">
        <f>'EFs with Tier 4'!AA37</f>
        <v>0.48394485675138055</v>
      </c>
      <c r="H37" s="502">
        <f>'EFs with Tier 4'!AH37</f>
        <v>0.37145978898117477</v>
      </c>
      <c r="I37" s="502">
        <f>'EFs with Tier 4'!AO37</f>
        <v>0.28165087522833765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4'!F38</f>
        <v>0.94368289767104196</v>
      </c>
      <c r="E38" s="502">
        <f>'EFs with Tier 4'!M38</f>
        <v>0.78543132668854698</v>
      </c>
      <c r="F38" s="502">
        <f>'EFs with Tier 4'!T38</f>
        <v>0.61881284265398218</v>
      </c>
      <c r="G38" s="502">
        <f>'EFs with Tier 4'!AA38</f>
        <v>0.47942104722757106</v>
      </c>
      <c r="H38" s="502">
        <f>'EFs with Tier 4'!AH38</f>
        <v>0.36542804294942877</v>
      </c>
      <c r="I38" s="502">
        <f>'EFs with Tier 4'!AO38</f>
        <v>0.27411119268865514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4'!F39</f>
        <v>0.60837305944613218</v>
      </c>
      <c r="E39" s="562">
        <f>'EFs with Tier 4'!M39</f>
        <v>0.52639708701622312</v>
      </c>
      <c r="F39" s="562">
        <f>'EFs with Tier 4'!T39</f>
        <v>0.43831173314183747</v>
      </c>
      <c r="G39" s="562">
        <f>'EFs with Tier 4'!AA39</f>
        <v>0.36059238746678957</v>
      </c>
      <c r="H39" s="562">
        <f>'EFs with Tier 4'!AH39</f>
        <v>0.2930456417026493</v>
      </c>
      <c r="I39" s="562">
        <f>'EFs with Tier 4'!AO39</f>
        <v>0.23591160005180495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4'!F40</f>
        <v>0.55987249313174137</v>
      </c>
      <c r="E40" s="562">
        <f>'EFs with Tier 4'!M40</f>
        <v>0.47913127704300512</v>
      </c>
      <c r="F40" s="562">
        <f>'EFs with Tier 4'!T40</f>
        <v>0.38839887597349348</v>
      </c>
      <c r="G40" s="562">
        <f>'EFs with Tier 4'!AA40</f>
        <v>0.31093958579118414</v>
      </c>
      <c r="H40" s="562">
        <f>'EFs with Tier 4'!AH40</f>
        <v>0.24383902297151056</v>
      </c>
      <c r="I40" s="562">
        <f>'EFs with Tier 4'!AO40</f>
        <v>0.1846859064445677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4'!F41</f>
        <v>0.70051551631054132</v>
      </c>
      <c r="E41" s="562">
        <f>'EFs with Tier 4'!M41</f>
        <v>0.60972253474262272</v>
      </c>
      <c r="F41" s="562">
        <f>'EFs with Tier 4'!T41</f>
        <v>0.49678608300382882</v>
      </c>
      <c r="G41" s="562">
        <f>'EFs with Tier 4'!AA41</f>
        <v>0.39754082890721865</v>
      </c>
      <c r="H41" s="562">
        <f>'EFs with Tier 4'!AH41</f>
        <v>0.31109176828792912</v>
      </c>
      <c r="I41" s="562">
        <f>'EFs with Tier 4'!AO41</f>
        <v>0.23768172440833774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4'!F42</f>
        <v>0.55803466065292617</v>
      </c>
      <c r="E42" s="562">
        <f>'EFs with Tier 4'!M42</f>
        <v>0.49702386027509227</v>
      </c>
      <c r="F42" s="562">
        <f>'EFs with Tier 4'!T42</f>
        <v>0.41499753361640163</v>
      </c>
      <c r="G42" s="562">
        <f>'EFs with Tier 4'!AA42</f>
        <v>0.3408173493299605</v>
      </c>
      <c r="H42" s="562">
        <f>'EFs with Tier 4'!AH42</f>
        <v>0.27398312522145513</v>
      </c>
      <c r="I42" s="562">
        <f>'EFs with Tier 4'!AO42</f>
        <v>0.21399890246397232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4'!F43</f>
        <v>4.2727044104310538E-2</v>
      </c>
      <c r="E43" s="562">
        <f>'EFs with Tier 4'!M43</f>
        <v>4.0478237126816231E-2</v>
      </c>
      <c r="F43" s="562">
        <f>'EFs with Tier 4'!T43</f>
        <v>3.5980654035912142E-2</v>
      </c>
      <c r="G43" s="562">
        <f>'EFs with Tier 4'!AA43</f>
        <v>3.148307528000184E-2</v>
      </c>
      <c r="H43" s="562">
        <f>'EFs with Tier 4'!AH43</f>
        <v>2.6985495715445749E-2</v>
      </c>
      <c r="I43" s="562">
        <f>'EFs with Tier 4'!AO43</f>
        <v>2.2487909230273499E-2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4'!F44</f>
        <v>0.93268752730067161</v>
      </c>
      <c r="E44" s="562">
        <f>'EFs with Tier 4'!M44</f>
        <v>0.78103317854039889</v>
      </c>
      <c r="F44" s="562">
        <f>'EFs with Tier 4'!T44</f>
        <v>0.61001654635768587</v>
      </c>
      <c r="G44" s="562">
        <f>'EFs with Tier 4'!AA44</f>
        <v>0.46622660278312661</v>
      </c>
      <c r="H44" s="562">
        <f>'EFs with Tier 4'!AH44</f>
        <v>0.34783545035683616</v>
      </c>
      <c r="I44" s="562">
        <f>'EFs with Tier 4'!AO44</f>
        <v>0.25212045194791438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Y1" workbookViewId="0">
      <selection activeCell="D41" sqref="D41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45" x14ac:dyDescent="0.25">
      <c r="D1" s="502">
        <f>'EFs with Tier 4'!G1</f>
        <v>2015</v>
      </c>
      <c r="E1" s="502">
        <f>'EFs with Tier 4'!N1</f>
        <v>2016</v>
      </c>
      <c r="F1" s="502">
        <f>'EFs with Tier 4'!U1</f>
        <v>2017</v>
      </c>
      <c r="G1" s="502">
        <f>'EFs with Tier 4'!AB1</f>
        <v>2018</v>
      </c>
      <c r="H1" s="502">
        <f>'EFs with Tier 4'!AI1</f>
        <v>2019</v>
      </c>
      <c r="I1" s="502">
        <f>'EFs with Tier 4'!AP1</f>
        <v>2020</v>
      </c>
    </row>
    <row r="2" spans="1:45" x14ac:dyDescent="0.25">
      <c r="A2" s="97" t="s">
        <v>502</v>
      </c>
      <c r="B2" s="502" t="s">
        <v>572</v>
      </c>
      <c r="C2" s="97" t="s">
        <v>5</v>
      </c>
      <c r="D2" s="98" t="str">
        <f>'EFs with Tier 4'!G2</f>
        <v>SOX</v>
      </c>
      <c r="E2" s="98" t="str">
        <f>'EFs with Tier 4'!N2</f>
        <v>SOX</v>
      </c>
      <c r="F2" s="98" t="str">
        <f>'EFs with Tier 4'!U2</f>
        <v>SOX</v>
      </c>
      <c r="G2" s="98" t="str">
        <f>'EFs with Tier 4'!AB2</f>
        <v>SOX</v>
      </c>
      <c r="H2" s="98" t="str">
        <f>'EFs with Tier 4'!AI2</f>
        <v>SOX</v>
      </c>
      <c r="I2" s="98" t="str">
        <f>'EFs with Tier 4'!AP2</f>
        <v>SOX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4'!G3</f>
        <v>2.5998102444893035E-3</v>
      </c>
      <c r="E3" s="502">
        <f>'EFs with Tier 4'!N3</f>
        <v>2.5998104036399888E-3</v>
      </c>
      <c r="F3" s="502">
        <f>'EFs with Tier 4'!U3</f>
        <v>2.5998100409794032E-3</v>
      </c>
      <c r="G3" s="502">
        <f>'EFs with Tier 4'!AB3</f>
        <v>2.5998107214987693E-3</v>
      </c>
      <c r="H3" s="502">
        <f>'EFs with Tier 4'!AI3</f>
        <v>2.599810147793907E-3</v>
      </c>
      <c r="I3" s="502">
        <f>'EFs with Tier 4'!AP3</f>
        <v>2.5998101519380768E-3</v>
      </c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4'!G4</f>
        <v>2.2524633622208845E-3</v>
      </c>
      <c r="E4" s="502">
        <f>'EFs with Tier 4'!N4</f>
        <v>2.2524634107676184E-3</v>
      </c>
      <c r="F4" s="502">
        <f>'EFs with Tier 4'!U4</f>
        <v>2.252463434596794E-3</v>
      </c>
      <c r="G4" s="502">
        <f>'EFs with Tier 4'!AB4</f>
        <v>2.2524626963553339E-3</v>
      </c>
      <c r="H4" s="502">
        <f>'EFs with Tier 4'!AI4</f>
        <v>2.2524636529229324E-3</v>
      </c>
      <c r="I4" s="502">
        <f>'EFs with Tier 4'!AP4</f>
        <v>2.2524632483109158E-3</v>
      </c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4'!G5</f>
        <v>3.1549252143876689E-3</v>
      </c>
      <c r="E5" s="502">
        <f>'EFs with Tier 4'!N5</f>
        <v>3.1549257046389317E-3</v>
      </c>
      <c r="F5" s="502">
        <f>'EFs with Tier 4'!U5</f>
        <v>3.1549252848218547E-3</v>
      </c>
      <c r="G5" s="502">
        <f>'EFs with Tier 4'!AB5</f>
        <v>3.1549262583779004E-3</v>
      </c>
      <c r="H5" s="502">
        <f>'EFs with Tier 4'!AI5</f>
        <v>3.1549256422564666E-3</v>
      </c>
      <c r="I5" s="502">
        <f>'EFs with Tier 4'!AP5</f>
        <v>3.154926820014955E-3</v>
      </c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4'!G6</f>
        <v>1.7225234988951081E-3</v>
      </c>
      <c r="E6" s="502">
        <f>'EFs with Tier 4'!N6</f>
        <v>1.7225238017196767E-3</v>
      </c>
      <c r="F6" s="502">
        <f>'EFs with Tier 4'!U6</f>
        <v>1.7225228533016813E-3</v>
      </c>
      <c r="G6" s="502">
        <f>'EFs with Tier 4'!AB6</f>
        <v>1.7225228680334771E-3</v>
      </c>
      <c r="H6" s="502">
        <f>'EFs with Tier 4'!AI6</f>
        <v>1.7225238768631813E-3</v>
      </c>
      <c r="I6" s="502">
        <f>'EFs with Tier 4'!AP6</f>
        <v>1.7225233568523399E-3</v>
      </c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4'!G7</f>
        <v>1.676243123421701E-3</v>
      </c>
      <c r="E7" s="502">
        <f>'EFs with Tier 4'!N7</f>
        <v>1.6762428138747331E-3</v>
      </c>
      <c r="F7" s="502">
        <f>'EFs with Tier 4'!U7</f>
        <v>1.6762431040541262E-3</v>
      </c>
      <c r="G7" s="502">
        <f>'EFs with Tier 4'!AB7</f>
        <v>1.6762429502385828E-3</v>
      </c>
      <c r="H7" s="502">
        <f>'EFs with Tier 4'!AI7</f>
        <v>1.6762437114831023E-3</v>
      </c>
      <c r="I7" s="502">
        <f>'EFs with Tier 4'!AP7</f>
        <v>1.6762430885479793E-3</v>
      </c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4'!G8</f>
        <v>1.8739213528134147E-3</v>
      </c>
      <c r="E8" s="502">
        <f>'EFs with Tier 4'!N8</f>
        <v>1.8739217498104396E-3</v>
      </c>
      <c r="F8" s="502">
        <f>'EFs with Tier 4'!U8</f>
        <v>1.8739208211501423E-3</v>
      </c>
      <c r="G8" s="502">
        <f>'EFs with Tier 4'!AB8</f>
        <v>1.873921930245647E-3</v>
      </c>
      <c r="H8" s="502">
        <f>'EFs with Tier 4'!AI8</f>
        <v>1.8739219985869813E-3</v>
      </c>
      <c r="I8" s="502">
        <f>'EFs with Tier 4'!AP8</f>
        <v>1.8739212869985323E-3</v>
      </c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4'!G9</f>
        <v>1.8739213528134147E-3</v>
      </c>
      <c r="E9" s="502">
        <f>'EFs with Tier 4'!N9</f>
        <v>1.8739217498104396E-3</v>
      </c>
      <c r="F9" s="502">
        <f>'EFs with Tier 4'!U9</f>
        <v>1.8739208211501423E-3</v>
      </c>
      <c r="G9" s="502">
        <f>'EFs with Tier 4'!AB9</f>
        <v>1.873921930245647E-3</v>
      </c>
      <c r="H9" s="502">
        <f>'EFs with Tier 4'!AI9</f>
        <v>1.8739219985869813E-3</v>
      </c>
      <c r="I9" s="502">
        <f>'EFs with Tier 4'!AP9</f>
        <v>1.8739212869985323E-3</v>
      </c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4'!G10</f>
        <v>2.2941891037024571E-3</v>
      </c>
      <c r="E10" s="502">
        <f>'EFs with Tier 4'!N10</f>
        <v>2.2941887108755294E-3</v>
      </c>
      <c r="F10" s="502">
        <f>'EFs with Tier 4'!U10</f>
        <v>2.2941882966723329E-3</v>
      </c>
      <c r="G10" s="502">
        <f>'EFs with Tier 4'!AB10</f>
        <v>2.2941887362225512E-3</v>
      </c>
      <c r="H10" s="502">
        <f>'EFs with Tier 4'!AI10</f>
        <v>2.2941889803797964E-3</v>
      </c>
      <c r="I10" s="502">
        <f>'EFs with Tier 4'!AP10</f>
        <v>2.2941896155419489E-3</v>
      </c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4'!G11</f>
        <v>9.0467796015684726E-4</v>
      </c>
      <c r="E11" s="502">
        <f>'EFs with Tier 4'!N11</f>
        <v>9.0467784425450159E-4</v>
      </c>
      <c r="F11" s="502">
        <f>'EFs with Tier 4'!U11</f>
        <v>9.0467810829659545E-4</v>
      </c>
      <c r="G11" s="502">
        <f>'EFs with Tier 4'!AB11</f>
        <v>9.0467818141783509E-4</v>
      </c>
      <c r="H11" s="502">
        <f>'EFs with Tier 4'!AI11</f>
        <v>9.046777577488526E-4</v>
      </c>
      <c r="I11" s="502">
        <f>'EFs with Tier 4'!AP11</f>
        <v>9.0467776054069422E-4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4'!G12</f>
        <v>5.8826133700071506E-4</v>
      </c>
      <c r="E12" s="502">
        <f>'EFs with Tier 4'!N12</f>
        <v>5.8826123668460656E-4</v>
      </c>
      <c r="F12" s="502">
        <f>'EFs with Tier 4'!U12</f>
        <v>5.8826136417032418E-4</v>
      </c>
      <c r="G12" s="502">
        <f>'EFs with Tier 4'!AB12</f>
        <v>5.8826139268297324E-4</v>
      </c>
      <c r="H12" s="502">
        <f>'EFs with Tier 4'!AI12</f>
        <v>5.8826119369513683E-4</v>
      </c>
      <c r="I12" s="502">
        <f>'EFs with Tier 4'!AP12</f>
        <v>5.8826128478513143E-4</v>
      </c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4'!G13</f>
        <v>1.8739213528134147E-3</v>
      </c>
      <c r="E13" s="502">
        <f>'EFs with Tier 4'!N13</f>
        <v>1.8739217498104396E-3</v>
      </c>
      <c r="F13" s="502">
        <f>'EFs with Tier 4'!U13</f>
        <v>1.8739208211501423E-3</v>
      </c>
      <c r="G13" s="502">
        <f>'EFs with Tier 4'!AB13</f>
        <v>1.873921930245647E-3</v>
      </c>
      <c r="H13" s="502">
        <f>'EFs with Tier 4'!AI13</f>
        <v>1.8739219985869813E-3</v>
      </c>
      <c r="I13" s="502">
        <f>'EFs with Tier 4'!AP13</f>
        <v>1.8739212869985323E-3</v>
      </c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4'!G14</f>
        <v>6.9108572612879135E-4</v>
      </c>
      <c r="E14" s="502">
        <f>'EFs with Tier 4'!N14</f>
        <v>6.9108553659227932E-4</v>
      </c>
      <c r="F14" s="502">
        <f>'EFs with Tier 4'!U14</f>
        <v>6.9108569734204601E-4</v>
      </c>
      <c r="G14" s="502">
        <f>'EFs with Tier 4'!AB14</f>
        <v>6.9108543215850075E-4</v>
      </c>
      <c r="H14" s="502">
        <f>'EFs with Tier 4'!AI14</f>
        <v>6.9108563338163027E-4</v>
      </c>
      <c r="I14" s="502">
        <f>'EFs with Tier 4'!AP14</f>
        <v>6.9108557140033007E-4</v>
      </c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4'!G15</f>
        <v>1.8739213528134147E-3</v>
      </c>
      <c r="E15" s="502">
        <f>'EFs with Tier 4'!N15</f>
        <v>1.8739217498104396E-3</v>
      </c>
      <c r="F15" s="502">
        <f>'EFs with Tier 4'!U15</f>
        <v>1.8739208211501423E-3</v>
      </c>
      <c r="G15" s="502">
        <f>'EFs with Tier 4'!AB15</f>
        <v>1.873921930245647E-3</v>
      </c>
      <c r="H15" s="502">
        <f>'EFs with Tier 4'!AI15</f>
        <v>1.8739219985869813E-3</v>
      </c>
      <c r="I15" s="502">
        <f>'EFs with Tier 4'!AP15</f>
        <v>1.8739212869985323E-3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4'!G16</f>
        <v>1.7677534033125378E-3</v>
      </c>
      <c r="E16" s="502">
        <f>'EFs with Tier 4'!N16</f>
        <v>1.7677532588218458E-3</v>
      </c>
      <c r="F16" s="502">
        <f>'EFs with Tier 4'!U16</f>
        <v>1.7677528907548289E-3</v>
      </c>
      <c r="G16" s="502">
        <f>'EFs with Tier 4'!AB16</f>
        <v>1.7677529466161633E-3</v>
      </c>
      <c r="H16" s="502">
        <f>'EFs with Tier 4'!AI16</f>
        <v>1.7677526386481268E-3</v>
      </c>
      <c r="I16" s="502">
        <f>'EFs with Tier 4'!AP16</f>
        <v>1.7677530586477012E-3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4'!G17</f>
        <v>1.8739213528134147E-3</v>
      </c>
      <c r="E17" s="502">
        <f>'EFs with Tier 4'!N17</f>
        <v>1.8739217498104396E-3</v>
      </c>
      <c r="F17" s="502">
        <f>'EFs with Tier 4'!U17</f>
        <v>1.8739208211501423E-3</v>
      </c>
      <c r="G17" s="502">
        <f>'EFs with Tier 4'!AB17</f>
        <v>1.873921930245647E-3</v>
      </c>
      <c r="H17" s="502">
        <f>'EFs with Tier 4'!AI17</f>
        <v>1.8739219985869813E-3</v>
      </c>
      <c r="I17" s="502">
        <f>'EFs with Tier 4'!AP17</f>
        <v>1.8739212869985323E-3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4'!G18</f>
        <v>4.4660189176329328E-4</v>
      </c>
      <c r="E18" s="502">
        <f>'EFs with Tier 4'!N18</f>
        <v>4.4660184460307463E-4</v>
      </c>
      <c r="F18" s="502">
        <f>'EFs with Tier 4'!U18</f>
        <v>4.4660191069222039E-4</v>
      </c>
      <c r="G18" s="502">
        <f>'EFs with Tier 4'!AB18</f>
        <v>4.466019753080203E-4</v>
      </c>
      <c r="H18" s="502">
        <f>'EFs with Tier 4'!AI18</f>
        <v>4.4660186125796705E-4</v>
      </c>
      <c r="I18" s="502">
        <f>'EFs with Tier 4'!AP18</f>
        <v>4.4660198806364737E-4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4'!G19</f>
        <v>2.8791180196343529E-4</v>
      </c>
      <c r="E19" s="502">
        <f>'EFs with Tier 4'!N19</f>
        <v>2.8791175201714529E-4</v>
      </c>
      <c r="F19" s="502">
        <f>'EFs with Tier 4'!U19</f>
        <v>2.8791182684222128E-4</v>
      </c>
      <c r="G19" s="502">
        <f>'EFs with Tier 4'!AB19</f>
        <v>2.8791179873332629E-4</v>
      </c>
      <c r="H19" s="502">
        <f>'EFs with Tier 4'!AI19</f>
        <v>2.8791177699648187E-4</v>
      </c>
      <c r="I19" s="502">
        <f>'EFs with Tier 4'!AP19</f>
        <v>2.87911782171829E-4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4'!G20</f>
        <v>2.4954346257058686E-3</v>
      </c>
      <c r="E20" s="502">
        <f>'EFs with Tier 4'!N20</f>
        <v>2.4954334272364047E-3</v>
      </c>
      <c r="F20" s="502">
        <f>'EFs with Tier 4'!U20</f>
        <v>2.4954333425274682E-3</v>
      </c>
      <c r="G20" s="502">
        <f>'EFs with Tier 4'!AB20</f>
        <v>2.4954338651265763E-3</v>
      </c>
      <c r="H20" s="502">
        <f>'EFs with Tier 4'!AI20</f>
        <v>2.4954335273852284E-3</v>
      </c>
      <c r="I20" s="502">
        <f>'EFs with Tier 4'!AP20</f>
        <v>2.4954341522000403E-3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4'!G21</f>
        <v>2.4954346257058686E-3</v>
      </c>
      <c r="E21" s="502">
        <f>'EFs with Tier 4'!N21</f>
        <v>2.4954334272364047E-3</v>
      </c>
      <c r="F21" s="502">
        <f>'EFs with Tier 4'!U21</f>
        <v>2.4954333425274682E-3</v>
      </c>
      <c r="G21" s="502">
        <f>'EFs with Tier 4'!AB21</f>
        <v>2.4954338651265763E-3</v>
      </c>
      <c r="H21" s="502">
        <f>'EFs with Tier 4'!AI21</f>
        <v>2.4954335273852284E-3</v>
      </c>
      <c r="I21" s="502">
        <f>'EFs with Tier 4'!AP21</f>
        <v>2.4954341522000403E-3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4'!G22</f>
        <v>2.4954346257058686E-3</v>
      </c>
      <c r="E22" s="502">
        <f>'EFs with Tier 4'!N22</f>
        <v>2.4954334272364047E-3</v>
      </c>
      <c r="F22" s="502">
        <f>'EFs with Tier 4'!U22</f>
        <v>2.4954333425274682E-3</v>
      </c>
      <c r="G22" s="502">
        <f>'EFs with Tier 4'!AB22</f>
        <v>2.4954338651265763E-3</v>
      </c>
      <c r="H22" s="502">
        <f>'EFs with Tier 4'!AI22</f>
        <v>2.4954335273852284E-3</v>
      </c>
      <c r="I22" s="502">
        <f>'EFs with Tier 4'!AP22</f>
        <v>2.4954341522000403E-3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4'!G23</f>
        <v>1.6770241908781297E-4</v>
      </c>
      <c r="E23" s="502">
        <f>'EFs with Tier 4'!N23</f>
        <v>1.6770240347751571E-4</v>
      </c>
      <c r="F23" s="502">
        <f>'EFs with Tier 4'!U23</f>
        <v>1.6770233483260697E-4</v>
      </c>
      <c r="G23" s="502">
        <f>'EFs with Tier 4'!AB23</f>
        <v>1.6770235588901616E-4</v>
      </c>
      <c r="H23" s="502">
        <f>'EFs with Tier 4'!AI23</f>
        <v>1.6770237031265851E-4</v>
      </c>
      <c r="I23" s="502">
        <f>'EFs with Tier 4'!AP23</f>
        <v>1.6770238827263772E-4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4'!G24</f>
        <v>2.4954346257058686E-3</v>
      </c>
      <c r="E24" s="502">
        <f>'EFs with Tier 4'!N24</f>
        <v>2.4954334272364047E-3</v>
      </c>
      <c r="F24" s="502">
        <f>'EFs with Tier 4'!U24</f>
        <v>2.4954333425274682E-3</v>
      </c>
      <c r="G24" s="502">
        <f>'EFs with Tier 4'!AB24</f>
        <v>2.4954338651265763E-3</v>
      </c>
      <c r="H24" s="502">
        <f>'EFs with Tier 4'!AI24</f>
        <v>2.4954335273852284E-3</v>
      </c>
      <c r="I24" s="502">
        <f>'EFs with Tier 4'!AP24</f>
        <v>2.4954341522000403E-3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4'!G25</f>
        <v>2.4954346257058686E-3</v>
      </c>
      <c r="E25" s="502">
        <f>'EFs with Tier 4'!N25</f>
        <v>2.4954334272364047E-3</v>
      </c>
      <c r="F25" s="502">
        <f>'EFs with Tier 4'!U25</f>
        <v>2.4954333425274682E-3</v>
      </c>
      <c r="G25" s="502">
        <f>'EFs with Tier 4'!AB25</f>
        <v>2.4954338651265763E-3</v>
      </c>
      <c r="H25" s="502">
        <f>'EFs with Tier 4'!AI25</f>
        <v>2.4954335273852284E-3</v>
      </c>
      <c r="I25" s="502">
        <f>'EFs with Tier 4'!AP25</f>
        <v>2.4954341522000403E-3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4'!G26</f>
        <v>1.6770241908781297E-4</v>
      </c>
      <c r="E26" s="502">
        <f>'EFs with Tier 4'!N26</f>
        <v>1.6770240347751571E-4</v>
      </c>
      <c r="F26" s="502">
        <f>'EFs with Tier 4'!U26</f>
        <v>1.6770233483260697E-4</v>
      </c>
      <c r="G26" s="502">
        <f>'EFs with Tier 4'!AB26</f>
        <v>1.6770235588901616E-4</v>
      </c>
      <c r="H26" s="502">
        <f>'EFs with Tier 4'!AI26</f>
        <v>1.6770237031265851E-4</v>
      </c>
      <c r="I26" s="502">
        <f>'EFs with Tier 4'!AP26</f>
        <v>1.6770238827263772E-4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4'!G27</f>
        <v>3.2989898219504352E-4</v>
      </c>
      <c r="E27" s="502">
        <f>'EFs with Tier 4'!N27</f>
        <v>3.2989899838564078E-4</v>
      </c>
      <c r="F27" s="502">
        <f>'EFs with Tier 4'!U27</f>
        <v>3.2989891667688166E-4</v>
      </c>
      <c r="G27" s="502">
        <f>'EFs with Tier 4'!AB27</f>
        <v>3.2989903974974726E-4</v>
      </c>
      <c r="H27" s="502">
        <f>'EFs with Tier 4'!AI27</f>
        <v>3.2989903632136842E-4</v>
      </c>
      <c r="I27" s="502">
        <f>'EFs with Tier 4'!AP27</f>
        <v>3.2989894237595523E-4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4'!G28</f>
        <v>1.1984855682957594E-3</v>
      </c>
      <c r="E28" s="502">
        <f>'EFs with Tier 4'!N28</f>
        <v>1.1984861301590408E-3</v>
      </c>
      <c r="F28" s="502">
        <f>'EFs with Tier 4'!U28</f>
        <v>1.1984855559537273E-3</v>
      </c>
      <c r="G28" s="502">
        <f>'EFs with Tier 4'!AB28</f>
        <v>1.1984860337219379E-3</v>
      </c>
      <c r="H28" s="502">
        <f>'EFs with Tier 4'!AI28</f>
        <v>1.198486146050519E-3</v>
      </c>
      <c r="I28" s="502">
        <f>'EFs with Tier 4'!AP28</f>
        <v>1.1984859903284837E-3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4'!G29</f>
        <v>1.572791439192002E-4</v>
      </c>
      <c r="E29" s="502">
        <f>'EFs with Tier 4'!N29</f>
        <v>1.5727915874240951E-4</v>
      </c>
      <c r="F29" s="502">
        <f>'EFs with Tier 4'!U29</f>
        <v>1.572791637934881E-4</v>
      </c>
      <c r="G29" s="502">
        <f>'EFs with Tier 4'!AB29</f>
        <v>1.5727910183139585E-4</v>
      </c>
      <c r="H29" s="502">
        <f>'EFs with Tier 4'!AI29</f>
        <v>1.5727912768491971E-4</v>
      </c>
      <c r="I29" s="502">
        <f>'EFs with Tier 4'!AP29</f>
        <v>1.572791321913264E-4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4'!G30</f>
        <v>1.8739213528134147E-3</v>
      </c>
      <c r="E30" s="502">
        <f>'EFs with Tier 4'!N30</f>
        <v>1.8739217498104396E-3</v>
      </c>
      <c r="F30" s="502">
        <f>'EFs with Tier 4'!U30</f>
        <v>1.8739208211501423E-3</v>
      </c>
      <c r="G30" s="502">
        <f>'EFs with Tier 4'!AB30</f>
        <v>1.873921930245647E-3</v>
      </c>
      <c r="H30" s="502">
        <f>'EFs with Tier 4'!AI30</f>
        <v>1.8739219985869813E-3</v>
      </c>
      <c r="I30" s="502">
        <f>'EFs with Tier 4'!AP30</f>
        <v>1.8739212869985323E-3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4'!G31</f>
        <v>0</v>
      </c>
      <c r="E31" s="502">
        <f>'EFs with Tier 4'!N31</f>
        <v>0</v>
      </c>
      <c r="F31" s="502">
        <f>'EFs with Tier 4'!U31</f>
        <v>0</v>
      </c>
      <c r="G31" s="502">
        <f>'EFs with Tier 4'!AB31</f>
        <v>0</v>
      </c>
      <c r="H31" s="502">
        <f>'EFs with Tier 4'!AI31</f>
        <v>0</v>
      </c>
      <c r="I31" s="502">
        <f>'EFs with Tier 4'!AP31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4'!G32</f>
        <v>2.4954346257058686E-3</v>
      </c>
      <c r="E32" s="502">
        <f>'EFs with Tier 4'!N32</f>
        <v>2.4954334272364047E-3</v>
      </c>
      <c r="F32" s="502">
        <f>'EFs with Tier 4'!U32</f>
        <v>2.4954333425274682E-3</v>
      </c>
      <c r="G32" s="502">
        <f>'EFs with Tier 4'!AB32</f>
        <v>2.4954338651265763E-3</v>
      </c>
      <c r="H32" s="502">
        <f>'EFs with Tier 4'!AI32</f>
        <v>2.4954335273852284E-3</v>
      </c>
      <c r="I32" s="502">
        <f>'EFs with Tier 4'!AP32</f>
        <v>2.4954341522000403E-3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4'!G33</f>
        <v>1.8739213528134147E-3</v>
      </c>
      <c r="E33" s="502">
        <f>'EFs with Tier 4'!N33</f>
        <v>1.8739217498104396E-3</v>
      </c>
      <c r="F33" s="502">
        <f>'EFs with Tier 4'!U33</f>
        <v>1.8739208211501423E-3</v>
      </c>
      <c r="G33" s="502">
        <f>'EFs with Tier 4'!AB33</f>
        <v>1.873921930245647E-3</v>
      </c>
      <c r="H33" s="502">
        <f>'EFs with Tier 4'!AI33</f>
        <v>1.8739219985869813E-3</v>
      </c>
      <c r="I33" s="502">
        <f>'EFs with Tier 4'!AP33</f>
        <v>1.8739212869985323E-3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4'!G34</f>
        <v>1.9217538838910294E-3</v>
      </c>
      <c r="E34" s="502">
        <f>'EFs with Tier 4'!N34</f>
        <v>1.9217541496869973E-3</v>
      </c>
      <c r="F34" s="502">
        <f>'EFs with Tier 4'!U34</f>
        <v>1.9217537823348386E-3</v>
      </c>
      <c r="G34" s="502">
        <f>'EFs with Tier 4'!AB34</f>
        <v>1.9217538744324835E-3</v>
      </c>
      <c r="H34" s="502">
        <f>'EFs with Tier 4'!AI34</f>
        <v>1.9217535571108342E-3</v>
      </c>
      <c r="I34" s="502">
        <f>'EFs with Tier 4'!AP34</f>
        <v>1.9217534791322944E-3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4'!G35</f>
        <v>1.8739213528134147E-3</v>
      </c>
      <c r="E35" s="502">
        <f>'EFs with Tier 4'!N35</f>
        <v>1.8739217498104396E-3</v>
      </c>
      <c r="F35" s="502">
        <f>'EFs with Tier 4'!U35</f>
        <v>1.8739208211501423E-3</v>
      </c>
      <c r="G35" s="502">
        <f>'EFs with Tier 4'!AB35</f>
        <v>1.873921930245647E-3</v>
      </c>
      <c r="H35" s="502">
        <f>'EFs with Tier 4'!AI35</f>
        <v>1.8739219985869813E-3</v>
      </c>
      <c r="I35" s="502">
        <f>'EFs with Tier 4'!AP35</f>
        <v>1.8739212869985323E-3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4'!G36</f>
        <v>1.8739213528134147E-3</v>
      </c>
      <c r="E36" s="502">
        <f>'EFs with Tier 4'!N36</f>
        <v>1.8739217498104396E-3</v>
      </c>
      <c r="F36" s="502">
        <f>'EFs with Tier 4'!U36</f>
        <v>1.8739208211501423E-3</v>
      </c>
      <c r="G36" s="502">
        <f>'EFs with Tier 4'!AB36</f>
        <v>1.873921930245647E-3</v>
      </c>
      <c r="H36" s="502">
        <f>'EFs with Tier 4'!AI36</f>
        <v>1.8739219985869813E-3</v>
      </c>
      <c r="I36" s="502">
        <f>'EFs with Tier 4'!AP36</f>
        <v>1.8739212869985323E-3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4'!G37</f>
        <v>1.8739213528134147E-3</v>
      </c>
      <c r="E37" s="502">
        <f>'EFs with Tier 4'!N37</f>
        <v>1.8739217498104396E-3</v>
      </c>
      <c r="F37" s="502">
        <f>'EFs with Tier 4'!U37</f>
        <v>1.8739208211501423E-3</v>
      </c>
      <c r="G37" s="502">
        <f>'EFs with Tier 4'!AB37</f>
        <v>1.873921930245647E-3</v>
      </c>
      <c r="H37" s="502">
        <f>'EFs with Tier 4'!AI37</f>
        <v>1.8739219985869813E-3</v>
      </c>
      <c r="I37" s="502">
        <f>'EFs with Tier 4'!AP37</f>
        <v>1.8739212869985323E-3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4'!G38</f>
        <v>1.8739213528134147E-3</v>
      </c>
      <c r="E38" s="502">
        <f>'EFs with Tier 4'!N38</f>
        <v>1.8739217498104396E-3</v>
      </c>
      <c r="F38" s="502">
        <f>'EFs with Tier 4'!U38</f>
        <v>1.8739208211501423E-3</v>
      </c>
      <c r="G38" s="502">
        <f>'EFs with Tier 4'!AB38</f>
        <v>1.873921930245647E-3</v>
      </c>
      <c r="H38" s="502">
        <f>'EFs with Tier 4'!AI38</f>
        <v>1.8739219985869813E-3</v>
      </c>
      <c r="I38" s="502">
        <f>'EFs with Tier 4'!AP38</f>
        <v>1.8739212869985323E-3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4'!G39</f>
        <v>8.6981465614259827E-4</v>
      </c>
      <c r="E39" s="562">
        <f>'EFs with Tier 4'!N39</f>
        <v>8.6981466581136514E-4</v>
      </c>
      <c r="F39" s="562">
        <f>'EFs with Tier 4'!U39</f>
        <v>8.6981483894468532E-4</v>
      </c>
      <c r="G39" s="562">
        <f>'EFs with Tier 4'!AB39</f>
        <v>8.6981447951418422E-4</v>
      </c>
      <c r="H39" s="562">
        <f>'EFs with Tier 4'!AI39</f>
        <v>8.6981496082941278E-4</v>
      </c>
      <c r="I39" s="562">
        <f>'EFs with Tier 4'!AP39</f>
        <v>8.6981472599564533E-4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4'!G40</f>
        <v>8.8025899780622727E-4</v>
      </c>
      <c r="E40" s="562">
        <f>'EFs with Tier 4'!N40</f>
        <v>8.8025852246575076E-4</v>
      </c>
      <c r="F40" s="562">
        <f>'EFs with Tier 4'!U40</f>
        <v>8.8025906727070495E-4</v>
      </c>
      <c r="G40" s="562">
        <f>'EFs with Tier 4'!AB40</f>
        <v>8.8025889143317259E-4</v>
      </c>
      <c r="H40" s="562">
        <f>'EFs with Tier 4'!AI40</f>
        <v>8.8025902612352011E-4</v>
      </c>
      <c r="I40" s="562">
        <f>'EFs with Tier 4'!AP40</f>
        <v>8.8025877805070977E-4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4'!G41</f>
        <v>9.7528684475001604E-4</v>
      </c>
      <c r="E41" s="562">
        <f>'EFs with Tier 4'!N41</f>
        <v>9.7528674948548725E-4</v>
      </c>
      <c r="F41" s="562">
        <f>'EFs with Tier 4'!U41</f>
        <v>9.7528678299629553E-4</v>
      </c>
      <c r="G41" s="562">
        <f>'EFs with Tier 4'!AB41</f>
        <v>9.7528671938062529E-4</v>
      </c>
      <c r="H41" s="562">
        <f>'EFs with Tier 4'!AI41</f>
        <v>9.7528667119803597E-4</v>
      </c>
      <c r="I41" s="562">
        <f>'EFs with Tier 4'!AP41</f>
        <v>9.7528682357528968E-4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4'!G42</f>
        <v>6.3930572383665419E-4</v>
      </c>
      <c r="E42" s="562">
        <f>'EFs with Tier 4'!N42</f>
        <v>6.3930550374640587E-4</v>
      </c>
      <c r="F42" s="562">
        <f>'EFs with Tier 4'!U42</f>
        <v>6.3930561423081124E-4</v>
      </c>
      <c r="G42" s="562">
        <f>'EFs with Tier 4'!AB42</f>
        <v>6.3930556871242519E-4</v>
      </c>
      <c r="H42" s="562">
        <f>'EFs with Tier 4'!AI42</f>
        <v>6.3930547733937176E-4</v>
      </c>
      <c r="I42" s="562">
        <f>'EFs with Tier 4'!AP42</f>
        <v>6.3930579784994839E-4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4'!G43</f>
        <v>9.6006650553722128E-5</v>
      </c>
      <c r="E43" s="562">
        <f>'EFs with Tier 4'!N43</f>
        <v>9.6006621553707824E-5</v>
      </c>
      <c r="F43" s="562">
        <f>'EFs with Tier 4'!U43</f>
        <v>9.6006613245633624E-5</v>
      </c>
      <c r="G43" s="562">
        <f>'EFs with Tier 4'!AB43</f>
        <v>9.6006633704493857E-5</v>
      </c>
      <c r="H43" s="562">
        <f>'EFs with Tier 4'!AI43</f>
        <v>9.6006635525263304E-5</v>
      </c>
      <c r="I43" s="562">
        <f>'EFs with Tier 4'!AP43</f>
        <v>9.6006626585351071E-5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4'!G44</f>
        <v>1.8739213528134147E-3</v>
      </c>
      <c r="E44" s="562">
        <f>'EFs with Tier 4'!N44</f>
        <v>1.8739217498104396E-3</v>
      </c>
      <c r="F44" s="562">
        <f>'EFs with Tier 4'!U44</f>
        <v>1.8739208211501423E-3</v>
      </c>
      <c r="G44" s="562">
        <f>'EFs with Tier 4'!AB44</f>
        <v>1.873921930245647E-3</v>
      </c>
      <c r="H44" s="562">
        <f>'EFs with Tier 4'!AI44</f>
        <v>1.8739219985869813E-3</v>
      </c>
      <c r="I44" s="562">
        <f>'EFs with Tier 4'!AP44</f>
        <v>1.8739212869985323E-3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Y1" workbookViewId="0">
      <selection activeCell="D41" sqref="D41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45" x14ac:dyDescent="0.25">
      <c r="D1" s="502">
        <f>'EFs with Tier 4'!H1</f>
        <v>2015</v>
      </c>
      <c r="E1" s="502">
        <f>'EFs with Tier 4'!O1</f>
        <v>2016</v>
      </c>
      <c r="F1" s="502">
        <f>'EFs with Tier 4'!V1</f>
        <v>2017</v>
      </c>
      <c r="G1" s="502">
        <f>'EFs with Tier 4'!AC1</f>
        <v>2018</v>
      </c>
      <c r="H1" s="502">
        <f>'EFs with Tier 4'!AJ1</f>
        <v>2019</v>
      </c>
      <c r="I1" s="502">
        <f>'EFs with Tier 4'!AQ1</f>
        <v>2020</v>
      </c>
    </row>
    <row r="2" spans="1:45" x14ac:dyDescent="0.25">
      <c r="A2" s="97" t="s">
        <v>502</v>
      </c>
      <c r="B2" s="502" t="s">
        <v>572</v>
      </c>
      <c r="C2" s="97" t="s">
        <v>5</v>
      </c>
      <c r="D2" s="98" t="str">
        <f>'EFs with Tier 4'!H2</f>
        <v>PM</v>
      </c>
      <c r="E2" s="98" t="str">
        <f>'EFs with Tier 4'!O2</f>
        <v>PM</v>
      </c>
      <c r="F2" s="98" t="str">
        <f>'EFs with Tier 4'!V2</f>
        <v>PM</v>
      </c>
      <c r="G2" s="98" t="str">
        <f>'EFs with Tier 4'!AC2</f>
        <v>PM</v>
      </c>
      <c r="H2" s="98" t="str">
        <f>'EFs with Tier 4'!AJ2</f>
        <v>PM</v>
      </c>
      <c r="I2" s="98" t="str">
        <f>'EFs with Tier 4'!AQ2</f>
        <v>PM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4'!H3</f>
        <v>9.3824024160305358E-2</v>
      </c>
      <c r="E3" s="502">
        <f>'EFs with Tier 4'!O3</f>
        <v>8.2830482530944383E-2</v>
      </c>
      <c r="F3" s="502">
        <f>'EFs with Tier 4'!V3</f>
        <v>6.8853609846035307E-2</v>
      </c>
      <c r="G3" s="502">
        <f>'EFs with Tier 4'!AC3</f>
        <v>5.6463798849572006E-2</v>
      </c>
      <c r="H3" s="502">
        <f>'EFs with Tier 4'!AJ3</f>
        <v>4.554369024504213E-2</v>
      </c>
      <c r="I3" s="502">
        <f>'EFs with Tier 4'!AQ3</f>
        <v>3.5977964323809883E-2</v>
      </c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4'!H4</f>
        <v>4.7321529971864722E-2</v>
      </c>
      <c r="E4" s="502">
        <f>'EFs with Tier 4'!O4</f>
        <v>4.0605643141673767E-2</v>
      </c>
      <c r="F4" s="502">
        <f>'EFs with Tier 4'!V4</f>
        <v>3.298833801066816E-2</v>
      </c>
      <c r="G4" s="502">
        <f>'EFs with Tier 4'!AC4</f>
        <v>2.6573602078387052E-2</v>
      </c>
      <c r="H4" s="502">
        <f>'EFs with Tier 4'!AJ4</f>
        <v>2.1220188327076863E-2</v>
      </c>
      <c r="I4" s="502">
        <f>'EFs with Tier 4'!AQ4</f>
        <v>1.6789340928603329E-2</v>
      </c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4'!H5</f>
        <v>8.8586968740131236E-2</v>
      </c>
      <c r="E5" s="502">
        <f>'EFs with Tier 4'!O5</f>
        <v>7.7143187339819549E-2</v>
      </c>
      <c r="F5" s="502">
        <f>'EFs with Tier 4'!V5</f>
        <v>6.3250329156374574E-2</v>
      </c>
      <c r="G5" s="502">
        <f>'EFs with Tier 4'!AC5</f>
        <v>5.1155338632109804E-2</v>
      </c>
      <c r="H5" s="502">
        <f>'EFs with Tier 4'!AJ5</f>
        <v>4.0782230728342743E-2</v>
      </c>
      <c r="I5" s="502">
        <f>'EFs with Tier 4'!AQ5</f>
        <v>3.198417576787084E-2</v>
      </c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4'!H6</f>
        <v>3.5131941225937512E-2</v>
      </c>
      <c r="E6" s="502">
        <f>'EFs with Tier 4'!O6</f>
        <v>3.0307506810758091E-2</v>
      </c>
      <c r="F6" s="502">
        <f>'EFs with Tier 4'!V6</f>
        <v>2.47861712058868E-2</v>
      </c>
      <c r="G6" s="502">
        <f>'EFs with Tier 4'!AC6</f>
        <v>2.009726870738451E-2</v>
      </c>
      <c r="H6" s="502">
        <f>'EFs with Tier 4'!AJ6</f>
        <v>1.6111419358862331E-2</v>
      </c>
      <c r="I6" s="502">
        <f>'EFs with Tier 4'!AQ6</f>
        <v>1.2736855352226477E-2</v>
      </c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4'!H7</f>
        <v>3.2120532550839874E-2</v>
      </c>
      <c r="E7" s="502">
        <f>'EFs with Tier 4'!O7</f>
        <v>2.7459392732358621E-2</v>
      </c>
      <c r="F7" s="502">
        <f>'EFs with Tier 4'!V7</f>
        <v>2.2210315689099164E-2</v>
      </c>
      <c r="G7" s="502">
        <f>'EFs with Tier 4'!AC7</f>
        <v>1.7760280708673921E-2</v>
      </c>
      <c r="H7" s="502">
        <f>'EFs with Tier 4'!AJ7</f>
        <v>1.4015045851226302E-2</v>
      </c>
      <c r="I7" s="502">
        <f>'EFs with Tier 4'!AQ7</f>
        <v>1.0898969382037922E-2</v>
      </c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4'!H8</f>
        <v>3.1241039634901123E-2</v>
      </c>
      <c r="E8" s="502">
        <f>'EFs with Tier 4'!O8</f>
        <v>2.6357448473438287E-2</v>
      </c>
      <c r="F8" s="502">
        <f>'EFs with Tier 4'!V8</f>
        <v>2.0951407107446925E-2</v>
      </c>
      <c r="G8" s="502">
        <f>'EFs with Tier 4'!AC8</f>
        <v>1.6439369112649978E-2</v>
      </c>
      <c r="H8" s="502">
        <f>'EFs with Tier 4'!AJ8</f>
        <v>1.2739176001638888E-2</v>
      </c>
      <c r="I8" s="502">
        <f>'EFs with Tier 4'!AQ8</f>
        <v>9.753223926346026E-3</v>
      </c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4'!H9</f>
        <v>3.1278738047599536E-2</v>
      </c>
      <c r="E9" s="502">
        <f>'EFs with Tier 4'!O9</f>
        <v>2.6432845298835113E-2</v>
      </c>
      <c r="F9" s="502">
        <f>'EFs with Tier 4'!V9</f>
        <v>2.1102200758240576E-2</v>
      </c>
      <c r="G9" s="502">
        <f>'EFs with Tier 4'!AC9</f>
        <v>1.6665559588840455E-2</v>
      </c>
      <c r="H9" s="502">
        <f>'EFs with Tier 4'!AJ9</f>
        <v>1.3040763303226189E-2</v>
      </c>
      <c r="I9" s="502">
        <f>'EFs with Tier 4'!AQ9</f>
        <v>1.0130208053330153E-2</v>
      </c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4'!H10</f>
        <v>3.945202890717215E-2</v>
      </c>
      <c r="E10" s="502">
        <f>'EFs with Tier 4'!O10</f>
        <v>3.3330140460280537E-2</v>
      </c>
      <c r="F10" s="502">
        <f>'EFs with Tier 4'!V10</f>
        <v>2.6581291294641821E-2</v>
      </c>
      <c r="G10" s="502">
        <f>'EFs with Tier 4'!AC10</f>
        <v>2.1028845132339352E-2</v>
      </c>
      <c r="H10" s="502">
        <f>'EFs with Tier 4'!AJ10</f>
        <v>1.6503674071042872E-2</v>
      </c>
      <c r="I10" s="502">
        <f>'EFs with Tier 4'!AQ10</f>
        <v>1.2840106589462316E-2</v>
      </c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4'!H11</f>
        <v>1.5314374699910852E-2</v>
      </c>
      <c r="E11" s="502">
        <f>'EFs with Tier 4'!O11</f>
        <v>1.1371697081817145E-2</v>
      </c>
      <c r="F11" s="502">
        <f>'EFs with Tier 4'!V11</f>
        <v>7.9062461683871519E-3</v>
      </c>
      <c r="G11" s="502">
        <f>'EFs with Tier 4'!AC11</f>
        <v>5.4756277580109121E-3</v>
      </c>
      <c r="H11" s="502">
        <f>'EFs with Tier 4'!AJ11</f>
        <v>3.7752492862157534E-3</v>
      </c>
      <c r="I11" s="502">
        <f>'EFs with Tier 4'!AQ11</f>
        <v>2.6628236131493268E-3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4'!H12</f>
        <v>3.9464685082802008E-2</v>
      </c>
      <c r="E12" s="502">
        <f>'EFs with Tier 4'!O12</f>
        <v>3.4059644036434848E-2</v>
      </c>
      <c r="F12" s="502">
        <f>'EFs with Tier 4'!V12</f>
        <v>2.745818710850171E-2</v>
      </c>
      <c r="G12" s="502">
        <f>'EFs with Tier 4'!AC12</f>
        <v>2.1664914086788938E-2</v>
      </c>
      <c r="H12" s="502">
        <f>'EFs with Tier 4'!AJ12</f>
        <v>1.66364993658683E-2</v>
      </c>
      <c r="I12" s="502">
        <f>'EFs with Tier 4'!AQ12</f>
        <v>1.2357031752958535E-2</v>
      </c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4'!H13</f>
        <v>3.1278738047599536E-2</v>
      </c>
      <c r="E13" s="502">
        <f>'EFs with Tier 4'!O13</f>
        <v>2.6432845298835113E-2</v>
      </c>
      <c r="F13" s="502">
        <f>'EFs with Tier 4'!V13</f>
        <v>2.1102200758240576E-2</v>
      </c>
      <c r="G13" s="502">
        <f>'EFs with Tier 4'!AC13</f>
        <v>1.6665559588840455E-2</v>
      </c>
      <c r="H13" s="502">
        <f>'EFs with Tier 4'!AJ13</f>
        <v>1.3040763303226189E-2</v>
      </c>
      <c r="I13" s="502">
        <f>'EFs with Tier 4'!AQ13</f>
        <v>1.0130208053330153E-2</v>
      </c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4'!H14</f>
        <v>4.0955217982968535E-2</v>
      </c>
      <c r="E14" s="502">
        <f>'EFs with Tier 4'!O14</f>
        <v>3.492009842986301E-2</v>
      </c>
      <c r="F14" s="502">
        <f>'EFs with Tier 4'!V14</f>
        <v>2.7850368199284443E-2</v>
      </c>
      <c r="G14" s="502">
        <f>'EFs with Tier 4'!AC14</f>
        <v>2.1783222351132885E-2</v>
      </c>
      <c r="H14" s="502">
        <f>'EFs with Tier 4'!AJ14</f>
        <v>1.6640099806405521E-2</v>
      </c>
      <c r="I14" s="502">
        <f>'EFs with Tier 4'!AQ14</f>
        <v>1.2351981307621154E-2</v>
      </c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4'!H15</f>
        <v>3.1278738047599536E-2</v>
      </c>
      <c r="E15" s="502">
        <f>'EFs with Tier 4'!O15</f>
        <v>2.6432845298835113E-2</v>
      </c>
      <c r="F15" s="502">
        <f>'EFs with Tier 4'!V15</f>
        <v>2.1102200758240576E-2</v>
      </c>
      <c r="G15" s="502">
        <f>'EFs with Tier 4'!AC15</f>
        <v>1.6665559588840455E-2</v>
      </c>
      <c r="H15" s="502">
        <f>'EFs with Tier 4'!AJ15</f>
        <v>1.3040763303226189E-2</v>
      </c>
      <c r="I15" s="502">
        <f>'EFs with Tier 4'!AQ15</f>
        <v>1.0130208053330153E-2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4'!H16</f>
        <v>4.0693642888068586E-2</v>
      </c>
      <c r="E16" s="502">
        <f>'EFs with Tier 4'!O16</f>
        <v>3.5216325713369134E-2</v>
      </c>
      <c r="F16" s="502">
        <f>'EFs with Tier 4'!V16</f>
        <v>2.8846164608865917E-2</v>
      </c>
      <c r="G16" s="502">
        <f>'EFs with Tier 4'!AC16</f>
        <v>2.3360137726921776E-2</v>
      </c>
      <c r="H16" s="502">
        <f>'EFs with Tier 4'!AJ16</f>
        <v>1.8680963218576596E-2</v>
      </c>
      <c r="I16" s="502">
        <f>'EFs with Tier 4'!AQ16</f>
        <v>1.4766132645050114E-2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4'!H17</f>
        <v>3.1278738047599536E-2</v>
      </c>
      <c r="E17" s="502">
        <f>'EFs with Tier 4'!O17</f>
        <v>2.6432845298835113E-2</v>
      </c>
      <c r="F17" s="502">
        <f>'EFs with Tier 4'!V17</f>
        <v>2.1102200758240576E-2</v>
      </c>
      <c r="G17" s="502">
        <f>'EFs with Tier 4'!AC17</f>
        <v>1.6665559588840455E-2</v>
      </c>
      <c r="H17" s="502">
        <f>'EFs with Tier 4'!AJ17</f>
        <v>1.3040763303226189E-2</v>
      </c>
      <c r="I17" s="502">
        <f>'EFs with Tier 4'!AQ17</f>
        <v>1.0130208053330153E-2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4'!H18</f>
        <v>2.3373300034597182E-2</v>
      </c>
      <c r="E18" s="502">
        <f>'EFs with Tier 4'!O18</f>
        <v>1.9787803716078484E-2</v>
      </c>
      <c r="F18" s="502">
        <f>'EFs with Tier 4'!V18</f>
        <v>1.5650220264446981E-2</v>
      </c>
      <c r="G18" s="502">
        <f>'EFs with Tier 4'!AC18</f>
        <v>1.2096076420543793E-2</v>
      </c>
      <c r="H18" s="502">
        <f>'EFs with Tier 4'!AJ18</f>
        <v>9.08355309983307E-3</v>
      </c>
      <c r="I18" s="502">
        <f>'EFs with Tier 4'!AQ18</f>
        <v>6.7486596146919021E-3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4'!H19</f>
        <v>1.8470024929196412E-2</v>
      </c>
      <c r="E19" s="502">
        <f>'EFs with Tier 4'!O19</f>
        <v>1.5037193593767375E-2</v>
      </c>
      <c r="F19" s="502">
        <f>'EFs with Tier 4'!V19</f>
        <v>1.2197200319964813E-2</v>
      </c>
      <c r="G19" s="502">
        <f>'EFs with Tier 4'!AC19</f>
        <v>9.7345573023806791E-3</v>
      </c>
      <c r="H19" s="502">
        <f>'EFs with Tier 4'!AJ19</f>
        <v>7.6352718123643224E-3</v>
      </c>
      <c r="I19" s="502">
        <f>'EFs with Tier 4'!AQ19</f>
        <v>5.9610457509514797E-3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4'!H20</f>
        <v>3.7613858140880155E-2</v>
      </c>
      <c r="E20" s="502">
        <f>'EFs with Tier 4'!O20</f>
        <v>3.1927098880034817E-2</v>
      </c>
      <c r="F20" s="502">
        <f>'EFs with Tier 4'!V20</f>
        <v>2.5700450817083765E-2</v>
      </c>
      <c r="G20" s="502">
        <f>'EFs with Tier 4'!AC20</f>
        <v>2.0522530022613474E-2</v>
      </c>
      <c r="H20" s="502">
        <f>'EFs with Tier 4'!AJ20</f>
        <v>1.6223354293036216E-2</v>
      </c>
      <c r="I20" s="502">
        <f>'EFs with Tier 4'!AQ20</f>
        <v>1.2698933981337302E-2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4'!H21</f>
        <v>3.7613858140880155E-2</v>
      </c>
      <c r="E21" s="502">
        <f>'EFs with Tier 4'!O21</f>
        <v>3.1927098880034817E-2</v>
      </c>
      <c r="F21" s="502">
        <f>'EFs with Tier 4'!V21</f>
        <v>2.5700450817083765E-2</v>
      </c>
      <c r="G21" s="502">
        <f>'EFs with Tier 4'!AC21</f>
        <v>2.0522530022613474E-2</v>
      </c>
      <c r="H21" s="502">
        <f>'EFs with Tier 4'!AJ21</f>
        <v>1.6223354293036216E-2</v>
      </c>
      <c r="I21" s="502">
        <f>'EFs with Tier 4'!AQ21</f>
        <v>1.2698933981337302E-2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4'!H22</f>
        <v>3.7613858140880155E-2</v>
      </c>
      <c r="E22" s="502">
        <f>'EFs with Tier 4'!O22</f>
        <v>3.1927098880034817E-2</v>
      </c>
      <c r="F22" s="502">
        <f>'EFs with Tier 4'!V22</f>
        <v>2.5700450817083765E-2</v>
      </c>
      <c r="G22" s="502">
        <f>'EFs with Tier 4'!AC22</f>
        <v>2.0522530022613474E-2</v>
      </c>
      <c r="H22" s="502">
        <f>'EFs with Tier 4'!AJ22</f>
        <v>1.6223354293036216E-2</v>
      </c>
      <c r="I22" s="502">
        <f>'EFs with Tier 4'!AQ22</f>
        <v>1.2698933981337302E-2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4'!H23</f>
        <v>4.2762722436368722E-3</v>
      </c>
      <c r="E23" s="502">
        <f>'EFs with Tier 4'!O23</f>
        <v>3.5444177512777061E-3</v>
      </c>
      <c r="F23" s="502">
        <f>'EFs with Tier 4'!V23</f>
        <v>3.2432262669432063E-3</v>
      </c>
      <c r="G23" s="502">
        <f>'EFs with Tier 4'!AC23</f>
        <v>2.9641300934263879E-3</v>
      </c>
      <c r="H23" s="502">
        <f>'EFs with Tier 4'!AJ23</f>
        <v>2.696861130273029E-3</v>
      </c>
      <c r="I23" s="502">
        <f>'EFs with Tier 4'!AQ23</f>
        <v>2.4326374207062334E-3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4'!H24</f>
        <v>3.7613858140880155E-2</v>
      </c>
      <c r="E24" s="502">
        <f>'EFs with Tier 4'!O24</f>
        <v>3.1927098880034817E-2</v>
      </c>
      <c r="F24" s="502">
        <f>'EFs with Tier 4'!V24</f>
        <v>2.5700450817083765E-2</v>
      </c>
      <c r="G24" s="502">
        <f>'EFs with Tier 4'!AC24</f>
        <v>2.0522530022613474E-2</v>
      </c>
      <c r="H24" s="502">
        <f>'EFs with Tier 4'!AJ24</f>
        <v>1.6223354293036216E-2</v>
      </c>
      <c r="I24" s="502">
        <f>'EFs with Tier 4'!AQ24</f>
        <v>1.2698933981337302E-2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4'!H25</f>
        <v>3.7594016871038888E-2</v>
      </c>
      <c r="E25" s="502">
        <f>'EFs with Tier 4'!O25</f>
        <v>3.1887416340352276E-2</v>
      </c>
      <c r="F25" s="502">
        <f>'EFs with Tier 4'!V25</f>
        <v>2.5621085737718687E-2</v>
      </c>
      <c r="G25" s="502">
        <f>'EFs with Tier 4'!AC25</f>
        <v>2.0403482403565855E-2</v>
      </c>
      <c r="H25" s="502">
        <f>'EFs with Tier 4'!AJ25</f>
        <v>1.6064624134306055E-2</v>
      </c>
      <c r="I25" s="502">
        <f>'EFs with Tier 4'!AQ25</f>
        <v>1.2500521282924604E-2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4'!H26</f>
        <v>4.2762722436368722E-3</v>
      </c>
      <c r="E26" s="502">
        <f>'EFs with Tier 4'!O26</f>
        <v>3.5444177512777061E-3</v>
      </c>
      <c r="F26" s="502">
        <f>'EFs with Tier 4'!V26</f>
        <v>3.2432262669432063E-3</v>
      </c>
      <c r="G26" s="502">
        <f>'EFs with Tier 4'!AC26</f>
        <v>2.9641300934263879E-3</v>
      </c>
      <c r="H26" s="502">
        <f>'EFs with Tier 4'!AJ26</f>
        <v>2.696861130273029E-3</v>
      </c>
      <c r="I26" s="502">
        <f>'EFs with Tier 4'!AQ26</f>
        <v>2.4326374207062334E-3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4'!H27</f>
        <v>1.1105935287803133E-2</v>
      </c>
      <c r="E27" s="502">
        <f>'EFs with Tier 4'!O27</f>
        <v>8.5525540544657674E-3</v>
      </c>
      <c r="F27" s="502">
        <f>'EFs with Tier 4'!V27</f>
        <v>6.4072046133089979E-3</v>
      </c>
      <c r="G27" s="502">
        <f>'EFs with Tier 4'!AC27</f>
        <v>4.7346803420060734E-3</v>
      </c>
      <c r="H27" s="502">
        <f>'EFs with Tier 4'!AJ27</f>
        <v>3.4430137077856885E-3</v>
      </c>
      <c r="I27" s="502">
        <f>'EFs with Tier 4'!AQ27</f>
        <v>2.4617722095257289E-3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4'!H28</f>
        <v>3.158527929581284E-2</v>
      </c>
      <c r="E28" s="502">
        <f>'EFs with Tier 4'!O28</f>
        <v>2.6383116742669136E-2</v>
      </c>
      <c r="F28" s="502">
        <f>'EFs with Tier 4'!V28</f>
        <v>2.0649549043412065E-2</v>
      </c>
      <c r="G28" s="502">
        <f>'EFs with Tier 4'!AC28</f>
        <v>1.5921598680219098E-2</v>
      </c>
      <c r="H28" s="502">
        <f>'EFs with Tier 4'!AJ28</f>
        <v>1.2244998987628557E-2</v>
      </c>
      <c r="I28" s="502">
        <f>'EFs with Tier 4'!AQ28</f>
        <v>9.3561305914966388E-3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4'!H29</f>
        <v>2.7335443440029156E-3</v>
      </c>
      <c r="E29" s="502">
        <f>'EFs with Tier 4'!O29</f>
        <v>2.5911643423632098E-3</v>
      </c>
      <c r="F29" s="502">
        <f>'EFs with Tier 4'!V29</f>
        <v>2.303257269217227E-3</v>
      </c>
      <c r="G29" s="502">
        <f>'EFs with Tier 4'!AC29</f>
        <v>2.0153501803144001E-3</v>
      </c>
      <c r="H29" s="502">
        <f>'EFs with Tier 4'!AJ29</f>
        <v>1.7274426525773795E-3</v>
      </c>
      <c r="I29" s="502">
        <f>'EFs with Tier 4'!AQ29</f>
        <v>1.4395353897356574E-3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4'!H30</f>
        <v>3.1278738047599536E-2</v>
      </c>
      <c r="E30" s="502">
        <f>'EFs with Tier 4'!O30</f>
        <v>2.6432845298835113E-2</v>
      </c>
      <c r="F30" s="502">
        <f>'EFs with Tier 4'!V30</f>
        <v>2.1102200758240576E-2</v>
      </c>
      <c r="G30" s="502">
        <f>'EFs with Tier 4'!AC30</f>
        <v>1.6665559588840455E-2</v>
      </c>
      <c r="H30" s="502">
        <f>'EFs with Tier 4'!AJ30</f>
        <v>1.3040763303226189E-2</v>
      </c>
      <c r="I30" s="502">
        <f>'EFs with Tier 4'!AQ30</f>
        <v>1.0130208053330153E-2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4'!H31</f>
        <v>0</v>
      </c>
      <c r="E31" s="502">
        <f>'EFs with Tier 4'!O31</f>
        <v>0</v>
      </c>
      <c r="F31" s="502">
        <f>'EFs with Tier 4'!V31</f>
        <v>0</v>
      </c>
      <c r="G31" s="502">
        <f>'EFs with Tier 4'!AC31</f>
        <v>0</v>
      </c>
      <c r="H31" s="502">
        <f>'EFs with Tier 4'!AJ31</f>
        <v>0</v>
      </c>
      <c r="I31" s="502">
        <f>'EFs with Tier 4'!AQ31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4'!H32</f>
        <v>3.7594016871038888E-2</v>
      </c>
      <c r="E32" s="502">
        <f>'EFs with Tier 4'!O32</f>
        <v>3.1887416340352276E-2</v>
      </c>
      <c r="F32" s="502">
        <f>'EFs with Tier 4'!V32</f>
        <v>2.5621085737718687E-2</v>
      </c>
      <c r="G32" s="502">
        <f>'EFs with Tier 4'!AC32</f>
        <v>2.0403482403565855E-2</v>
      </c>
      <c r="H32" s="502">
        <f>'EFs with Tier 4'!AJ32</f>
        <v>1.6064624134306055E-2</v>
      </c>
      <c r="I32" s="502">
        <f>'EFs with Tier 4'!AQ32</f>
        <v>1.2500521282924604E-2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4'!H33</f>
        <v>3.1241039634901123E-2</v>
      </c>
      <c r="E33" s="502">
        <f>'EFs with Tier 4'!O33</f>
        <v>2.6357448473438287E-2</v>
      </c>
      <c r="F33" s="502">
        <f>'EFs with Tier 4'!V33</f>
        <v>2.0951407107446925E-2</v>
      </c>
      <c r="G33" s="502">
        <f>'EFs with Tier 4'!AC33</f>
        <v>1.6439369112649978E-2</v>
      </c>
      <c r="H33" s="502">
        <f>'EFs with Tier 4'!AJ33</f>
        <v>1.2739176001638888E-2</v>
      </c>
      <c r="I33" s="502">
        <f>'EFs with Tier 4'!AQ33</f>
        <v>9.753223926346026E-3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4'!H34</f>
        <v>3.2254740099391166E-2</v>
      </c>
      <c r="E34" s="502">
        <f>'EFs with Tier 4'!O34</f>
        <v>2.7461945936463245E-2</v>
      </c>
      <c r="F34" s="502">
        <f>'EFs with Tier 4'!V34</f>
        <v>2.1973924390090258E-2</v>
      </c>
      <c r="G34" s="502">
        <f>'EFs with Tier 4'!AC34</f>
        <v>1.7311711218151345E-2</v>
      </c>
      <c r="H34" s="502">
        <f>'EFs with Tier 4'!AJ34</f>
        <v>1.3457954998767074E-2</v>
      </c>
      <c r="I34" s="502">
        <f>'EFs with Tier 4'!AQ34</f>
        <v>1.0301140151546021E-2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4'!H35</f>
        <v>3.1278738047599536E-2</v>
      </c>
      <c r="E35" s="502">
        <f>'EFs with Tier 4'!O35</f>
        <v>2.6432845298835113E-2</v>
      </c>
      <c r="F35" s="502">
        <f>'EFs with Tier 4'!V35</f>
        <v>2.1102200758240576E-2</v>
      </c>
      <c r="G35" s="502">
        <f>'EFs with Tier 4'!AC35</f>
        <v>1.6665559588840455E-2</v>
      </c>
      <c r="H35" s="502">
        <f>'EFs with Tier 4'!AJ35</f>
        <v>1.3040763303226189E-2</v>
      </c>
      <c r="I35" s="502">
        <f>'EFs with Tier 4'!AQ35</f>
        <v>1.0130208053330153E-2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4'!H36</f>
        <v>3.1278738047599536E-2</v>
      </c>
      <c r="E36" s="502">
        <f>'EFs with Tier 4'!O36</f>
        <v>2.6432845298835113E-2</v>
      </c>
      <c r="F36" s="502">
        <f>'EFs with Tier 4'!V36</f>
        <v>2.1102200758240576E-2</v>
      </c>
      <c r="G36" s="502">
        <f>'EFs with Tier 4'!AC36</f>
        <v>1.6665559588840455E-2</v>
      </c>
      <c r="H36" s="502">
        <f>'EFs with Tier 4'!AJ36</f>
        <v>1.3040763303226189E-2</v>
      </c>
      <c r="I36" s="502">
        <f>'EFs with Tier 4'!AQ36</f>
        <v>1.0130208053330153E-2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4'!H37</f>
        <v>3.1278738047599536E-2</v>
      </c>
      <c r="E37" s="502">
        <f>'EFs with Tier 4'!O37</f>
        <v>2.6432845298835113E-2</v>
      </c>
      <c r="F37" s="502">
        <f>'EFs with Tier 4'!V37</f>
        <v>2.1102200758240576E-2</v>
      </c>
      <c r="G37" s="502">
        <f>'EFs with Tier 4'!AC37</f>
        <v>1.6665559588840455E-2</v>
      </c>
      <c r="H37" s="502">
        <f>'EFs with Tier 4'!AJ37</f>
        <v>1.3040763303226189E-2</v>
      </c>
      <c r="I37" s="502">
        <f>'EFs with Tier 4'!AQ37</f>
        <v>1.0130208053330153E-2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4'!H38</f>
        <v>3.1241039634901123E-2</v>
      </c>
      <c r="E38" s="502">
        <f>'EFs with Tier 4'!O38</f>
        <v>2.6357448473438287E-2</v>
      </c>
      <c r="F38" s="502">
        <f>'EFs with Tier 4'!V38</f>
        <v>2.0951407107446925E-2</v>
      </c>
      <c r="G38" s="502">
        <f>'EFs with Tier 4'!AC38</f>
        <v>1.6439369112649978E-2</v>
      </c>
      <c r="H38" s="502">
        <f>'EFs with Tier 4'!AJ38</f>
        <v>1.2739176001638888E-2</v>
      </c>
      <c r="I38" s="502">
        <f>'EFs with Tier 4'!AQ38</f>
        <v>9.753223926346026E-3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4'!H39</f>
        <v>4.6360889612910072E-2</v>
      </c>
      <c r="E39" s="562">
        <f>'EFs with Tier 4'!O39</f>
        <v>3.9493202238009152E-2</v>
      </c>
      <c r="F39" s="562">
        <f>'EFs with Tier 4'!V39</f>
        <v>3.1364589986635806E-2</v>
      </c>
      <c r="G39" s="562">
        <f>'EFs with Tier 4'!AC39</f>
        <v>2.4347329353263003E-2</v>
      </c>
      <c r="H39" s="562">
        <f>'EFs with Tier 4'!AJ39</f>
        <v>1.8459332893342194E-2</v>
      </c>
      <c r="I39" s="562">
        <f>'EFs with Tier 4'!AQ39</f>
        <v>1.3934471417727367E-2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4'!H40</f>
        <v>4.4270434389604658E-2</v>
      </c>
      <c r="E40" s="562">
        <f>'EFs with Tier 4'!O40</f>
        <v>3.5273167010068454E-2</v>
      </c>
      <c r="F40" s="562">
        <f>'EFs with Tier 4'!V40</f>
        <v>2.6896591999900455E-2</v>
      </c>
      <c r="G40" s="562">
        <f>'EFs with Tier 4'!AC40</f>
        <v>2.0343790715759896E-2</v>
      </c>
      <c r="H40" s="562">
        <f>'EFs with Tier 4'!AJ40</f>
        <v>1.500007730265744E-2</v>
      </c>
      <c r="I40" s="562">
        <f>'EFs with Tier 4'!AQ40</f>
        <v>1.0505792858365341E-2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4'!H41</f>
        <v>5.9776745478460666E-2</v>
      </c>
      <c r="E41" s="562">
        <f>'EFs with Tier 4'!O41</f>
        <v>4.9939506907690084E-2</v>
      </c>
      <c r="F41" s="562">
        <f>'EFs with Tier 4'!V41</f>
        <v>3.8692405167157572E-2</v>
      </c>
      <c r="G41" s="562">
        <f>'EFs with Tier 4'!AC41</f>
        <v>2.913390857110517E-2</v>
      </c>
      <c r="H41" s="562">
        <f>'EFs with Tier 4'!AJ41</f>
        <v>2.1190772691099768E-2</v>
      </c>
      <c r="I41" s="562">
        <f>'EFs with Tier 4'!AQ41</f>
        <v>1.5121270575030933E-2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4'!H42</f>
        <v>4.7747622432400182E-2</v>
      </c>
      <c r="E42" s="562">
        <f>'EFs with Tier 4'!O42</f>
        <v>4.2081520077627707E-2</v>
      </c>
      <c r="F42" s="562">
        <f>'EFs with Tier 4'!V42</f>
        <v>3.4674862704033624E-2</v>
      </c>
      <c r="G42" s="562">
        <f>'EFs with Tier 4'!AC42</f>
        <v>2.8022847013195004E-2</v>
      </c>
      <c r="H42" s="562">
        <f>'EFs with Tier 4'!AJ42</f>
        <v>2.2095847482280894E-2</v>
      </c>
      <c r="I42" s="562">
        <f>'EFs with Tier 4'!AQ42</f>
        <v>1.6859643733756421E-2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4'!H43</f>
        <v>1.6695764161062747E-3</v>
      </c>
      <c r="E43" s="562">
        <f>'EFs with Tier 4'!O43</f>
        <v>1.5817036001781303E-3</v>
      </c>
      <c r="F43" s="562">
        <f>'EFs with Tier 4'!V43</f>
        <v>1.4059583021690635E-3</v>
      </c>
      <c r="G43" s="562">
        <f>'EFs with Tier 4'!AC43</f>
        <v>1.2302139017908251E-3</v>
      </c>
      <c r="H43" s="562">
        <f>'EFs with Tier 4'!AJ43</f>
        <v>1.0544689829735199E-3</v>
      </c>
      <c r="I43" s="562">
        <f>'EFs with Tier 4'!AQ43</f>
        <v>8.7872418193087683E-4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4'!H44</f>
        <v>3.1131085931197421E-2</v>
      </c>
      <c r="E44" s="562">
        <f>'EFs with Tier 4'!O44</f>
        <v>2.6137541066030879E-2</v>
      </c>
      <c r="F44" s="562">
        <f>'EFs with Tier 4'!V44</f>
        <v>2.0511592292632112E-2</v>
      </c>
      <c r="G44" s="562">
        <f>'EFs with Tier 4'!AC44</f>
        <v>1.5779646890427757E-2</v>
      </c>
      <c r="H44" s="562">
        <f>'EFs with Tier 4'!AJ44</f>
        <v>1.1859546372009259E-2</v>
      </c>
      <c r="I44" s="562">
        <f>'EFs with Tier 4'!AQ44</f>
        <v>8.6536868893089883E-3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Y1" workbookViewId="0">
      <selection activeCell="D41" sqref="D41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45" x14ac:dyDescent="0.25">
      <c r="D1" s="502">
        <f>'EFs with Tier 4'!I1</f>
        <v>2015</v>
      </c>
      <c r="E1" s="502">
        <f>'EFs with Tier 4'!P1</f>
        <v>2016</v>
      </c>
      <c r="F1" s="502">
        <f>'EFs with Tier 4'!W1</f>
        <v>2017</v>
      </c>
      <c r="G1" s="502">
        <f>'EFs with Tier 4'!AD1</f>
        <v>2018</v>
      </c>
      <c r="H1" s="502">
        <f>'EFs with Tier 4'!AK1</f>
        <v>2019</v>
      </c>
      <c r="I1" s="502">
        <f>'EFs with Tier 4'!AR1</f>
        <v>2020</v>
      </c>
    </row>
    <row r="2" spans="1:45" x14ac:dyDescent="0.25">
      <c r="A2" s="97" t="s">
        <v>502</v>
      </c>
      <c r="B2" s="502" t="s">
        <v>572</v>
      </c>
      <c r="C2" s="97" t="s">
        <v>5</v>
      </c>
      <c r="D2" s="98" t="str">
        <f>'EFs with Tier 4'!I2</f>
        <v>CO2</v>
      </c>
      <c r="E2" s="98" t="str">
        <f>'EFs with Tier 4'!P2</f>
        <v>CO2</v>
      </c>
      <c r="F2" s="98" t="str">
        <f>'EFs with Tier 4'!W2</f>
        <v>CO2</v>
      </c>
      <c r="G2" s="98" t="str">
        <f>'EFs with Tier 4'!AD2</f>
        <v>CO2</v>
      </c>
      <c r="H2" s="98" t="str">
        <f>'EFs with Tier 4'!AK2</f>
        <v>CO2</v>
      </c>
      <c r="I2" s="98" t="str">
        <f>'EFs with Tier 4'!AR2</f>
        <v>CO2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N2" s="98"/>
      <c r="AO2" s="98"/>
      <c r="AP2" s="98"/>
      <c r="AQ2" s="98"/>
      <c r="AR2" s="98"/>
      <c r="AS2" s="98"/>
    </row>
    <row r="3" spans="1:45" x14ac:dyDescent="0.25">
      <c r="A3" s="27" t="s">
        <v>193</v>
      </c>
      <c r="B3" s="25">
        <v>350</v>
      </c>
      <c r="C3" s="134">
        <v>0.4</v>
      </c>
      <c r="D3" s="502">
        <f>'EFs with Tier 4'!I3</f>
        <v>264.8725636721183</v>
      </c>
      <c r="E3" s="502">
        <f>'EFs with Tier 4'!P3</f>
        <v>264.87256951539769</v>
      </c>
      <c r="F3" s="502">
        <f>'EFs with Tier 4'!W3</f>
        <v>264.87250666353776</v>
      </c>
      <c r="G3" s="502">
        <f>'EFs with Tier 4'!AD3</f>
        <v>264.87253998784388</v>
      </c>
      <c r="H3" s="502">
        <f>'EFs with Tier 4'!AK3</f>
        <v>264.87254421657707</v>
      </c>
      <c r="I3" s="502">
        <f>'EFs with Tier 4'!AR3</f>
        <v>264.87248137307603</v>
      </c>
    </row>
    <row r="4" spans="1:45" x14ac:dyDescent="0.25">
      <c r="A4" s="27" t="s">
        <v>194</v>
      </c>
      <c r="B4" s="25">
        <v>350</v>
      </c>
      <c r="C4" s="134">
        <v>0.41</v>
      </c>
      <c r="D4" s="502">
        <f>'EFs with Tier 4'!I4</f>
        <v>229.48430404511782</v>
      </c>
      <c r="E4" s="502">
        <f>'EFs with Tier 4'!P4</f>
        <v>229.48431544436346</v>
      </c>
      <c r="F4" s="502">
        <f>'EFs with Tier 4'!W4</f>
        <v>229.48428583366018</v>
      </c>
      <c r="G4" s="502">
        <f>'EFs with Tier 4'!AD4</f>
        <v>229.48424083111456</v>
      </c>
      <c r="H4" s="502">
        <f>'EFs with Tier 4'!AK4</f>
        <v>229.48421950990104</v>
      </c>
      <c r="I4" s="502">
        <f>'EFs with Tier 4'!AR4</f>
        <v>229.48426254447057</v>
      </c>
    </row>
    <row r="5" spans="1:45" x14ac:dyDescent="0.25">
      <c r="A5" s="27" t="s">
        <v>195</v>
      </c>
      <c r="B5" s="25">
        <v>350</v>
      </c>
      <c r="C5" s="134">
        <v>0.48</v>
      </c>
      <c r="D5" s="502">
        <f>'EFs with Tier 4'!I5</f>
        <v>321.42846035935588</v>
      </c>
      <c r="E5" s="502">
        <f>'EFs with Tier 4'!P5</f>
        <v>321.42846751610921</v>
      </c>
      <c r="F5" s="502">
        <f>'EFs with Tier 4'!W5</f>
        <v>321.42849811261823</v>
      </c>
      <c r="G5" s="502">
        <f>'EFs with Tier 4'!AD5</f>
        <v>321.42848144577874</v>
      </c>
      <c r="H5" s="502">
        <f>'EFs with Tier 4'!AK5</f>
        <v>321.42843554242222</v>
      </c>
      <c r="I5" s="502">
        <f>'EFs with Tier 4'!AR5</f>
        <v>321.42849079555151</v>
      </c>
    </row>
    <row r="6" spans="1:45" x14ac:dyDescent="0.25">
      <c r="A6" s="27" t="s">
        <v>196</v>
      </c>
      <c r="B6" s="25">
        <v>250</v>
      </c>
      <c r="C6" s="134">
        <v>0.38</v>
      </c>
      <c r="D6" s="502">
        <f>'EFs with Tier 4'!I6</f>
        <v>153.0897857268109</v>
      </c>
      <c r="E6" s="502">
        <f>'EFs with Tier 4'!P6</f>
        <v>153.08990422247768</v>
      </c>
      <c r="F6" s="502">
        <f>'EFs with Tier 4'!W6</f>
        <v>153.08978374428989</v>
      </c>
      <c r="G6" s="502">
        <f>'EFs with Tier 4'!AD6</f>
        <v>153.0898468576824</v>
      </c>
      <c r="H6" s="502">
        <f>'EFs with Tier 4'!AK6</f>
        <v>153.08987122896906</v>
      </c>
      <c r="I6" s="502">
        <f>'EFs with Tier 4'!AR6</f>
        <v>153.08982237295896</v>
      </c>
    </row>
    <row r="7" spans="1:45" x14ac:dyDescent="0.25">
      <c r="A7" s="27" t="s">
        <v>197</v>
      </c>
      <c r="B7" s="134">
        <v>200</v>
      </c>
      <c r="C7" s="134">
        <v>0.36</v>
      </c>
      <c r="D7" s="502">
        <f>'EFs with Tier 4'!I7</f>
        <v>148.97664453593197</v>
      </c>
      <c r="E7" s="502">
        <f>'EFs with Tier 4'!P7</f>
        <v>148.97666793125595</v>
      </c>
      <c r="F7" s="502">
        <f>'EFs with Tier 4'!W7</f>
        <v>148.97664558315503</v>
      </c>
      <c r="G7" s="502">
        <f>'EFs with Tier 4'!AD7</f>
        <v>148.97670143852574</v>
      </c>
      <c r="H7" s="502">
        <f>'EFs with Tier 4'!AK7</f>
        <v>148.97671844641377</v>
      </c>
      <c r="I7" s="502">
        <f>'EFs with Tier 4'!AR7</f>
        <v>148.97665813539152</v>
      </c>
    </row>
    <row r="8" spans="1:45" x14ac:dyDescent="0.25">
      <c r="A8" s="27" t="s">
        <v>199</v>
      </c>
      <c r="B8" s="25">
        <v>175</v>
      </c>
      <c r="C8" s="134">
        <v>0.38</v>
      </c>
      <c r="D8" s="502">
        <f>'EFs with Tier 4'!I8</f>
        <v>166.54539483446186</v>
      </c>
      <c r="E8" s="502">
        <f>'EFs with Tier 4'!P8</f>
        <v>166.54541562452522</v>
      </c>
      <c r="F8" s="502">
        <f>'EFs with Tier 4'!W8</f>
        <v>166.54536773790227</v>
      </c>
      <c r="G8" s="502">
        <f>'EFs with Tier 4'!AD8</f>
        <v>166.54543379579488</v>
      </c>
      <c r="H8" s="502">
        <f>'EFs with Tier 4'!AK8</f>
        <v>166.54541132463186</v>
      </c>
      <c r="I8" s="502">
        <f>'EFs with Tier 4'!AR8</f>
        <v>166.54540745667055</v>
      </c>
    </row>
    <row r="9" spans="1:45" x14ac:dyDescent="0.25">
      <c r="A9" s="27" t="s">
        <v>200</v>
      </c>
      <c r="B9" s="25">
        <v>235</v>
      </c>
      <c r="C9" s="134">
        <v>0.38</v>
      </c>
      <c r="D9" s="502">
        <f>'EFs with Tier 4'!I9</f>
        <v>166.54539483446186</v>
      </c>
      <c r="E9" s="502">
        <f>'EFs with Tier 4'!P9</f>
        <v>166.54541562452522</v>
      </c>
      <c r="F9" s="502">
        <f>'EFs with Tier 4'!W9</f>
        <v>166.54536773790227</v>
      </c>
      <c r="G9" s="502">
        <f>'EFs with Tier 4'!AD9</f>
        <v>166.54543379579488</v>
      </c>
      <c r="H9" s="502">
        <f>'EFs with Tier 4'!AK9</f>
        <v>166.54541132463186</v>
      </c>
      <c r="I9" s="502">
        <f>'EFs with Tier 4'!AR9</f>
        <v>166.54540745667055</v>
      </c>
    </row>
    <row r="10" spans="1:45" x14ac:dyDescent="0.25">
      <c r="A10" s="27" t="s">
        <v>201</v>
      </c>
      <c r="B10" s="25">
        <v>300</v>
      </c>
      <c r="C10" s="134">
        <v>0.38</v>
      </c>
      <c r="D10" s="502">
        <f>'EFs with Tier 4'!I10</f>
        <v>233.73532966705815</v>
      </c>
      <c r="E10" s="502">
        <f>'EFs with Tier 4'!P10</f>
        <v>233.73531392991876</v>
      </c>
      <c r="F10" s="502">
        <f>'EFs with Tier 4'!W10</f>
        <v>233.73535169013226</v>
      </c>
      <c r="G10" s="502">
        <f>'EFs with Tier 4'!AD10</f>
        <v>233.73535326026993</v>
      </c>
      <c r="H10" s="502">
        <f>'EFs with Tier 4'!AK10</f>
        <v>233.73530479202901</v>
      </c>
      <c r="I10" s="502">
        <f>'EFs with Tier 4'!AR10</f>
        <v>233.73539751528082</v>
      </c>
    </row>
    <row r="11" spans="1:45" x14ac:dyDescent="0.25">
      <c r="A11" s="27" t="s">
        <v>155</v>
      </c>
      <c r="B11" s="134">
        <v>82</v>
      </c>
      <c r="C11" s="134">
        <v>0.5</v>
      </c>
      <c r="D11" s="502">
        <f>'EFs with Tier 4'!I11</f>
        <v>77.121767330485099</v>
      </c>
      <c r="E11" s="502">
        <f>'EFs with Tier 4'!P11</f>
        <v>77.121750016602093</v>
      </c>
      <c r="F11" s="502">
        <f>'EFs with Tier 4'!W11</f>
        <v>77.121776116023071</v>
      </c>
      <c r="G11" s="502">
        <f>'EFs with Tier 4'!AD11</f>
        <v>77.121786625322102</v>
      </c>
      <c r="H11" s="502">
        <f>'EFs with Tier 4'!AK11</f>
        <v>77.121752202638532</v>
      </c>
      <c r="I11" s="502">
        <f>'EFs with Tier 4'!AR11</f>
        <v>77.121793273199756</v>
      </c>
    </row>
    <row r="12" spans="1:45" x14ac:dyDescent="0.25">
      <c r="A12" s="27" t="s">
        <v>204</v>
      </c>
      <c r="B12" s="25">
        <v>75</v>
      </c>
      <c r="C12" s="134">
        <v>0.28999999999999998</v>
      </c>
      <c r="D12" s="502">
        <f>'EFs with Tier 4'!I12</f>
        <v>50.147957636658056</v>
      </c>
      <c r="E12" s="502">
        <f>'EFs with Tier 4'!P12</f>
        <v>50.14796460866976</v>
      </c>
      <c r="F12" s="502">
        <f>'EFs with Tier 4'!W12</f>
        <v>50.147965783398881</v>
      </c>
      <c r="G12" s="502">
        <f>'EFs with Tier 4'!AD12</f>
        <v>50.147969714257975</v>
      </c>
      <c r="H12" s="502">
        <f>'EFs with Tier 4'!AK12</f>
        <v>50.147949925498153</v>
      </c>
      <c r="I12" s="502">
        <f>'EFs with Tier 4'!AR12</f>
        <v>50.147962813164384</v>
      </c>
    </row>
    <row r="13" spans="1:45" x14ac:dyDescent="0.25">
      <c r="A13" s="531" t="s">
        <v>157</v>
      </c>
      <c r="B13" s="25">
        <v>235</v>
      </c>
      <c r="C13" s="134">
        <v>0.38</v>
      </c>
      <c r="D13" s="502">
        <f>'EFs with Tier 4'!I13</f>
        <v>166.54539483446186</v>
      </c>
      <c r="E13" s="502">
        <f>'EFs with Tier 4'!P13</f>
        <v>166.54541562452522</v>
      </c>
      <c r="F13" s="502">
        <f>'EFs with Tier 4'!W13</f>
        <v>166.54536773790227</v>
      </c>
      <c r="G13" s="502">
        <f>'EFs with Tier 4'!AD13</f>
        <v>166.54543379579488</v>
      </c>
      <c r="H13" s="502">
        <f>'EFs with Tier 4'!AK13</f>
        <v>166.54541132463186</v>
      </c>
      <c r="I13" s="502">
        <f>'EFs with Tier 4'!AR13</f>
        <v>166.54540745667055</v>
      </c>
    </row>
    <row r="14" spans="1:45" x14ac:dyDescent="0.25">
      <c r="A14" s="530" t="s">
        <v>62</v>
      </c>
      <c r="B14" s="25">
        <v>85</v>
      </c>
      <c r="C14" s="134">
        <v>0.36</v>
      </c>
      <c r="D14" s="502">
        <f>'EFs with Tier 4'!I14</f>
        <v>58.913512015277149</v>
      </c>
      <c r="E14" s="502">
        <f>'EFs with Tier 4'!P14</f>
        <v>58.913523330624749</v>
      </c>
      <c r="F14" s="502">
        <f>'EFs with Tier 4'!W14</f>
        <v>58.91351479134542</v>
      </c>
      <c r="G14" s="502">
        <f>'EFs with Tier 4'!AD14</f>
        <v>58.913506914239804</v>
      </c>
      <c r="H14" s="502">
        <f>'EFs with Tier 4'!AK14</f>
        <v>58.913511433127063</v>
      </c>
      <c r="I14" s="502">
        <f>'EFs with Tier 4'!AR14</f>
        <v>58.91350482958574</v>
      </c>
    </row>
    <row r="15" spans="1:45" x14ac:dyDescent="0.25">
      <c r="A15" s="530" t="s">
        <v>61</v>
      </c>
      <c r="B15" s="25">
        <v>235</v>
      </c>
      <c r="C15" s="134">
        <v>0.38</v>
      </c>
      <c r="D15" s="502">
        <f>'EFs with Tier 4'!I15</f>
        <v>166.54539483446186</v>
      </c>
      <c r="E15" s="502">
        <f>'EFs with Tier 4'!P15</f>
        <v>166.54541562452522</v>
      </c>
      <c r="F15" s="502">
        <f>'EFs with Tier 4'!W15</f>
        <v>166.54536773790227</v>
      </c>
      <c r="G15" s="502">
        <f>'EFs with Tier 4'!AD15</f>
        <v>166.54543379579488</v>
      </c>
      <c r="H15" s="502">
        <f>'EFs with Tier 4'!AK15</f>
        <v>166.54541132463186</v>
      </c>
      <c r="I15" s="502">
        <f>'EFs with Tier 4'!AR15</f>
        <v>166.54540745667055</v>
      </c>
    </row>
    <row r="16" spans="1:45" x14ac:dyDescent="0.25">
      <c r="A16" s="27" t="s">
        <v>202</v>
      </c>
      <c r="B16" s="532">
        <v>399</v>
      </c>
      <c r="C16" s="134">
        <v>0.28999999999999998</v>
      </c>
      <c r="D16" s="502">
        <f>'EFs with Tier 4'!I16</f>
        <v>180.10128501905464</v>
      </c>
      <c r="E16" s="502">
        <f>'EFs with Tier 4'!P16</f>
        <v>180.10130637401463</v>
      </c>
      <c r="F16" s="502">
        <f>'EFs with Tier 4'!W16</f>
        <v>180.101275871506</v>
      </c>
      <c r="G16" s="502">
        <f>'EFs with Tier 4'!AD16</f>
        <v>180.10127182932982</v>
      </c>
      <c r="H16" s="502">
        <f>'EFs with Tier 4'!AK16</f>
        <v>180.10124840521706</v>
      </c>
      <c r="I16" s="502">
        <f>'EFs with Tier 4'!AR16</f>
        <v>180.10126628693308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4'!I17</f>
        <v>166.54539483446186</v>
      </c>
      <c r="E17" s="502">
        <f>'EFs with Tier 4'!P17</f>
        <v>166.54541562452522</v>
      </c>
      <c r="F17" s="502">
        <f>'EFs with Tier 4'!W17</f>
        <v>166.54536773790227</v>
      </c>
      <c r="G17" s="502">
        <f>'EFs with Tier 4'!AD17</f>
        <v>166.54543379579488</v>
      </c>
      <c r="H17" s="502">
        <f>'EFs with Tier 4'!AK17</f>
        <v>166.54541132463186</v>
      </c>
      <c r="I17" s="502">
        <f>'EFs with Tier 4'!AR17</f>
        <v>166.54540745667055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4'!I18</f>
        <v>38.071821072900271</v>
      </c>
      <c r="E18" s="502">
        <f>'EFs with Tier 4'!P18</f>
        <v>38.071823208441309</v>
      </c>
      <c r="F18" s="502">
        <f>'EFs with Tier 4'!W18</f>
        <v>38.071819829304054</v>
      </c>
      <c r="G18" s="502">
        <f>'EFs with Tier 4'!AD18</f>
        <v>38.071830204285249</v>
      </c>
      <c r="H18" s="502">
        <f>'EFs with Tier 4'!AK18</f>
        <v>38.07181772268865</v>
      </c>
      <c r="I18" s="502">
        <f>'EFs with Tier 4'!AR18</f>
        <v>38.071813147043628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4'!I19</f>
        <v>22.271261510097837</v>
      </c>
      <c r="E19" s="502">
        <f>'EFs with Tier 4'!P19</f>
        <v>22.271256112007169</v>
      </c>
      <c r="F19" s="502">
        <f>'EFs with Tier 4'!W19</f>
        <v>22.271263489608529</v>
      </c>
      <c r="G19" s="502">
        <f>'EFs with Tier 4'!AD19</f>
        <v>22.27125815267382</v>
      </c>
      <c r="H19" s="502">
        <f>'EFs with Tier 4'!AK19</f>
        <v>22.271260851643145</v>
      </c>
      <c r="I19" s="502">
        <f>'EFs with Tier 4'!AR19</f>
        <v>22.271257718128961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4'!I20</f>
        <v>254.23854571385056</v>
      </c>
      <c r="E20" s="502">
        <f>'EFs with Tier 4'!P20</f>
        <v>254.23851177178003</v>
      </c>
      <c r="F20" s="502">
        <f>'EFs with Tier 4'!W20</f>
        <v>254.23847707292109</v>
      </c>
      <c r="G20" s="502">
        <f>'EFs with Tier 4'!AD20</f>
        <v>254.23847108919361</v>
      </c>
      <c r="H20" s="502">
        <f>'EFs with Tier 4'!AK20</f>
        <v>254.23852719541449</v>
      </c>
      <c r="I20" s="502">
        <f>'EFs with Tier 4'!AR20</f>
        <v>254.23853104993103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4'!I21</f>
        <v>254.23854571385056</v>
      </c>
      <c r="E21" s="502">
        <f>'EFs with Tier 4'!P21</f>
        <v>254.23851177178003</v>
      </c>
      <c r="F21" s="502">
        <f>'EFs with Tier 4'!W21</f>
        <v>254.23847707292109</v>
      </c>
      <c r="G21" s="502">
        <f>'EFs with Tier 4'!AD21</f>
        <v>254.23847108919361</v>
      </c>
      <c r="H21" s="502">
        <f>'EFs with Tier 4'!AK21</f>
        <v>254.23852719541449</v>
      </c>
      <c r="I21" s="502">
        <f>'EFs with Tier 4'!AR21</f>
        <v>254.23853104993103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4'!I22</f>
        <v>254.23854571385056</v>
      </c>
      <c r="E22" s="502">
        <f>'EFs with Tier 4'!P22</f>
        <v>254.23851177178003</v>
      </c>
      <c r="F22" s="502">
        <f>'EFs with Tier 4'!W22</f>
        <v>254.23847707292109</v>
      </c>
      <c r="G22" s="502">
        <f>'EFs with Tier 4'!AD22</f>
        <v>254.23847108919361</v>
      </c>
      <c r="H22" s="502">
        <f>'EFs with Tier 4'!AK22</f>
        <v>254.23852719541449</v>
      </c>
      <c r="I22" s="502">
        <f>'EFs with Tier 4'!AR22</f>
        <v>254.23853104993103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4'!I23</f>
        <v>13.217293885230841</v>
      </c>
      <c r="E23" s="502">
        <f>'EFs with Tier 4'!P23</f>
        <v>13.217292257606214</v>
      </c>
      <c r="F23" s="502">
        <f>'EFs with Tier 4'!W23</f>
        <v>13.217291741948072</v>
      </c>
      <c r="G23" s="502">
        <f>'EFs with Tier 4'!AD23</f>
        <v>13.217291495541826</v>
      </c>
      <c r="H23" s="502">
        <f>'EFs with Tier 4'!AK23</f>
        <v>13.217289175336852</v>
      </c>
      <c r="I23" s="502">
        <f>'EFs with Tier 4'!AR23</f>
        <v>13.217291420484697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4'!I24</f>
        <v>254.23854571385056</v>
      </c>
      <c r="E24" s="502">
        <f>'EFs with Tier 4'!P24</f>
        <v>254.23851177178003</v>
      </c>
      <c r="F24" s="502">
        <f>'EFs with Tier 4'!W24</f>
        <v>254.23847707292109</v>
      </c>
      <c r="G24" s="502">
        <f>'EFs with Tier 4'!AD24</f>
        <v>254.23847108919361</v>
      </c>
      <c r="H24" s="502">
        <f>'EFs with Tier 4'!AK24</f>
        <v>254.23852719541449</v>
      </c>
      <c r="I24" s="502">
        <f>'EFs with Tier 4'!AR24</f>
        <v>254.23853104993103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4'!I25</f>
        <v>254.23854571385056</v>
      </c>
      <c r="E25" s="502">
        <f>'EFs with Tier 4'!P25</f>
        <v>254.23851177178003</v>
      </c>
      <c r="F25" s="502">
        <f>'EFs with Tier 4'!W25</f>
        <v>254.23847707292109</v>
      </c>
      <c r="G25" s="502">
        <f>'EFs with Tier 4'!AD25</f>
        <v>254.23847108919361</v>
      </c>
      <c r="H25" s="502">
        <f>'EFs with Tier 4'!AK25</f>
        <v>254.23852719541449</v>
      </c>
      <c r="I25" s="502">
        <f>'EFs with Tier 4'!AR25</f>
        <v>254.23853104993103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4'!I26</f>
        <v>13.217293885230841</v>
      </c>
      <c r="E26" s="502">
        <f>'EFs with Tier 4'!P26</f>
        <v>13.217292257606214</v>
      </c>
      <c r="F26" s="502">
        <f>'EFs with Tier 4'!W26</f>
        <v>13.217291741948072</v>
      </c>
      <c r="G26" s="502">
        <f>'EFs with Tier 4'!AD26</f>
        <v>13.217291495541826</v>
      </c>
      <c r="H26" s="502">
        <f>'EFs with Tier 4'!AK26</f>
        <v>13.217289175336852</v>
      </c>
      <c r="I26" s="502">
        <f>'EFs with Tier 4'!AR26</f>
        <v>13.217291420484697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4'!I27</f>
        <v>25.519145338424273</v>
      </c>
      <c r="E27" s="502">
        <f>'EFs with Tier 4'!P27</f>
        <v>25.519155927350894</v>
      </c>
      <c r="F27" s="502">
        <f>'EFs with Tier 4'!W27</f>
        <v>25.519147952057935</v>
      </c>
      <c r="G27" s="502">
        <f>'EFs with Tier 4'!AD27</f>
        <v>25.519164465886792</v>
      </c>
      <c r="H27" s="502">
        <f>'EFs with Tier 4'!AK27</f>
        <v>25.519154699847764</v>
      </c>
      <c r="I27" s="502">
        <f>'EFs with Tier 4'!AR27</f>
        <v>25.519150770246078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4'!I28</f>
        <v>106.51583149623336</v>
      </c>
      <c r="E28" s="502">
        <f>'EFs with Tier 4'!P28</f>
        <v>106.51585692695846</v>
      </c>
      <c r="F28" s="502">
        <f>'EFs with Tier 4'!W28</f>
        <v>106.51578469673143</v>
      </c>
      <c r="G28" s="502">
        <f>'EFs with Tier 4'!AD28</f>
        <v>106.5158537913082</v>
      </c>
      <c r="H28" s="502">
        <f>'EFs with Tier 4'!AK28</f>
        <v>106.51584407134968</v>
      </c>
      <c r="I28" s="502">
        <f>'EFs with Tier 4'!AR28</f>
        <v>106.51582542370917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4'!I29</f>
        <v>10.107340281314988</v>
      </c>
      <c r="E29" s="502">
        <f>'EFs with Tier 4'!P29</f>
        <v>10.107339932266072</v>
      </c>
      <c r="F29" s="502">
        <f>'EFs with Tier 4'!W29</f>
        <v>10.107340259528531</v>
      </c>
      <c r="G29" s="502">
        <f>'EFs with Tier 4'!AD29</f>
        <v>10.107340651040547</v>
      </c>
      <c r="H29" s="502">
        <f>'EFs with Tier 4'!AK29</f>
        <v>10.107339530928645</v>
      </c>
      <c r="I29" s="502">
        <f>'EFs with Tier 4'!AR29</f>
        <v>10.107338562182004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4'!I30</f>
        <v>166.54539483446186</v>
      </c>
      <c r="E30" s="502">
        <f>'EFs with Tier 4'!P30</f>
        <v>166.54541562452522</v>
      </c>
      <c r="F30" s="502">
        <f>'EFs with Tier 4'!W30</f>
        <v>166.54536773790227</v>
      </c>
      <c r="G30" s="502">
        <f>'EFs with Tier 4'!AD30</f>
        <v>166.54543379579488</v>
      </c>
      <c r="H30" s="502">
        <f>'EFs with Tier 4'!AK30</f>
        <v>166.54541132463186</v>
      </c>
      <c r="I30" s="502">
        <f>'EFs with Tier 4'!AR30</f>
        <v>166.54540745667055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4'!I31</f>
        <v>0</v>
      </c>
      <c r="E31" s="502">
        <f>'EFs with Tier 4'!P31</f>
        <v>0</v>
      </c>
      <c r="F31" s="502">
        <f>'EFs with Tier 4'!W31</f>
        <v>0</v>
      </c>
      <c r="G31" s="502">
        <f>'EFs with Tier 4'!AD31</f>
        <v>0</v>
      </c>
      <c r="H31" s="502">
        <f>'EFs with Tier 4'!AK31</f>
        <v>0</v>
      </c>
      <c r="I31" s="502">
        <f>'EFs with Tier 4'!AR31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4'!I32</f>
        <v>254.23854571385056</v>
      </c>
      <c r="E32" s="502">
        <f>'EFs with Tier 4'!P32</f>
        <v>254.23851177178003</v>
      </c>
      <c r="F32" s="502">
        <f>'EFs with Tier 4'!W32</f>
        <v>254.23847707292109</v>
      </c>
      <c r="G32" s="502">
        <f>'EFs with Tier 4'!AD32</f>
        <v>254.23847108919361</v>
      </c>
      <c r="H32" s="502">
        <f>'EFs with Tier 4'!AK32</f>
        <v>254.23852719541449</v>
      </c>
      <c r="I32" s="502">
        <f>'EFs with Tier 4'!AR32</f>
        <v>254.23853104993103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4'!I33</f>
        <v>166.54539483446186</v>
      </c>
      <c r="E33" s="502">
        <f>'EFs with Tier 4'!P33</f>
        <v>166.54541562452522</v>
      </c>
      <c r="F33" s="502">
        <f>'EFs with Tier 4'!W33</f>
        <v>166.54536773790227</v>
      </c>
      <c r="G33" s="502">
        <f>'EFs with Tier 4'!AD33</f>
        <v>166.54543379579488</v>
      </c>
      <c r="H33" s="502">
        <f>'EFs with Tier 4'!AK33</f>
        <v>166.54541132463186</v>
      </c>
      <c r="I33" s="502">
        <f>'EFs with Tier 4'!AR33</f>
        <v>166.54540745667055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4'!I34</f>
        <v>170.79652191325471</v>
      </c>
      <c r="E34" s="502">
        <f>'EFs with Tier 4'!P34</f>
        <v>170.79658133294615</v>
      </c>
      <c r="F34" s="502">
        <f>'EFs with Tier 4'!W34</f>
        <v>170.7965275458462</v>
      </c>
      <c r="G34" s="502">
        <f>'EFs with Tier 4'!AD34</f>
        <v>170.79650239635384</v>
      </c>
      <c r="H34" s="502">
        <f>'EFs with Tier 4'!AK34</f>
        <v>170.79652620178499</v>
      </c>
      <c r="I34" s="502">
        <f>'EFs with Tier 4'!AR34</f>
        <v>170.79649043426906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4'!I35</f>
        <v>166.54539483446186</v>
      </c>
      <c r="E35" s="502">
        <f>'EFs with Tier 4'!P35</f>
        <v>166.54541562452522</v>
      </c>
      <c r="F35" s="502">
        <f>'EFs with Tier 4'!W35</f>
        <v>166.54536773790227</v>
      </c>
      <c r="G35" s="502">
        <f>'EFs with Tier 4'!AD35</f>
        <v>166.54543379579488</v>
      </c>
      <c r="H35" s="502">
        <f>'EFs with Tier 4'!AK35</f>
        <v>166.54541132463186</v>
      </c>
      <c r="I35" s="502">
        <f>'EFs with Tier 4'!AR35</f>
        <v>166.54540745667055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4'!I36</f>
        <v>166.54539483446186</v>
      </c>
      <c r="E36" s="502">
        <f>'EFs with Tier 4'!P36</f>
        <v>166.54541562452522</v>
      </c>
      <c r="F36" s="502">
        <f>'EFs with Tier 4'!W36</f>
        <v>166.54536773790227</v>
      </c>
      <c r="G36" s="502">
        <f>'EFs with Tier 4'!AD36</f>
        <v>166.54543379579488</v>
      </c>
      <c r="H36" s="502">
        <f>'EFs with Tier 4'!AK36</f>
        <v>166.54541132463186</v>
      </c>
      <c r="I36" s="502">
        <f>'EFs with Tier 4'!AR36</f>
        <v>166.54540745667055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4'!I37</f>
        <v>166.54539483446186</v>
      </c>
      <c r="E37" s="502">
        <f>'EFs with Tier 4'!P37</f>
        <v>166.54541562452522</v>
      </c>
      <c r="F37" s="502">
        <f>'EFs with Tier 4'!W37</f>
        <v>166.54536773790227</v>
      </c>
      <c r="G37" s="502">
        <f>'EFs with Tier 4'!AD37</f>
        <v>166.54543379579488</v>
      </c>
      <c r="H37" s="502">
        <f>'EFs with Tier 4'!AK37</f>
        <v>166.54541132463186</v>
      </c>
      <c r="I37" s="502">
        <f>'EFs with Tier 4'!AR37</f>
        <v>166.54540745667055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4'!I38</f>
        <v>166.54539483446186</v>
      </c>
      <c r="E38" s="502">
        <f>'EFs with Tier 4'!P38</f>
        <v>166.54541562452522</v>
      </c>
      <c r="F38" s="502">
        <f>'EFs with Tier 4'!W38</f>
        <v>166.54536773790227</v>
      </c>
      <c r="G38" s="502">
        <f>'EFs with Tier 4'!AD38</f>
        <v>166.54543379579488</v>
      </c>
      <c r="H38" s="502">
        <f>'EFs with Tier 4'!AK38</f>
        <v>166.54541132463186</v>
      </c>
      <c r="I38" s="502">
        <f>'EFs with Tier 4'!AR38</f>
        <v>166.54540745667055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4'!I39</f>
        <v>74.149777594362092</v>
      </c>
      <c r="E39" s="562">
        <f>'EFs with Tier 4'!P39</f>
        <v>74.149761562139503</v>
      </c>
      <c r="F39" s="562">
        <f>'EFs with Tier 4'!W39</f>
        <v>74.149765435550776</v>
      </c>
      <c r="G39" s="562">
        <f>'EFs with Tier 4'!AD39</f>
        <v>74.149755370363465</v>
      </c>
      <c r="H39" s="562">
        <f>'EFs with Tier 4'!AK39</f>
        <v>74.149756971132675</v>
      </c>
      <c r="I39" s="562">
        <f>'EFs with Tier 4'!AR39</f>
        <v>74.149751216943628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4'!I40</f>
        <v>75.040106767621964</v>
      </c>
      <c r="E40" s="562">
        <f>'EFs with Tier 4'!P40</f>
        <v>75.040091008231684</v>
      </c>
      <c r="F40" s="562">
        <f>'EFs with Tier 4'!W40</f>
        <v>75.04010701718272</v>
      </c>
      <c r="G40" s="562">
        <f>'EFs with Tier 4'!AD40</f>
        <v>75.040110741903291</v>
      </c>
      <c r="H40" s="562">
        <f>'EFs with Tier 4'!AK40</f>
        <v>75.040113678471272</v>
      </c>
      <c r="I40" s="562">
        <f>'EFs with Tier 4'!AR40</f>
        <v>75.040114179628446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4'!I41</f>
        <v>83.141017958227678</v>
      </c>
      <c r="E41" s="562">
        <f>'EFs with Tier 4'!P41</f>
        <v>83.141015454507183</v>
      </c>
      <c r="F41" s="562">
        <f>'EFs with Tier 4'!W41</f>
        <v>83.141017825387635</v>
      </c>
      <c r="G41" s="562">
        <f>'EFs with Tier 4'!AD41</f>
        <v>83.141004324038946</v>
      </c>
      <c r="H41" s="562">
        <f>'EFs with Tier 4'!AK41</f>
        <v>83.141028835362306</v>
      </c>
      <c r="I41" s="562">
        <f>'EFs with Tier 4'!AR41</f>
        <v>83.141037426958448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4'!I42</f>
        <v>54.49938047051117</v>
      </c>
      <c r="E42" s="562">
        <f>'EFs with Tier 4'!P42</f>
        <v>54.499377463768809</v>
      </c>
      <c r="F42" s="562">
        <f>'EFs with Tier 4'!W42</f>
        <v>54.499382176056208</v>
      </c>
      <c r="G42" s="562">
        <f>'EFs with Tier 4'!AD42</f>
        <v>54.499364810665796</v>
      </c>
      <c r="H42" s="562">
        <f>'EFs with Tier 4'!AK42</f>
        <v>54.499369831683119</v>
      </c>
      <c r="I42" s="562">
        <f>'EFs with Tier 4'!AR42</f>
        <v>54.499384662220642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4'!I43</f>
        <v>6.1697435407429388</v>
      </c>
      <c r="E43" s="562">
        <f>'EFs with Tier 4'!P43</f>
        <v>6.1697416835141938</v>
      </c>
      <c r="F43" s="562">
        <f>'EFs with Tier 4'!W43</f>
        <v>6.1697403161854645</v>
      </c>
      <c r="G43" s="562">
        <f>'EFs with Tier 4'!AD43</f>
        <v>6.1697413025986503</v>
      </c>
      <c r="H43" s="562">
        <f>'EFs with Tier 4'!AK43</f>
        <v>6.169742506270067</v>
      </c>
      <c r="I43" s="562">
        <f>'EFs with Tier 4'!AR43</f>
        <v>6.1697419807654175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4'!I44</f>
        <v>166.54539483446186</v>
      </c>
      <c r="E44" s="562">
        <f>'EFs with Tier 4'!P44</f>
        <v>166.54541562452522</v>
      </c>
      <c r="F44" s="562">
        <f>'EFs with Tier 4'!W44</f>
        <v>166.54536773790227</v>
      </c>
      <c r="G44" s="562">
        <f>'EFs with Tier 4'!AD44</f>
        <v>166.54543379579488</v>
      </c>
      <c r="H44" s="562">
        <f>'EFs with Tier 4'!AK44</f>
        <v>166.54541132463186</v>
      </c>
      <c r="I44" s="562">
        <f>'EFs with Tier 4'!AR44</f>
        <v>166.54540745667055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topLeftCell="B1" workbookViewId="0">
      <selection activeCell="D41" sqref="D41"/>
    </sheetView>
  </sheetViews>
  <sheetFormatPr defaultColWidth="9.109375" defaultRowHeight="13.2" x14ac:dyDescent="0.25"/>
  <cols>
    <col min="1" max="1" width="33.6640625" style="502" customWidth="1"/>
    <col min="2" max="16384" width="9.109375" style="502"/>
  </cols>
  <sheetData>
    <row r="1" spans="1:39" x14ac:dyDescent="0.25">
      <c r="D1" s="502">
        <f>'EFs with Tier 4'!J1</f>
        <v>2015</v>
      </c>
      <c r="E1" s="502">
        <f>'EFs with Tier 4'!Q1</f>
        <v>2016</v>
      </c>
      <c r="F1" s="502">
        <f>'EFs with Tier 4'!X1</f>
        <v>2017</v>
      </c>
      <c r="G1" s="502">
        <f>'EFs with Tier 4'!AE1</f>
        <v>2018</v>
      </c>
      <c r="H1" s="502">
        <f>'EFs with Tier 4'!AL1</f>
        <v>2019</v>
      </c>
      <c r="I1" s="502">
        <f>'EFs with Tier 4'!AS1</f>
        <v>2020</v>
      </c>
    </row>
    <row r="2" spans="1:39" x14ac:dyDescent="0.25">
      <c r="A2" s="97" t="s">
        <v>502</v>
      </c>
      <c r="B2" s="502" t="s">
        <v>572</v>
      </c>
      <c r="C2" s="97" t="s">
        <v>5</v>
      </c>
      <c r="D2" s="98" t="str">
        <f>'EFs with Tier 4'!J2</f>
        <v>CH4</v>
      </c>
      <c r="E2" s="98" t="str">
        <f>'EFs with Tier 4'!Q2</f>
        <v>CH4</v>
      </c>
      <c r="F2" s="98" t="str">
        <f>'EFs with Tier 4'!X2</f>
        <v>CH4</v>
      </c>
      <c r="G2" s="98" t="str">
        <f>'EFs with Tier 4'!AE2</f>
        <v>CH4</v>
      </c>
      <c r="H2" s="98" t="str">
        <f>'EFs with Tier 4'!AL2</f>
        <v>CH4</v>
      </c>
      <c r="I2" s="98" t="str">
        <f>'EFs with Tier 4'!AS2</f>
        <v>CH4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</row>
    <row r="3" spans="1:39" x14ac:dyDescent="0.25">
      <c r="A3" s="27" t="s">
        <v>193</v>
      </c>
      <c r="B3" s="25">
        <v>350</v>
      </c>
      <c r="C3" s="134">
        <v>0.4</v>
      </c>
      <c r="D3" s="502">
        <f>'EFs with Tier 4'!J3</f>
        <v>2.6451144743432839E-2</v>
      </c>
      <c r="E3" s="502">
        <f>'EFs with Tier 4'!Q3</f>
        <v>2.5207486969571574E-2</v>
      </c>
      <c r="F3" s="502">
        <f>'EFs with Tier 4'!X3</f>
        <v>2.4001780874155543E-2</v>
      </c>
      <c r="G3" s="502">
        <f>'EFs with Tier 4'!AE3</f>
        <v>2.2833695420172207E-2</v>
      </c>
      <c r="H3" s="502">
        <f>'EFs with Tier 4'!AL3</f>
        <v>2.1718388632719882E-2</v>
      </c>
      <c r="I3" s="502">
        <f>'EFs with Tier 4'!AS3</f>
        <v>2.0672093441887248E-2</v>
      </c>
    </row>
    <row r="4" spans="1:39" x14ac:dyDescent="0.25">
      <c r="A4" s="27" t="s">
        <v>194</v>
      </c>
      <c r="B4" s="25">
        <v>350</v>
      </c>
      <c r="C4" s="134">
        <v>0.41</v>
      </c>
      <c r="D4" s="502">
        <f>'EFs with Tier 4'!J4</f>
        <v>1.5033778692192376E-2</v>
      </c>
      <c r="E4" s="502">
        <f>'EFs with Tier 4'!Q4</f>
        <v>1.4244206783455365E-2</v>
      </c>
      <c r="F4" s="502">
        <f>'EFs with Tier 4'!X4</f>
        <v>1.3504507514594796E-2</v>
      </c>
      <c r="G4" s="502">
        <f>'EFs with Tier 4'!AE4</f>
        <v>1.2816646598928946E-2</v>
      </c>
      <c r="H4" s="502">
        <f>'EFs with Tier 4'!AL4</f>
        <v>1.2178721396469788E-2</v>
      </c>
      <c r="I4" s="502">
        <f>'EFs with Tier 4'!AS4</f>
        <v>1.1581652574076154E-2</v>
      </c>
    </row>
    <row r="5" spans="1:39" x14ac:dyDescent="0.25">
      <c r="A5" s="27" t="s">
        <v>195</v>
      </c>
      <c r="B5" s="25">
        <v>350</v>
      </c>
      <c r="C5" s="134">
        <v>0.48</v>
      </c>
      <c r="D5" s="502">
        <f>'EFs with Tier 4'!J5</f>
        <v>2.6010420981454316E-2</v>
      </c>
      <c r="E5" s="502">
        <f>'EFs with Tier 4'!Q5</f>
        <v>2.4688277766915231E-2</v>
      </c>
      <c r="F5" s="502">
        <f>'EFs with Tier 4'!X5</f>
        <v>2.3409296751328711E-2</v>
      </c>
      <c r="G5" s="502">
        <f>'EFs with Tier 4'!AE5</f>
        <v>2.2181037455302012E-2</v>
      </c>
      <c r="H5" s="502">
        <f>'EFs with Tier 4'!AL5</f>
        <v>2.1025852051004948E-2</v>
      </c>
      <c r="I5" s="502">
        <f>'EFs with Tier 4'!AS5</f>
        <v>1.9953838118355136E-2</v>
      </c>
    </row>
    <row r="6" spans="1:39" x14ac:dyDescent="0.25">
      <c r="A6" s="27" t="s">
        <v>196</v>
      </c>
      <c r="B6" s="25">
        <v>250</v>
      </c>
      <c r="C6" s="134">
        <v>0.38</v>
      </c>
      <c r="D6" s="502">
        <f>'EFs with Tier 4'!J6</f>
        <v>9.9847277011502044E-3</v>
      </c>
      <c r="E6" s="502">
        <f>'EFs with Tier 4'!Q6</f>
        <v>9.4030671029605162E-3</v>
      </c>
      <c r="F6" s="502">
        <f>'EFs with Tier 4'!X6</f>
        <v>8.8870914540412384E-3</v>
      </c>
      <c r="G6" s="502">
        <f>'EFs with Tier 4'!AE6</f>
        <v>8.4239312734354869E-3</v>
      </c>
      <c r="H6" s="502">
        <f>'EFs with Tier 4'!AL6</f>
        <v>7.9971216054625441E-3</v>
      </c>
      <c r="I6" s="502">
        <f>'EFs with Tier 4'!AS6</f>
        <v>7.5956615609982479E-3</v>
      </c>
    </row>
    <row r="7" spans="1:39" x14ac:dyDescent="0.25">
      <c r="A7" s="27" t="s">
        <v>197</v>
      </c>
      <c r="B7" s="134">
        <v>200</v>
      </c>
      <c r="C7" s="134">
        <v>0.36</v>
      </c>
      <c r="D7" s="502">
        <f>'EFs with Tier 4'!J7</f>
        <v>1.0092011106863865E-2</v>
      </c>
      <c r="E7" s="502">
        <f>'EFs with Tier 4'!Q7</f>
        <v>9.5316980170715351E-3</v>
      </c>
      <c r="F7" s="502">
        <f>'EFs with Tier 4'!X7</f>
        <v>9.0185753542049527E-3</v>
      </c>
      <c r="G7" s="502">
        <f>'EFs with Tier 4'!AE7</f>
        <v>8.5356955520187617E-3</v>
      </c>
      <c r="H7" s="502">
        <f>'EFs with Tier 4'!AL7</f>
        <v>8.0802618506061671E-3</v>
      </c>
      <c r="I7" s="502">
        <f>'EFs with Tier 4'!AS7</f>
        <v>7.6522122922095251E-3</v>
      </c>
    </row>
    <row r="8" spans="1:39" x14ac:dyDescent="0.25">
      <c r="A8" s="27" t="s">
        <v>199</v>
      </c>
      <c r="B8" s="25">
        <v>175</v>
      </c>
      <c r="C8" s="134">
        <v>0.38</v>
      </c>
      <c r="D8" s="502">
        <f>'EFs with Tier 4'!J8</f>
        <v>1.1292325418869483E-2</v>
      </c>
      <c r="E8" s="502">
        <f>'EFs with Tier 4'!Q8</f>
        <v>1.063993297769634E-2</v>
      </c>
      <c r="F8" s="502">
        <f>'EFs with Tier 4'!X8</f>
        <v>1.0004303079381925E-2</v>
      </c>
      <c r="G8" s="502">
        <f>'EFs with Tier 4'!AE8</f>
        <v>9.3996999235005617E-3</v>
      </c>
      <c r="H8" s="502">
        <f>'EFs with Tier 4'!AL8</f>
        <v>8.8537970071824509E-3</v>
      </c>
      <c r="I8" s="502">
        <f>'EFs with Tier 4'!AS8</f>
        <v>8.3664496800051249E-3</v>
      </c>
    </row>
    <row r="9" spans="1:39" x14ac:dyDescent="0.25">
      <c r="A9" s="27" t="s">
        <v>200</v>
      </c>
      <c r="B9" s="25">
        <v>235</v>
      </c>
      <c r="C9" s="134">
        <v>0.38</v>
      </c>
      <c r="D9" s="502">
        <f>'EFs with Tier 4'!J9</f>
        <v>1.1292325418869483E-2</v>
      </c>
      <c r="E9" s="502">
        <f>'EFs with Tier 4'!Q9</f>
        <v>1.063993297769634E-2</v>
      </c>
      <c r="F9" s="502">
        <f>'EFs with Tier 4'!X9</f>
        <v>1.0004303079381925E-2</v>
      </c>
      <c r="G9" s="502">
        <f>'EFs with Tier 4'!AE9</f>
        <v>9.3996999235005617E-3</v>
      </c>
      <c r="H9" s="502">
        <f>'EFs with Tier 4'!AL9</f>
        <v>8.8537970071824509E-3</v>
      </c>
      <c r="I9" s="502">
        <f>'EFs with Tier 4'!AS9</f>
        <v>8.3664496800051249E-3</v>
      </c>
    </row>
    <row r="10" spans="1:39" x14ac:dyDescent="0.25">
      <c r="A10" s="27" t="s">
        <v>201</v>
      </c>
      <c r="B10" s="25">
        <v>300</v>
      </c>
      <c r="C10" s="134">
        <v>0.38</v>
      </c>
      <c r="D10" s="502">
        <f>'EFs with Tier 4'!J10</f>
        <v>1.4227923455147638E-2</v>
      </c>
      <c r="E10" s="502">
        <f>'EFs with Tier 4'!Q10</f>
        <v>1.3493728077234307E-2</v>
      </c>
      <c r="F10" s="502">
        <f>'EFs with Tier 4'!X10</f>
        <v>1.2770166630775929E-2</v>
      </c>
      <c r="G10" s="502">
        <f>'EFs with Tier 4'!AE10</f>
        <v>1.2078550367923749E-2</v>
      </c>
      <c r="H10" s="502">
        <f>'EFs with Tier 4'!AL10</f>
        <v>1.1421864606287866E-2</v>
      </c>
      <c r="I10" s="502">
        <f>'EFs with Tier 4'!AS10</f>
        <v>1.0811824504505494E-2</v>
      </c>
    </row>
    <row r="11" spans="1:39" x14ac:dyDescent="0.25">
      <c r="A11" s="27" t="s">
        <v>155</v>
      </c>
      <c r="B11" s="134">
        <v>82</v>
      </c>
      <c r="C11" s="134">
        <v>0.5</v>
      </c>
      <c r="D11" s="502">
        <f>'EFs with Tier 4'!J11</f>
        <v>3.3884664579035585E-3</v>
      </c>
      <c r="E11" s="502">
        <f>'EFs with Tier 4'!Q11</f>
        <v>3.149115809265884E-3</v>
      </c>
      <c r="F11" s="502">
        <f>'EFs with Tier 4'!X11</f>
        <v>2.9453779842965266E-3</v>
      </c>
      <c r="G11" s="502">
        <f>'EFs with Tier 4'!AE11</f>
        <v>2.7834325013313161E-3</v>
      </c>
      <c r="H11" s="502">
        <f>'EFs with Tier 4'!AL11</f>
        <v>2.6432463875258158E-3</v>
      </c>
      <c r="I11" s="502">
        <f>'EFs with Tier 4'!AS11</f>
        <v>2.5256197261084475E-3</v>
      </c>
    </row>
    <row r="12" spans="1:39" x14ac:dyDescent="0.25">
      <c r="A12" s="27" t="s">
        <v>204</v>
      </c>
      <c r="B12" s="25">
        <v>75</v>
      </c>
      <c r="C12" s="134">
        <v>0.28999999999999998</v>
      </c>
      <c r="D12" s="502">
        <f>'EFs with Tier 4'!J12</f>
        <v>7.2207285788506471E-3</v>
      </c>
      <c r="E12" s="502">
        <f>'EFs with Tier 4'!Q12</f>
        <v>6.7121175739670268E-3</v>
      </c>
      <c r="F12" s="502">
        <f>'EFs with Tier 4'!X12</f>
        <v>6.2263543562003903E-3</v>
      </c>
      <c r="G12" s="502">
        <f>'EFs with Tier 4'!AE12</f>
        <v>5.7629472413349841E-3</v>
      </c>
      <c r="H12" s="502">
        <f>'EFs with Tier 4'!AL12</f>
        <v>5.3176226032023424E-3</v>
      </c>
      <c r="I12" s="502">
        <f>'EFs with Tier 4'!AS12</f>
        <v>4.8930722914384411E-3</v>
      </c>
    </row>
    <row r="13" spans="1:39" x14ac:dyDescent="0.25">
      <c r="A13" s="531" t="s">
        <v>157</v>
      </c>
      <c r="B13" s="25">
        <v>235</v>
      </c>
      <c r="C13" s="134">
        <v>0.38</v>
      </c>
      <c r="D13" s="502">
        <f>'EFs with Tier 4'!J13</f>
        <v>1.1292325418869483E-2</v>
      </c>
      <c r="E13" s="502">
        <f>'EFs with Tier 4'!Q13</f>
        <v>1.063993297769634E-2</v>
      </c>
      <c r="F13" s="502">
        <f>'EFs with Tier 4'!X13</f>
        <v>1.0004303079381925E-2</v>
      </c>
      <c r="G13" s="502">
        <f>'EFs with Tier 4'!AE13</f>
        <v>9.3996999235005617E-3</v>
      </c>
      <c r="H13" s="502">
        <f>'EFs with Tier 4'!AL13</f>
        <v>8.8537970071824509E-3</v>
      </c>
      <c r="I13" s="502">
        <f>'EFs with Tier 4'!AS13</f>
        <v>8.3664496800051249E-3</v>
      </c>
    </row>
    <row r="14" spans="1:39" x14ac:dyDescent="0.25">
      <c r="A14" s="530" t="s">
        <v>62</v>
      </c>
      <c r="B14" s="25">
        <v>85</v>
      </c>
      <c r="C14" s="134">
        <v>0.36</v>
      </c>
      <c r="D14" s="502">
        <f>'EFs with Tier 4'!J14</f>
        <v>7.5344751889799754E-3</v>
      </c>
      <c r="E14" s="502">
        <f>'EFs with Tier 4'!Q14</f>
        <v>6.9704339147860696E-3</v>
      </c>
      <c r="F14" s="502">
        <f>'EFs with Tier 4'!X14</f>
        <v>6.4431355607304829E-3</v>
      </c>
      <c r="G14" s="502">
        <f>'EFs with Tier 4'!AE14</f>
        <v>5.9519955114860921E-3</v>
      </c>
      <c r="H14" s="502">
        <f>'EFs with Tier 4'!AL14</f>
        <v>5.4962315456010581E-3</v>
      </c>
      <c r="I14" s="502">
        <f>'EFs with Tier 4'!AS14</f>
        <v>5.075776224453629E-3</v>
      </c>
    </row>
    <row r="15" spans="1:39" x14ac:dyDescent="0.25">
      <c r="A15" s="530" t="s">
        <v>61</v>
      </c>
      <c r="B15" s="25">
        <v>235</v>
      </c>
      <c r="C15" s="134">
        <v>0.38</v>
      </c>
      <c r="D15" s="502">
        <f>'EFs with Tier 4'!J15</f>
        <v>1.1292325418869483E-2</v>
      </c>
      <c r="E15" s="502">
        <f>'EFs with Tier 4'!Q15</f>
        <v>1.063993297769634E-2</v>
      </c>
      <c r="F15" s="502">
        <f>'EFs with Tier 4'!X15</f>
        <v>1.0004303079381925E-2</v>
      </c>
      <c r="G15" s="502">
        <f>'EFs with Tier 4'!AE15</f>
        <v>9.3996999235005617E-3</v>
      </c>
      <c r="H15" s="502">
        <f>'EFs with Tier 4'!AL15</f>
        <v>8.8537970071824509E-3</v>
      </c>
      <c r="I15" s="502">
        <f>'EFs with Tier 4'!AS15</f>
        <v>8.3664496800051249E-3</v>
      </c>
    </row>
    <row r="16" spans="1:39" x14ac:dyDescent="0.25">
      <c r="A16" s="27" t="s">
        <v>202</v>
      </c>
      <c r="B16" s="532">
        <v>399</v>
      </c>
      <c r="C16" s="134">
        <v>0.28999999999999998</v>
      </c>
      <c r="D16" s="502">
        <f>'EFs with Tier 4'!J16</f>
        <v>1.256655716560515E-2</v>
      </c>
      <c r="E16" s="502">
        <f>'EFs with Tier 4'!Q16</f>
        <v>1.1955016897318338E-2</v>
      </c>
      <c r="F16" s="502">
        <f>'EFs with Tier 4'!X16</f>
        <v>1.1387086879682689E-2</v>
      </c>
      <c r="G16" s="502">
        <f>'EFs with Tier 4'!AE16</f>
        <v>1.0841920844072756E-2</v>
      </c>
      <c r="H16" s="502">
        <f>'EFs with Tier 4'!AL16</f>
        <v>1.031406718152144E-2</v>
      </c>
      <c r="I16" s="502">
        <f>'EFs with Tier 4'!AS16</f>
        <v>9.812119107308389E-3</v>
      </c>
    </row>
    <row r="17" spans="1:9" x14ac:dyDescent="0.25">
      <c r="A17" s="27" t="s">
        <v>205</v>
      </c>
      <c r="B17" s="25">
        <v>235</v>
      </c>
      <c r="C17" s="134">
        <v>0.38</v>
      </c>
      <c r="D17" s="502">
        <f>'EFs with Tier 4'!J17</f>
        <v>1.1292325418869483E-2</v>
      </c>
      <c r="E17" s="502">
        <f>'EFs with Tier 4'!Q17</f>
        <v>1.063993297769634E-2</v>
      </c>
      <c r="F17" s="502">
        <f>'EFs with Tier 4'!X17</f>
        <v>1.0004303079381925E-2</v>
      </c>
      <c r="G17" s="502">
        <f>'EFs with Tier 4'!AE17</f>
        <v>9.3996999235005617E-3</v>
      </c>
      <c r="H17" s="502">
        <f>'EFs with Tier 4'!AL17</f>
        <v>8.8537970071824509E-3</v>
      </c>
      <c r="I17" s="502">
        <f>'EFs with Tier 4'!AS17</f>
        <v>8.3664496800051249E-3</v>
      </c>
    </row>
    <row r="18" spans="1:9" x14ac:dyDescent="0.25">
      <c r="A18" s="27" t="s">
        <v>163</v>
      </c>
      <c r="B18" s="25">
        <v>75</v>
      </c>
      <c r="C18" s="25">
        <v>0.31</v>
      </c>
      <c r="D18" s="502">
        <f>'EFs with Tier 4'!J18</f>
        <v>4.1522265780973748E-3</v>
      </c>
      <c r="E18" s="502">
        <f>'EFs with Tier 4'!Q18</f>
        <v>3.7224725625345937E-3</v>
      </c>
      <c r="F18" s="502">
        <f>'EFs with Tier 4'!X18</f>
        <v>3.3225215947608622E-3</v>
      </c>
      <c r="G18" s="502">
        <f>'EFs with Tier 4'!AE18</f>
        <v>2.9492141591912126E-3</v>
      </c>
      <c r="H18" s="502">
        <f>'EFs with Tier 4'!AL18</f>
        <v>2.6009543106440729E-3</v>
      </c>
      <c r="I18" s="502">
        <f>'EFs with Tier 4'!AS18</f>
        <v>2.3372706875200077E-3</v>
      </c>
    </row>
    <row r="19" spans="1:9" x14ac:dyDescent="0.25">
      <c r="A19" s="27" t="s">
        <v>192</v>
      </c>
      <c r="B19" s="25">
        <v>45</v>
      </c>
      <c r="C19" s="25">
        <v>1</v>
      </c>
      <c r="D19" s="502">
        <f>'EFs with Tier 4'!J19</f>
        <v>6.7429224274720354E-3</v>
      </c>
      <c r="E19" s="502">
        <f>'EFs with Tier 4'!Q19</f>
        <v>6.0184173846369749E-3</v>
      </c>
      <c r="F19" s="502">
        <f>'EFs with Tier 4'!X19</f>
        <v>5.3296756081269462E-3</v>
      </c>
      <c r="G19" s="502">
        <f>'EFs with Tier 4'!AE19</f>
        <v>4.6722271755845939E-3</v>
      </c>
      <c r="H19" s="502">
        <f>'EFs with Tier 4'!AL19</f>
        <v>4.0563354650994263E-3</v>
      </c>
      <c r="I19" s="502">
        <f>'EFs with Tier 4'!AS19</f>
        <v>3.5952550833409889E-3</v>
      </c>
    </row>
    <row r="20" spans="1:9" x14ac:dyDescent="0.25">
      <c r="A20" s="27" t="s">
        <v>206</v>
      </c>
      <c r="B20" s="25">
        <v>300</v>
      </c>
      <c r="C20" s="25">
        <v>0.42</v>
      </c>
      <c r="D20" s="502">
        <f>'EFs with Tier 4'!J20</f>
        <v>1.1815564023556229E-2</v>
      </c>
      <c r="E20" s="502">
        <f>'EFs with Tier 4'!Q20</f>
        <v>1.1216977037398481E-2</v>
      </c>
      <c r="F20" s="502">
        <f>'EFs with Tier 4'!X20</f>
        <v>1.0654580267680711E-2</v>
      </c>
      <c r="G20" s="502">
        <f>'EFs with Tier 4'!AE20</f>
        <v>1.0126092850486785E-2</v>
      </c>
      <c r="H20" s="502">
        <f>'EFs with Tier 4'!AL20</f>
        <v>9.6197582224700796E-3</v>
      </c>
      <c r="I20" s="502">
        <f>'EFs with Tier 4'!AS20</f>
        <v>9.1328399494481263E-3</v>
      </c>
    </row>
    <row r="21" spans="1:9" x14ac:dyDescent="0.25">
      <c r="A21" s="27" t="s">
        <v>207</v>
      </c>
      <c r="B21" s="25">
        <v>300</v>
      </c>
      <c r="C21" s="25">
        <v>0.42</v>
      </c>
      <c r="D21" s="502">
        <f>'EFs with Tier 4'!J21</f>
        <v>1.1815564023556229E-2</v>
      </c>
      <c r="E21" s="502">
        <f>'EFs with Tier 4'!Q21</f>
        <v>1.1216977037398481E-2</v>
      </c>
      <c r="F21" s="502">
        <f>'EFs with Tier 4'!X21</f>
        <v>1.0654580267680711E-2</v>
      </c>
      <c r="G21" s="502">
        <f>'EFs with Tier 4'!AE21</f>
        <v>1.0126092850486785E-2</v>
      </c>
      <c r="H21" s="502">
        <f>'EFs with Tier 4'!AL21</f>
        <v>9.6197582224700796E-3</v>
      </c>
      <c r="I21" s="502">
        <f>'EFs with Tier 4'!AS21</f>
        <v>9.1328399494481263E-3</v>
      </c>
    </row>
    <row r="22" spans="1:9" x14ac:dyDescent="0.25">
      <c r="A22" s="27" t="s">
        <v>208</v>
      </c>
      <c r="B22" s="25">
        <v>300</v>
      </c>
      <c r="C22" s="25">
        <v>0.42</v>
      </c>
      <c r="D22" s="502">
        <f>'EFs with Tier 4'!J22</f>
        <v>1.1815564023556229E-2</v>
      </c>
      <c r="E22" s="502">
        <f>'EFs with Tier 4'!Q22</f>
        <v>1.1216977037398481E-2</v>
      </c>
      <c r="F22" s="502">
        <f>'EFs with Tier 4'!X22</f>
        <v>1.0654580267680711E-2</v>
      </c>
      <c r="G22" s="502">
        <f>'EFs with Tier 4'!AE22</f>
        <v>1.0126092850486785E-2</v>
      </c>
      <c r="H22" s="502">
        <f>'EFs with Tier 4'!AL22</f>
        <v>9.6197582224700796E-3</v>
      </c>
      <c r="I22" s="502">
        <f>'EFs with Tier 4'!AS22</f>
        <v>9.1328399494481263E-3</v>
      </c>
    </row>
    <row r="23" spans="1:9" x14ac:dyDescent="0.25">
      <c r="A23" s="27" t="s">
        <v>242</v>
      </c>
      <c r="B23" s="25">
        <v>25</v>
      </c>
      <c r="C23" s="25">
        <v>1</v>
      </c>
      <c r="D23" s="502">
        <f>'EFs with Tier 4'!J23</f>
        <v>1.4390426214159915E-3</v>
      </c>
      <c r="E23" s="502">
        <f>'EFs with Tier 4'!Q23</f>
        <v>1.4387014990348871E-3</v>
      </c>
      <c r="F23" s="502">
        <f>'EFs with Tier 4'!X23</f>
        <v>1.4387010542643562E-3</v>
      </c>
      <c r="G23" s="502">
        <f>'EFs with Tier 4'!AE23</f>
        <v>1.4387011113433123E-3</v>
      </c>
      <c r="H23" s="502">
        <f>'EFs with Tier 4'!AL23</f>
        <v>1.4387009726799956E-3</v>
      </c>
      <c r="I23" s="502">
        <f>'EFs with Tier 4'!AS23</f>
        <v>1.4387012607638549E-3</v>
      </c>
    </row>
    <row r="24" spans="1:9" x14ac:dyDescent="0.25">
      <c r="A24" s="531" t="s">
        <v>249</v>
      </c>
      <c r="B24" s="25">
        <v>300</v>
      </c>
      <c r="C24" s="134">
        <v>0.42</v>
      </c>
      <c r="D24" s="502">
        <f>'EFs with Tier 4'!J24</f>
        <v>1.1815564023556229E-2</v>
      </c>
      <c r="E24" s="502">
        <f>'EFs with Tier 4'!Q24</f>
        <v>1.1216977037398481E-2</v>
      </c>
      <c r="F24" s="502">
        <f>'EFs with Tier 4'!X24</f>
        <v>1.0654580267680711E-2</v>
      </c>
      <c r="G24" s="502">
        <f>'EFs with Tier 4'!AE24</f>
        <v>1.0126092850486785E-2</v>
      </c>
      <c r="H24" s="502">
        <f>'EFs with Tier 4'!AL24</f>
        <v>9.6197582224700796E-3</v>
      </c>
      <c r="I24" s="502">
        <f>'EFs with Tier 4'!AS24</f>
        <v>9.1328399494481263E-3</v>
      </c>
    </row>
    <row r="25" spans="1:9" x14ac:dyDescent="0.25">
      <c r="A25" s="27" t="s">
        <v>201</v>
      </c>
      <c r="B25" s="25">
        <v>300</v>
      </c>
      <c r="C25" s="25">
        <v>0.38</v>
      </c>
      <c r="D25" s="502">
        <f>'EFs with Tier 4'!J25</f>
        <v>1.1815564023556229E-2</v>
      </c>
      <c r="E25" s="502">
        <f>'EFs with Tier 4'!Q25</f>
        <v>1.1216977037398481E-2</v>
      </c>
      <c r="F25" s="502">
        <f>'EFs with Tier 4'!X25</f>
        <v>1.0654580267680711E-2</v>
      </c>
      <c r="G25" s="502">
        <f>'EFs with Tier 4'!AE25</f>
        <v>1.0126092850486785E-2</v>
      </c>
      <c r="H25" s="502">
        <f>'EFs with Tier 4'!AL25</f>
        <v>9.6197582224700796E-3</v>
      </c>
      <c r="I25" s="502">
        <f>'EFs with Tier 4'!AS25</f>
        <v>9.1328399494481263E-3</v>
      </c>
    </row>
    <row r="26" spans="1:9" x14ac:dyDescent="0.25">
      <c r="A26" s="27" t="s">
        <v>209</v>
      </c>
      <c r="B26" s="25">
        <v>25</v>
      </c>
      <c r="C26" s="25">
        <v>1</v>
      </c>
      <c r="D26" s="502">
        <f>'EFs with Tier 4'!J26</f>
        <v>1.4390426214159915E-3</v>
      </c>
      <c r="E26" s="502">
        <f>'EFs with Tier 4'!Q26</f>
        <v>1.4387014990348871E-3</v>
      </c>
      <c r="F26" s="502">
        <f>'EFs with Tier 4'!X26</f>
        <v>1.4387010542643562E-3</v>
      </c>
      <c r="G26" s="502">
        <f>'EFs with Tier 4'!AE26</f>
        <v>1.4387011113433123E-3</v>
      </c>
      <c r="H26" s="502">
        <f>'EFs with Tier 4'!AL26</f>
        <v>1.4387009726799956E-3</v>
      </c>
      <c r="I26" s="502">
        <f>'EFs with Tier 4'!AS26</f>
        <v>1.4387012607638549E-3</v>
      </c>
    </row>
    <row r="27" spans="1:9" x14ac:dyDescent="0.25">
      <c r="A27" s="27" t="s">
        <v>156</v>
      </c>
      <c r="B27" s="134">
        <v>37</v>
      </c>
      <c r="C27" s="134">
        <v>0.37</v>
      </c>
      <c r="D27" s="502">
        <f>'EFs with Tier 4'!J27</f>
        <v>3.413848047070189E-3</v>
      </c>
      <c r="E27" s="502">
        <f>'EFs with Tier 4'!Q27</f>
        <v>2.915585728687426E-3</v>
      </c>
      <c r="F27" s="502">
        <f>'EFs with Tier 4'!X27</f>
        <v>2.5949730637661525E-3</v>
      </c>
      <c r="G27" s="502">
        <f>'EFs with Tier 4'!AE27</f>
        <v>2.3749178457344233E-3</v>
      </c>
      <c r="H27" s="502">
        <f>'EFs with Tier 4'!AL27</f>
        <v>2.2105503762096354E-3</v>
      </c>
      <c r="I27" s="502">
        <f>'EFs with Tier 4'!AS27</f>
        <v>2.075023596652533E-3</v>
      </c>
    </row>
    <row r="28" spans="1:9" x14ac:dyDescent="0.25">
      <c r="A28" s="27" t="s">
        <v>158</v>
      </c>
      <c r="B28" s="532">
        <v>165</v>
      </c>
      <c r="C28" s="134">
        <v>0.42</v>
      </c>
      <c r="D28" s="502">
        <f>'EFs with Tier 4'!J28</f>
        <v>7.184929780442325E-3</v>
      </c>
      <c r="E28" s="502">
        <f>'EFs with Tier 4'!Q28</f>
        <v>6.5740964019932796E-3</v>
      </c>
      <c r="F28" s="502">
        <f>'EFs with Tier 4'!X28</f>
        <v>6.0018670018210487E-3</v>
      </c>
      <c r="G28" s="502">
        <f>'EFs with Tier 4'!AE28</f>
        <v>5.4861803870114613E-3</v>
      </c>
      <c r="H28" s="502">
        <f>'EFs with Tier 4'!AL28</f>
        <v>5.0743808831082643E-3</v>
      </c>
      <c r="I28" s="502">
        <f>'EFs with Tier 4'!AS28</f>
        <v>4.7305181949433943E-3</v>
      </c>
    </row>
    <row r="29" spans="1:9" x14ac:dyDescent="0.25">
      <c r="A29" s="27" t="s">
        <v>159</v>
      </c>
      <c r="B29" s="532">
        <v>8</v>
      </c>
      <c r="C29" s="25">
        <v>1</v>
      </c>
      <c r="D29" s="502">
        <f>'EFs with Tier 4'!J29</f>
        <v>1.0615801987134306E-3</v>
      </c>
      <c r="E29" s="502">
        <f>'EFs with Tier 4'!Q29</f>
        <v>1.0615801067499801E-3</v>
      </c>
      <c r="F29" s="502">
        <f>'EFs with Tier 4'!X29</f>
        <v>1.0615802148342963E-3</v>
      </c>
      <c r="G29" s="502">
        <f>'EFs with Tier 4'!AE29</f>
        <v>1.0615800521627282E-3</v>
      </c>
      <c r="H29" s="502">
        <f>'EFs with Tier 4'!AL29</f>
        <v>1.0615798807708174E-3</v>
      </c>
      <c r="I29" s="502">
        <f>'EFs with Tier 4'!AS29</f>
        <v>1.061580028707935E-3</v>
      </c>
    </row>
    <row r="30" spans="1:9" x14ac:dyDescent="0.25">
      <c r="A30" s="27" t="s">
        <v>162</v>
      </c>
      <c r="B30" s="532">
        <v>235</v>
      </c>
      <c r="C30" s="25">
        <v>0.38</v>
      </c>
      <c r="D30" s="502">
        <f>'EFs with Tier 4'!J30</f>
        <v>1.1292325418869483E-2</v>
      </c>
      <c r="E30" s="502">
        <f>'EFs with Tier 4'!Q30</f>
        <v>1.063993297769634E-2</v>
      </c>
      <c r="F30" s="502">
        <f>'EFs with Tier 4'!X30</f>
        <v>1.0004303079381925E-2</v>
      </c>
      <c r="G30" s="502">
        <f>'EFs with Tier 4'!AE30</f>
        <v>9.3996999235005617E-3</v>
      </c>
      <c r="H30" s="502">
        <f>'EFs with Tier 4'!AL30</f>
        <v>8.8537970071824509E-3</v>
      </c>
      <c r="I30" s="502">
        <f>'EFs with Tier 4'!AS30</f>
        <v>8.3664496800051249E-3</v>
      </c>
    </row>
    <row r="31" spans="1:9" x14ac:dyDescent="0.25">
      <c r="A31" s="27" t="s">
        <v>165</v>
      </c>
      <c r="B31" s="25">
        <v>525</v>
      </c>
      <c r="C31" s="25">
        <v>0.38</v>
      </c>
      <c r="D31" s="502">
        <f>'EFs with Tier 4'!J31</f>
        <v>0</v>
      </c>
      <c r="E31" s="502">
        <f>'EFs with Tier 4'!Q31</f>
        <v>0</v>
      </c>
      <c r="F31" s="502">
        <f>'EFs with Tier 4'!X31</f>
        <v>0</v>
      </c>
      <c r="G31" s="502">
        <f>'EFs with Tier 4'!AE31</f>
        <v>0</v>
      </c>
      <c r="H31" s="502">
        <f>'EFs with Tier 4'!AL31</f>
        <v>0</v>
      </c>
      <c r="I31" s="502">
        <f>'EFs with Tier 4'!AS31</f>
        <v>0</v>
      </c>
    </row>
    <row r="32" spans="1:9" x14ac:dyDescent="0.25">
      <c r="A32" s="27" t="s">
        <v>166</v>
      </c>
      <c r="B32" s="25">
        <v>300</v>
      </c>
      <c r="C32" s="25">
        <v>0.38</v>
      </c>
      <c r="D32" s="502">
        <f>'EFs with Tier 4'!J32</f>
        <v>1.1815564023556229E-2</v>
      </c>
      <c r="E32" s="502">
        <f>'EFs with Tier 4'!Q32</f>
        <v>1.1216977037398481E-2</v>
      </c>
      <c r="F32" s="502">
        <f>'EFs with Tier 4'!X32</f>
        <v>1.0654580267680711E-2</v>
      </c>
      <c r="G32" s="502">
        <f>'EFs with Tier 4'!AE32</f>
        <v>1.0126092850486785E-2</v>
      </c>
      <c r="H32" s="502">
        <f>'EFs with Tier 4'!AL32</f>
        <v>9.6197582224700796E-3</v>
      </c>
      <c r="I32" s="502">
        <f>'EFs with Tier 4'!AS32</f>
        <v>9.1328399494481263E-3</v>
      </c>
    </row>
    <row r="33" spans="1:45" x14ac:dyDescent="0.25">
      <c r="A33" s="27" t="s">
        <v>203</v>
      </c>
      <c r="B33" s="25">
        <v>175</v>
      </c>
      <c r="C33" s="25">
        <v>0.38</v>
      </c>
      <c r="D33" s="502">
        <f>'EFs with Tier 4'!J33</f>
        <v>1.1292325418869483E-2</v>
      </c>
      <c r="E33" s="502">
        <f>'EFs with Tier 4'!Q33</f>
        <v>1.063993297769634E-2</v>
      </c>
      <c r="F33" s="502">
        <f>'EFs with Tier 4'!X33</f>
        <v>1.0004303079381925E-2</v>
      </c>
      <c r="G33" s="502">
        <f>'EFs with Tier 4'!AE33</f>
        <v>9.3996999235005617E-3</v>
      </c>
      <c r="H33" s="502">
        <f>'EFs with Tier 4'!AL33</f>
        <v>8.8537970071824509E-3</v>
      </c>
      <c r="I33" s="502">
        <f>'EFs with Tier 4'!AS33</f>
        <v>8.3664496800051249E-3</v>
      </c>
    </row>
    <row r="34" spans="1:45" x14ac:dyDescent="0.25">
      <c r="A34" s="27" t="s">
        <v>164</v>
      </c>
      <c r="B34" s="25">
        <v>180</v>
      </c>
      <c r="C34" s="25">
        <v>0.4</v>
      </c>
      <c r="D34" s="502">
        <f>'EFs with Tier 4'!J34</f>
        <v>1.054137705305298E-2</v>
      </c>
      <c r="E34" s="502">
        <f>'EFs with Tier 4'!Q34</f>
        <v>9.9881647421294784E-3</v>
      </c>
      <c r="F34" s="502">
        <f>'EFs with Tier 4'!X34</f>
        <v>9.4440053907250358E-3</v>
      </c>
      <c r="G34" s="502">
        <f>'EFs with Tier 4'!AE34</f>
        <v>8.9150258809723524E-3</v>
      </c>
      <c r="H34" s="502">
        <f>'EFs with Tier 4'!AL34</f>
        <v>8.4164749041931771E-3</v>
      </c>
      <c r="I34" s="502">
        <f>'EFs with Tier 4'!AS34</f>
        <v>7.9457285426872831E-3</v>
      </c>
    </row>
    <row r="35" spans="1:45" x14ac:dyDescent="0.25">
      <c r="A35" s="27" t="s">
        <v>166</v>
      </c>
      <c r="B35" s="25">
        <v>235</v>
      </c>
      <c r="C35" s="25">
        <v>0.38</v>
      </c>
      <c r="D35" s="502">
        <f>'EFs with Tier 4'!J35</f>
        <v>1.1292325418869483E-2</v>
      </c>
      <c r="E35" s="502">
        <f>'EFs with Tier 4'!Q35</f>
        <v>1.063993297769634E-2</v>
      </c>
      <c r="F35" s="502">
        <f>'EFs with Tier 4'!X35</f>
        <v>1.0004303079381925E-2</v>
      </c>
      <c r="G35" s="502">
        <f>'EFs with Tier 4'!AE35</f>
        <v>9.3996999235005617E-3</v>
      </c>
      <c r="H35" s="502">
        <f>'EFs with Tier 4'!AL35</f>
        <v>8.8537970071824509E-3</v>
      </c>
      <c r="I35" s="502">
        <f>'EFs with Tier 4'!AS35</f>
        <v>8.3664496800051249E-3</v>
      </c>
    </row>
    <row r="36" spans="1:45" x14ac:dyDescent="0.25">
      <c r="A36" s="531" t="s">
        <v>167</v>
      </c>
      <c r="B36" s="25">
        <v>235</v>
      </c>
      <c r="C36" s="25">
        <v>0.38</v>
      </c>
      <c r="D36" s="502">
        <f>'EFs with Tier 4'!J36</f>
        <v>1.1292325418869483E-2</v>
      </c>
      <c r="E36" s="502">
        <f>'EFs with Tier 4'!Q36</f>
        <v>1.063993297769634E-2</v>
      </c>
      <c r="F36" s="502">
        <f>'EFs with Tier 4'!X36</f>
        <v>1.0004303079381925E-2</v>
      </c>
      <c r="G36" s="502">
        <f>'EFs with Tier 4'!AE36</f>
        <v>9.3996999235005617E-3</v>
      </c>
      <c r="H36" s="502">
        <f>'EFs with Tier 4'!AL36</f>
        <v>8.8537970071824509E-3</v>
      </c>
      <c r="I36" s="502">
        <f>'EFs with Tier 4'!AS36</f>
        <v>8.3664496800051249E-3</v>
      </c>
    </row>
    <row r="37" spans="1:45" x14ac:dyDescent="0.25">
      <c r="A37" s="27" t="s">
        <v>168</v>
      </c>
      <c r="B37" s="25">
        <v>235</v>
      </c>
      <c r="C37" s="25">
        <v>0.38</v>
      </c>
      <c r="D37" s="502">
        <f>'EFs with Tier 4'!J37</f>
        <v>1.1292325418869483E-2</v>
      </c>
      <c r="E37" s="502">
        <f>'EFs with Tier 4'!Q37</f>
        <v>1.063993297769634E-2</v>
      </c>
      <c r="F37" s="502">
        <f>'EFs with Tier 4'!X37</f>
        <v>1.0004303079381925E-2</v>
      </c>
      <c r="G37" s="502">
        <f>'EFs with Tier 4'!AE37</f>
        <v>9.3996999235005617E-3</v>
      </c>
      <c r="H37" s="502">
        <f>'EFs with Tier 4'!AL37</f>
        <v>8.8537970071824509E-3</v>
      </c>
      <c r="I37" s="502">
        <f>'EFs with Tier 4'!AS37</f>
        <v>8.3664496800051249E-3</v>
      </c>
    </row>
    <row r="38" spans="1:45" x14ac:dyDescent="0.25">
      <c r="A38" s="27" t="s">
        <v>213</v>
      </c>
      <c r="B38" s="25">
        <v>175</v>
      </c>
      <c r="C38" s="25">
        <v>0.38</v>
      </c>
      <c r="D38" s="502">
        <f>'EFs with Tier 4'!J38</f>
        <v>1.1292325418869483E-2</v>
      </c>
      <c r="E38" s="502">
        <f>'EFs with Tier 4'!Q38</f>
        <v>1.063993297769634E-2</v>
      </c>
      <c r="F38" s="502">
        <f>'EFs with Tier 4'!X38</f>
        <v>1.0004303079381925E-2</v>
      </c>
      <c r="G38" s="502">
        <f>'EFs with Tier 4'!AE38</f>
        <v>9.3996999235005617E-3</v>
      </c>
      <c r="H38" s="502">
        <f>'EFs with Tier 4'!AL38</f>
        <v>8.8537970071824509E-3</v>
      </c>
      <c r="I38" s="502">
        <f>'EFs with Tier 4'!AS38</f>
        <v>8.3664496800051249E-3</v>
      </c>
    </row>
    <row r="39" spans="1:45" x14ac:dyDescent="0.25">
      <c r="A39" s="27" t="s">
        <v>579</v>
      </c>
      <c r="B39" s="134">
        <v>81</v>
      </c>
      <c r="C39" s="25">
        <v>0.73</v>
      </c>
      <c r="D39" s="562">
        <f>'EFs with Tier 4'!J39</f>
        <v>8.0478710667049036E-3</v>
      </c>
      <c r="E39" s="562">
        <f>'EFs with Tier 4'!Q39</f>
        <v>7.2983432328555444E-3</v>
      </c>
      <c r="F39" s="562">
        <f>'EFs with Tier 4'!X39</f>
        <v>6.5651775720710461E-3</v>
      </c>
      <c r="G39" s="562">
        <f>'EFs with Tier 4'!AE39</f>
        <v>5.8680430255882874E-3</v>
      </c>
      <c r="H39" s="562">
        <f>'EFs with Tier 4'!AL39</f>
        <v>5.2228499935204785E-3</v>
      </c>
      <c r="I39" s="562">
        <f>'EFs with Tier 4'!AS39</f>
        <v>4.7309412577465279E-3</v>
      </c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x14ac:dyDescent="0.25">
      <c r="A40" s="27" t="s">
        <v>580</v>
      </c>
      <c r="B40" s="134">
        <v>88</v>
      </c>
      <c r="C40" s="134">
        <v>0.68</v>
      </c>
      <c r="D40" s="562">
        <f>'EFs with Tier 4'!J40</f>
        <v>7.9361010948412886E-3</v>
      </c>
      <c r="E40" s="562">
        <f>'EFs with Tier 4'!Q40</f>
        <v>6.9792086054076847E-3</v>
      </c>
      <c r="F40" s="562">
        <f>'EFs with Tier 4'!X40</f>
        <v>6.3265212608436218E-3</v>
      </c>
      <c r="G40" s="562">
        <f>'EFs with Tier 4'!AE40</f>
        <v>5.8351652717944765E-3</v>
      </c>
      <c r="H40" s="562">
        <f>'EFs with Tier 4'!AL40</f>
        <v>5.4160196010833899E-3</v>
      </c>
      <c r="I40" s="562">
        <f>'EFs with Tier 4'!AS40</f>
        <v>5.0086515341831389E-3</v>
      </c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x14ac:dyDescent="0.25">
      <c r="A41" s="531" t="s">
        <v>581</v>
      </c>
      <c r="B41" s="134">
        <v>85</v>
      </c>
      <c r="C41" s="134">
        <v>0.64</v>
      </c>
      <c r="D41" s="562">
        <f>'EFs with Tier 4'!J41</f>
        <v>1.0528166694101284E-2</v>
      </c>
      <c r="E41" s="562">
        <f>'EFs with Tier 4'!Q41</f>
        <v>9.5091756960655246E-3</v>
      </c>
      <c r="F41" s="562">
        <f>'EFs with Tier 4'!X41</f>
        <v>8.5520873546339263E-3</v>
      </c>
      <c r="G41" s="562">
        <f>'EFs with Tier 4'!AE41</f>
        <v>7.6639240715927395E-3</v>
      </c>
      <c r="H41" s="562">
        <f>'EFs with Tier 4'!AL41</f>
        <v>6.8537558173780112E-3</v>
      </c>
      <c r="I41" s="562">
        <f>'EFs with Tier 4'!AS41</f>
        <v>6.2450880687081045E-3</v>
      </c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</row>
    <row r="42" spans="1:45" x14ac:dyDescent="0.25">
      <c r="A42" s="531" t="s">
        <v>582</v>
      </c>
      <c r="B42" s="134">
        <v>82</v>
      </c>
      <c r="C42" s="134">
        <v>0.53</v>
      </c>
      <c r="D42" s="562">
        <f>'EFs with Tier 4'!J42</f>
        <v>8.7412099797587687E-3</v>
      </c>
      <c r="E42" s="562">
        <f>'EFs with Tier 4'!Q42</f>
        <v>8.228868799522799E-3</v>
      </c>
      <c r="F42" s="562">
        <f>'EFs with Tier 4'!X42</f>
        <v>7.737797812848589E-3</v>
      </c>
      <c r="G42" s="562">
        <f>'EFs with Tier 4'!AE42</f>
        <v>7.2677152639502376E-3</v>
      </c>
      <c r="H42" s="562">
        <f>'EFs with Tier 4'!AL42</f>
        <v>6.8179254077302184E-3</v>
      </c>
      <c r="I42" s="562">
        <f>'EFs with Tier 4'!AS42</f>
        <v>6.3874089853107243E-3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</row>
    <row r="43" spans="1:45" x14ac:dyDescent="0.25">
      <c r="A43" s="531" t="s">
        <v>583</v>
      </c>
      <c r="B43" s="134">
        <v>6</v>
      </c>
      <c r="C43" s="134">
        <v>0.82</v>
      </c>
      <c r="D43" s="562">
        <f>'EFs with Tier 4'!J43</f>
        <v>6.4801190876982576E-4</v>
      </c>
      <c r="E43" s="562">
        <f>'EFs with Tier 4'!Q43</f>
        <v>6.4801176908851194E-4</v>
      </c>
      <c r="F43" s="562">
        <f>'EFs with Tier 4'!X43</f>
        <v>6.4801166902622178E-4</v>
      </c>
      <c r="G43" s="562">
        <f>'EFs with Tier 4'!AE43</f>
        <v>6.4801168714526385E-4</v>
      </c>
      <c r="H43" s="562">
        <f>'EFs with Tier 4'!AL43</f>
        <v>6.4801189520347709E-4</v>
      </c>
      <c r="I43" s="562">
        <f>'EFs with Tier 4'!AS43</f>
        <v>6.4801175698490281E-4</v>
      </c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2"/>
      <c r="AA43" s="562"/>
      <c r="AB43" s="562"/>
      <c r="AC43" s="562"/>
      <c r="AD43" s="562"/>
      <c r="AE43" s="562"/>
      <c r="AF43" s="562"/>
      <c r="AG43" s="562"/>
      <c r="AH43" s="562"/>
      <c r="AI43" s="562"/>
      <c r="AJ43" s="562"/>
      <c r="AK43" s="562"/>
      <c r="AL43" s="562"/>
      <c r="AM43" s="562"/>
      <c r="AN43" s="562"/>
      <c r="AO43" s="562"/>
      <c r="AP43" s="562"/>
      <c r="AQ43" s="562"/>
      <c r="AR43" s="562"/>
      <c r="AS43" s="562"/>
    </row>
    <row r="44" spans="1:45" x14ac:dyDescent="0.25">
      <c r="A44" s="27" t="s">
        <v>589</v>
      </c>
      <c r="B44" s="532">
        <v>235</v>
      </c>
      <c r="C44" s="25">
        <v>0.38</v>
      </c>
      <c r="D44" s="562">
        <f>'EFs with Tier 4'!J44</f>
        <v>1.1292325418869483E-2</v>
      </c>
      <c r="E44" s="562">
        <f>'EFs with Tier 4'!Q44</f>
        <v>1.063993297769634E-2</v>
      </c>
      <c r="F44" s="562">
        <f>'EFs with Tier 4'!X44</f>
        <v>1.0004303079381925E-2</v>
      </c>
      <c r="G44" s="562">
        <f>'EFs with Tier 4'!AE44</f>
        <v>9.3996999235005617E-3</v>
      </c>
      <c r="H44" s="562">
        <f>'EFs with Tier 4'!AL44</f>
        <v>8.8537970071824509E-3</v>
      </c>
      <c r="I44" s="562">
        <f>'EFs with Tier 4'!AS44</f>
        <v>8.3664496800051249E-3</v>
      </c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  <c r="V44" s="562"/>
      <c r="W44" s="562"/>
      <c r="X44" s="562"/>
      <c r="Y44" s="562"/>
      <c r="Z44" s="562"/>
      <c r="AA44" s="562"/>
      <c r="AB44" s="562"/>
      <c r="AC44" s="562"/>
      <c r="AD44" s="562"/>
      <c r="AE44" s="562"/>
      <c r="AF44" s="562"/>
      <c r="AG44" s="562"/>
      <c r="AH44" s="562"/>
      <c r="AI44" s="562"/>
      <c r="AJ44" s="562"/>
      <c r="AK44" s="562"/>
      <c r="AL44" s="562"/>
      <c r="AM44" s="562"/>
      <c r="AN44" s="562"/>
      <c r="AO44" s="562"/>
      <c r="AP44" s="562"/>
      <c r="AQ44" s="562"/>
      <c r="AR44" s="562"/>
      <c r="AS44" s="56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98"/>
  <sheetViews>
    <sheetView topLeftCell="A61" zoomScale="75" zoomScaleNormal="75" workbookViewId="0">
      <selection activeCell="E98" sqref="E98"/>
    </sheetView>
  </sheetViews>
  <sheetFormatPr defaultRowHeight="13.2" x14ac:dyDescent="0.25"/>
  <cols>
    <col min="1" max="1" width="64.332031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617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262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193</v>
      </c>
      <c r="B8" s="34">
        <v>2015</v>
      </c>
      <c r="C8" s="25">
        <v>350</v>
      </c>
      <c r="D8" s="134">
        <v>0.4</v>
      </c>
      <c r="E8" s="546">
        <f>VLOOKUP($A8,EFROGS!$A$1:$J$44,(IF($B8=2015,4,IF($B8=2016,5,IF($B8=2017,6,IF($B8=2018,7,IF($B8=2019,8,IF($B8=2020,9,0))))))),FALSE)</f>
        <v>0.28066021184881418</v>
      </c>
      <c r="F8" s="546">
        <f>VLOOKUP($A8,EFCOS!$A$1:$J$44,(IF($B8=2015,4,IF($B8=2016,5,IF($B8=2017,6,IF($B8=2018,7,IF($B8=2019,8,IF($B8=2020,9,0))))))),FALSE)</f>
        <v>1.2234716378508228</v>
      </c>
      <c r="G8" s="546">
        <f>VLOOKUP($A8,EFNOXS!$A$1:$J$44,(IF($B8=2015,4,IF($B8=2016,5,IF($B8=2017,6,IF($B8=2018,7,IF($B8=2019,8,IF($B8=2020,9,0))))))),FALSE)</f>
        <v>2.2984677151643464</v>
      </c>
      <c r="H8" s="546">
        <f>VLOOKUP($A8,EFSOXS!$A$1:$J$44,(IF($B8=2015,4,IF($B8=2016,5,IF($B8=2017,6,IF($B8=2018,7,IF($B8=2019,8,IF($B8=2020,9,0))))))),FALSE)</f>
        <v>2.5998102444893035E-3</v>
      </c>
      <c r="I8" s="546">
        <f>VLOOKUP($A8,EFPMS!$A$1:$J$44,(IF($B8=2015,4,IF($B8=2016,5,IF($B8=2017,6,IF($B8=2018,7,IF($B8=2019,8,IF($B8=2020,9,0))))))),FALSE)</f>
        <v>9.3824024160305358E-2</v>
      </c>
      <c r="J8" s="536">
        <f t="shared" ref="J8:J18" si="0">0.89*I8</f>
        <v>8.3503381502671767E-2</v>
      </c>
      <c r="K8" s="549">
        <f>VLOOKUP($A8,EFCO2S!$A$1:$J$44,(IF($B8=2015,4,IF($B8=2016,5,IF($B8=2017,6,IF($B8=2018,7,IF($B8=2019,8,IF($B8=2020,9,0))))))),FALSE)</f>
        <v>264.8725636721183</v>
      </c>
      <c r="L8" s="546">
        <f>VLOOKUP($A8,EFCH4S!$A$1:$J$44,(IF($B8=2015,4,IF($B8=2016,5,IF($B8=2017,6,IF($B8=2018,7,IF($B8=2019,8,IF($B8=2020,9,0))))))),FALSE)</f>
        <v>2.6451144743432839E-2</v>
      </c>
      <c r="M8" s="540">
        <f t="shared" ref="M8:M18" si="1">0.095*G8</f>
        <v>0.21835443294061291</v>
      </c>
      <c r="N8" s="135">
        <v>1</v>
      </c>
      <c r="O8" s="135">
        <v>6</v>
      </c>
      <c r="P8" s="136">
        <f>2*22</f>
        <v>44</v>
      </c>
      <c r="Q8" s="39">
        <f t="shared" ref="Q8:Y18" si="2">(E8*$N8*$O8)</f>
        <v>1.6839612710928851</v>
      </c>
      <c r="R8" s="29">
        <f t="shared" si="2"/>
        <v>7.3408298271049368</v>
      </c>
      <c r="S8" s="29">
        <f t="shared" si="2"/>
        <v>13.79080629098608</v>
      </c>
      <c r="T8" s="29">
        <f t="shared" si="2"/>
        <v>1.5598861466935822E-2</v>
      </c>
      <c r="U8" s="29">
        <f t="shared" si="2"/>
        <v>0.5629441449618322</v>
      </c>
      <c r="V8" s="29">
        <f t="shared" si="2"/>
        <v>0.50102028901603057</v>
      </c>
      <c r="W8" s="29">
        <f t="shared" si="2"/>
        <v>1589.2353820327098</v>
      </c>
      <c r="X8" s="29">
        <f t="shared" si="2"/>
        <v>0.15870686846059703</v>
      </c>
      <c r="Y8" s="29">
        <f t="shared" si="2"/>
        <v>1.3101265976436776</v>
      </c>
    </row>
    <row r="9" spans="1:25" s="3" customFormat="1" x14ac:dyDescent="0.25">
      <c r="A9" s="27" t="s">
        <v>194</v>
      </c>
      <c r="B9" s="34">
        <v>2015</v>
      </c>
      <c r="C9" s="25">
        <v>350</v>
      </c>
      <c r="D9" s="134">
        <v>0.41</v>
      </c>
      <c r="E9" s="546">
        <f>VLOOKUP($A9,EFROGS!$A$1:$J$44,(IF($B9=2015,4,IF($B9=2016,5,IF($B9=2017,6,IF($B9=2018,7,IF($B9=2019,8,IF($B9=2020,9,0))))))),FALSE)</f>
        <v>0.16050268261922351</v>
      </c>
      <c r="F9" s="546">
        <f>VLOOKUP($A9,EFCOS!$A$1:$J$44,(IF($B9=2015,4,IF($B9=2016,5,IF($B9=2017,6,IF($B9=2018,7,IF($B9=2019,8,IF($B9=2020,9,0))))))),FALSE)</f>
        <v>0.58634095857918989</v>
      </c>
      <c r="G9" s="546">
        <f>VLOOKUP($A9,EFNOXS!$A$1:$J$44,(IF($B9=2015,4,IF($B9=2016,5,IF($B9=2017,6,IF($B9=2018,7,IF($B9=2019,8,IF($B9=2020,9,0))))))),FALSE)</f>
        <v>1.3309478779062127</v>
      </c>
      <c r="H9" s="546">
        <f>VLOOKUP($A9,EFSOXS!$A$1:$J$44,(IF($B9=2015,4,IF($B9=2016,5,IF($B9=2017,6,IF($B9=2018,7,IF($B9=2019,8,IF($B9=2020,9,0))))))),FALSE)</f>
        <v>2.2524633622208845E-3</v>
      </c>
      <c r="I9" s="546">
        <f>VLOOKUP($A9,EFPMS!$A$1:$J$44,(IF($B9=2015,4,IF($B9=2016,5,IF($B9=2017,6,IF($B9=2018,7,IF($B9=2019,8,IF($B9=2020,9,0))))))),FALSE)</f>
        <v>4.7321529971864722E-2</v>
      </c>
      <c r="J9" s="536">
        <f t="shared" si="0"/>
        <v>4.2116161674959601E-2</v>
      </c>
      <c r="K9" s="549">
        <f>VLOOKUP($A9,EFCO2S!$A$1:$J$44,(IF($B9=2015,4,IF($B9=2016,5,IF($B9=2017,6,IF($B9=2018,7,IF($B9=2019,8,IF($B9=2020,9,0))))))),FALSE)</f>
        <v>229.48430404511782</v>
      </c>
      <c r="L9" s="546">
        <f>VLOOKUP($A9,EFCH4S!$A$1:$J$44,(IF($B9=2015,4,IF($B9=2016,5,IF($B9=2017,6,IF($B9=2018,7,IF($B9=2019,8,IF($B9=2020,9,0))))))),FALSE)</f>
        <v>1.5033778692192376E-2</v>
      </c>
      <c r="M9" s="540">
        <f t="shared" si="1"/>
        <v>0.12644004840109022</v>
      </c>
      <c r="N9" s="135">
        <v>1</v>
      </c>
      <c r="O9" s="135">
        <v>8</v>
      </c>
      <c r="P9" s="136">
        <f>1*22</f>
        <v>22</v>
      </c>
      <c r="Q9" s="39">
        <f t="shared" si="2"/>
        <v>1.2840214609537881</v>
      </c>
      <c r="R9" s="29">
        <f t="shared" si="2"/>
        <v>4.6907276686335191</v>
      </c>
      <c r="S9" s="29">
        <f t="shared" si="2"/>
        <v>10.647583023249702</v>
      </c>
      <c r="T9" s="29">
        <f t="shared" si="2"/>
        <v>1.8019706897767076E-2</v>
      </c>
      <c r="U9" s="29">
        <f t="shared" si="2"/>
        <v>0.37857223977491777</v>
      </c>
      <c r="V9" s="29">
        <f t="shared" si="2"/>
        <v>0.33692929339967681</v>
      </c>
      <c r="W9" s="29">
        <f t="shared" si="2"/>
        <v>1835.8744323609426</v>
      </c>
      <c r="X9" s="29">
        <f t="shared" si="2"/>
        <v>0.12027022953753901</v>
      </c>
      <c r="Y9" s="29">
        <f t="shared" si="2"/>
        <v>1.0115203872087217</v>
      </c>
    </row>
    <row r="10" spans="1:25" s="3" customFormat="1" x14ac:dyDescent="0.25">
      <c r="A10" s="27" t="s">
        <v>195</v>
      </c>
      <c r="B10" s="34">
        <v>2015</v>
      </c>
      <c r="C10" s="25">
        <v>350</v>
      </c>
      <c r="D10" s="134">
        <v>0.48</v>
      </c>
      <c r="E10" s="546">
        <f>VLOOKUP($A10,EFROGS!$A$1:$J$44,(IF($B10=2015,4,IF($B10=2016,5,IF($B10=2017,6,IF($B10=2018,7,IF($B10=2019,8,IF($B10=2020,9,0))))))),FALSE)</f>
        <v>0.27645201730360836</v>
      </c>
      <c r="F10" s="546">
        <f>VLOOKUP($A10,EFCOS!$A$1:$J$44,(IF($B10=2015,4,IF($B10=2016,5,IF($B10=2017,6,IF($B10=2018,7,IF($B10=2019,8,IF($B10=2020,9,0))))))),FALSE)</f>
        <v>1.0635193230957918</v>
      </c>
      <c r="G10" s="546">
        <f>VLOOKUP($A10,EFNOXS!$A$1:$J$44,(IF($B10=2015,4,IF($B10=2016,5,IF($B10=2017,6,IF($B10=2018,7,IF($B10=2019,8,IF($B10=2020,9,0))))))),FALSE)</f>
        <v>2.3176715449187282</v>
      </c>
      <c r="H10" s="546">
        <f>VLOOKUP($A10,EFSOXS!$A$1:$J$44,(IF($B10=2015,4,IF($B10=2016,5,IF($B10=2017,6,IF($B10=2018,7,IF($B10=2019,8,IF($B10=2020,9,0))))))),FALSE)</f>
        <v>3.1549252143876689E-3</v>
      </c>
      <c r="I10" s="546">
        <f>VLOOKUP($A10,EFPMS!$A$1:$J$44,(IF($B10=2015,4,IF($B10=2016,5,IF($B10=2017,6,IF($B10=2018,7,IF($B10=2019,8,IF($B10=2020,9,0))))))),FALSE)</f>
        <v>8.8586968740131236E-2</v>
      </c>
      <c r="J10" s="536">
        <f t="shared" si="0"/>
        <v>7.8842402178716797E-2</v>
      </c>
      <c r="K10" s="549">
        <f>VLOOKUP($A10,EFCO2S!$A$1:$J$44,(IF($B10=2015,4,IF($B10=2016,5,IF($B10=2017,6,IF($B10=2018,7,IF($B10=2019,8,IF($B10=2020,9,0))))))),FALSE)</f>
        <v>321.42846035935588</v>
      </c>
      <c r="L10" s="546">
        <f>VLOOKUP($A10,EFCH4S!$A$1:$J$44,(IF($B10=2015,4,IF($B10=2016,5,IF($B10=2017,6,IF($B10=2018,7,IF($B10=2019,8,IF($B10=2020,9,0))))))),FALSE)</f>
        <v>2.6010420981454316E-2</v>
      </c>
      <c r="M10" s="540">
        <f t="shared" si="1"/>
        <v>0.22017879676727917</v>
      </c>
      <c r="N10" s="135">
        <v>1</v>
      </c>
      <c r="O10" s="135">
        <v>8</v>
      </c>
      <c r="P10" s="136">
        <f>1*22</f>
        <v>22</v>
      </c>
      <c r="Q10" s="39">
        <f t="shared" si="2"/>
        <v>2.2116161384288668</v>
      </c>
      <c r="R10" s="29">
        <f t="shared" si="2"/>
        <v>8.5081545847663342</v>
      </c>
      <c r="S10" s="29">
        <f t="shared" si="2"/>
        <v>18.541372359349825</v>
      </c>
      <c r="T10" s="29">
        <f t="shared" si="2"/>
        <v>2.5239401715101351E-2</v>
      </c>
      <c r="U10" s="29">
        <f t="shared" si="2"/>
        <v>0.70869574992104989</v>
      </c>
      <c r="V10" s="29">
        <f t="shared" si="2"/>
        <v>0.63073921742973438</v>
      </c>
      <c r="W10" s="29">
        <f t="shared" si="2"/>
        <v>2571.4276828748471</v>
      </c>
      <c r="X10" s="29">
        <f t="shared" si="2"/>
        <v>0.20808336785163453</v>
      </c>
      <c r="Y10" s="29">
        <f t="shared" si="2"/>
        <v>1.7614303741382333</v>
      </c>
    </row>
    <row r="11" spans="1:25" s="3" customFormat="1" x14ac:dyDescent="0.25">
      <c r="A11" s="27" t="s">
        <v>196</v>
      </c>
      <c r="B11" s="34">
        <v>2015</v>
      </c>
      <c r="C11" s="25">
        <v>250</v>
      </c>
      <c r="D11" s="134">
        <v>0.38</v>
      </c>
      <c r="E11" s="546">
        <f>VLOOKUP($A11,EFROGS!$A$1:$J$44,(IF($B11=2015,4,IF($B11=2016,5,IF($B11=2017,6,IF($B11=2018,7,IF($B11=2019,8,IF($B11=2020,9,0))))))),FALSE)</f>
        <v>0.10659360197116201</v>
      </c>
      <c r="F11" s="546">
        <f>VLOOKUP($A11,EFCOS!$A$1:$J$44,(IF($B11=2015,4,IF($B11=2016,5,IF($B11=2017,6,IF($B11=2018,7,IF($B11=2019,8,IF($B11=2020,9,0))))))),FALSE)</f>
        <v>0.36686319474726009</v>
      </c>
      <c r="G11" s="546">
        <f>VLOOKUP($A11,EFNOXS!$A$1:$J$44,(IF($B11=2015,4,IF($B11=2016,5,IF($B11=2017,6,IF($B11=2018,7,IF($B11=2019,8,IF($B11=2020,9,0))))))),FALSE)</f>
        <v>1.0557516810303123</v>
      </c>
      <c r="H11" s="546">
        <f>VLOOKUP($A11,EFSOXS!$A$1:$J$44,(IF($B11=2015,4,IF($B11=2016,5,IF($B11=2017,6,IF($B11=2018,7,IF($B11=2019,8,IF($B11=2020,9,0))))))),FALSE)</f>
        <v>1.7225234988951081E-3</v>
      </c>
      <c r="I11" s="546">
        <f>VLOOKUP($A11,EFPMS!$A$1:$J$44,(IF($B11=2015,4,IF($B11=2016,5,IF($B11=2017,6,IF($B11=2018,7,IF($B11=2019,8,IF($B11=2020,9,0))))))),FALSE)</f>
        <v>3.5131941225937512E-2</v>
      </c>
      <c r="J11" s="536">
        <f t="shared" si="0"/>
        <v>3.1267427691084385E-2</v>
      </c>
      <c r="K11" s="549">
        <f>VLOOKUP($A11,EFCO2S!$A$1:$J$44,(IF($B11=2015,4,IF($B11=2016,5,IF($B11=2017,6,IF($B11=2018,7,IF($B11=2019,8,IF($B11=2020,9,0))))))),FALSE)</f>
        <v>153.0897857268109</v>
      </c>
      <c r="L11" s="546">
        <f>VLOOKUP($A11,EFCH4S!$A$1:$J$44,(IF($B11=2015,4,IF($B11=2016,5,IF($B11=2017,6,IF($B11=2018,7,IF($B11=2019,8,IF($B11=2020,9,0))))))),FALSE)</f>
        <v>9.9847277011502044E-3</v>
      </c>
      <c r="M11" s="540">
        <f t="shared" si="1"/>
        <v>0.10029640969787966</v>
      </c>
      <c r="N11" s="135">
        <v>1</v>
      </c>
      <c r="O11" s="135">
        <v>6</v>
      </c>
      <c r="P11" s="136">
        <f>2*22</f>
        <v>44</v>
      </c>
      <c r="Q11" s="39">
        <f t="shared" si="2"/>
        <v>0.63956161182697202</v>
      </c>
      <c r="R11" s="29">
        <f t="shared" si="2"/>
        <v>2.2011791684835607</v>
      </c>
      <c r="S11" s="29">
        <f t="shared" si="2"/>
        <v>6.3345100861818739</v>
      </c>
      <c r="T11" s="29">
        <f t="shared" si="2"/>
        <v>1.0335140993370649E-2</v>
      </c>
      <c r="U11" s="29">
        <f t="shared" si="2"/>
        <v>0.21079164735562506</v>
      </c>
      <c r="V11" s="29">
        <f t="shared" si="2"/>
        <v>0.18760456614650631</v>
      </c>
      <c r="W11" s="29">
        <f t="shared" si="2"/>
        <v>918.53871436086547</v>
      </c>
      <c r="X11" s="29">
        <f t="shared" si="2"/>
        <v>5.9908366206901223E-2</v>
      </c>
      <c r="Y11" s="29">
        <f t="shared" si="2"/>
        <v>0.60177845818727793</v>
      </c>
    </row>
    <row r="12" spans="1:25" s="3" customFormat="1" x14ac:dyDescent="0.25">
      <c r="A12" s="27" t="s">
        <v>197</v>
      </c>
      <c r="B12" s="34">
        <v>2015</v>
      </c>
      <c r="C12" s="134">
        <v>200</v>
      </c>
      <c r="D12" s="134">
        <v>0.36</v>
      </c>
      <c r="E12" s="546">
        <f>VLOOKUP($A12,EFROGS!$A$1:$J$44,(IF($B12=2015,4,IF($B12=2016,5,IF($B12=2017,6,IF($B12=2018,7,IF($B12=2019,8,IF($B12=2020,9,0))))))),FALSE)</f>
        <v>0.10736823912786365</v>
      </c>
      <c r="F12" s="546">
        <f>VLOOKUP($A12,EFCOS!$A$1:$J$44,(IF($B12=2015,4,IF($B12=2016,5,IF($B12=2017,6,IF($B12=2018,7,IF($B12=2019,8,IF($B12=2020,9,0))))))),FALSE)</f>
        <v>0.34779590495709528</v>
      </c>
      <c r="G12" s="546">
        <f>VLOOKUP($A12,EFNOXS!$A$1:$J$44,(IF($B12=2015,4,IF($B12=2016,5,IF($B12=2017,6,IF($B12=2018,7,IF($B12=2019,8,IF($B12=2020,9,0))))))),FALSE)</f>
        <v>0.95148079591778234</v>
      </c>
      <c r="H12" s="546">
        <f>VLOOKUP($A12,EFSOXS!$A$1:$J$44,(IF($B12=2015,4,IF($B12=2016,5,IF($B12=2017,6,IF($B12=2018,7,IF($B12=2019,8,IF($B12=2020,9,0))))))),FALSE)</f>
        <v>1.676243123421701E-3</v>
      </c>
      <c r="I12" s="546">
        <f>VLOOKUP($A12,EFPMS!$A$1:$J$44,(IF($B12=2015,4,IF($B12=2016,5,IF($B12=2017,6,IF($B12=2018,7,IF($B12=2019,8,IF($B12=2020,9,0))))))),FALSE)</f>
        <v>3.2120532550839874E-2</v>
      </c>
      <c r="J12" s="536">
        <f t="shared" si="0"/>
        <v>2.858727397024749E-2</v>
      </c>
      <c r="K12" s="549">
        <f>VLOOKUP($A12,EFCO2S!$A$1:$J$44,(IF($B12=2015,4,IF($B12=2016,5,IF($B12=2017,6,IF($B12=2018,7,IF($B12=2019,8,IF($B12=2020,9,0))))))),FALSE)</f>
        <v>148.97664453593197</v>
      </c>
      <c r="L12" s="546">
        <f>VLOOKUP($A12,EFCH4S!$A$1:$J$44,(IF($B12=2015,4,IF($B12=2016,5,IF($B12=2017,6,IF($B12=2018,7,IF($B12=2019,8,IF($B12=2020,9,0))))))),FALSE)</f>
        <v>1.0092011106863865E-2</v>
      </c>
      <c r="M12" s="540">
        <f t="shared" si="1"/>
        <v>9.0390675612189317E-2</v>
      </c>
      <c r="N12" s="135">
        <v>2</v>
      </c>
      <c r="O12" s="135">
        <v>6</v>
      </c>
      <c r="P12" s="136">
        <f>3*22</f>
        <v>66</v>
      </c>
      <c r="Q12" s="39">
        <f t="shared" si="2"/>
        <v>1.2884188695343639</v>
      </c>
      <c r="R12" s="29">
        <f t="shared" si="2"/>
        <v>4.1735508594851431</v>
      </c>
      <c r="S12" s="29">
        <f t="shared" si="2"/>
        <v>11.417769551013388</v>
      </c>
      <c r="T12" s="29">
        <f t="shared" si="2"/>
        <v>2.0114917481060413E-2</v>
      </c>
      <c r="U12" s="29">
        <f t="shared" si="2"/>
        <v>0.38544639061007846</v>
      </c>
      <c r="V12" s="29">
        <f t="shared" si="2"/>
        <v>0.34304728764296988</v>
      </c>
      <c r="W12" s="29">
        <f t="shared" si="2"/>
        <v>1787.7197344311835</v>
      </c>
      <c r="X12" s="29">
        <f t="shared" si="2"/>
        <v>0.12110413328236638</v>
      </c>
      <c r="Y12" s="29">
        <f t="shared" si="2"/>
        <v>1.0846881073462717</v>
      </c>
    </row>
    <row r="13" spans="1:25" s="3" customFormat="1" x14ac:dyDescent="0.25">
      <c r="A13" s="27" t="s">
        <v>199</v>
      </c>
      <c r="B13" s="34">
        <v>2015</v>
      </c>
      <c r="C13" s="25">
        <v>175</v>
      </c>
      <c r="D13" s="134">
        <v>0.38</v>
      </c>
      <c r="E13" s="546">
        <f>VLOOKUP($A13,EFROGS!$A$1:$J$44,(IF($B13=2015,4,IF($B13=2016,5,IF($B13=2017,6,IF($B13=2018,7,IF($B13=2019,8,IF($B13=2020,9,0))))))),FALSE)</f>
        <v>0.11992127080629632</v>
      </c>
      <c r="F13" s="546">
        <f>VLOOKUP($A13,EFCOS!$A$1:$J$44,(IF($B13=2015,4,IF($B13=2016,5,IF($B13=2017,6,IF($B13=2018,7,IF($B13=2019,8,IF($B13=2020,9,0))))))),FALSE)</f>
        <v>0.37073007054215767</v>
      </c>
      <c r="G13" s="546">
        <f>VLOOKUP($A13,EFNOXS!$A$1:$J$44,(IF($B13=2015,4,IF($B13=2016,5,IF($B13=2017,6,IF($B13=2018,7,IF($B13=2019,8,IF($B13=2020,9,0))))))),FALSE)</f>
        <v>0.94368289767104196</v>
      </c>
      <c r="H13" s="546">
        <f>VLOOKUP($A13,EFSOXS!$A$1:$J$44,(IF($B13=2015,4,IF($B13=2016,5,IF($B13=2017,6,IF($B13=2018,7,IF($B13=2019,8,IF($B13=2020,9,0))))))),FALSE)</f>
        <v>1.8739213528134147E-3</v>
      </c>
      <c r="I13" s="546">
        <f>VLOOKUP($A13,EFPMS!$A$1:$J$44,(IF($B13=2015,4,IF($B13=2016,5,IF($B13=2017,6,IF($B13=2018,7,IF($B13=2019,8,IF($B13=2020,9,0))))))),FALSE)</f>
        <v>3.1241039634901123E-2</v>
      </c>
      <c r="J13" s="536">
        <f t="shared" si="0"/>
        <v>2.7804525275062001E-2</v>
      </c>
      <c r="K13" s="549">
        <f>VLOOKUP($A13,EFCO2S!$A$1:$J$44,(IF($B13=2015,4,IF($B13=2016,5,IF($B13=2017,6,IF($B13=2018,7,IF($B13=2019,8,IF($B13=2020,9,0))))))),FALSE)</f>
        <v>166.54539483446186</v>
      </c>
      <c r="L13" s="546">
        <f>VLOOKUP($A13,EFCH4S!$A$1:$J$44,(IF($B13=2015,4,IF($B13=2016,5,IF($B13=2017,6,IF($B13=2018,7,IF($B13=2019,8,IF($B13=2020,9,0))))))),FALSE)</f>
        <v>1.1292325418869483E-2</v>
      </c>
      <c r="M13" s="540">
        <f t="shared" si="1"/>
        <v>8.9649875278748986E-2</v>
      </c>
      <c r="N13" s="135">
        <v>1</v>
      </c>
      <c r="O13" s="135">
        <v>6</v>
      </c>
      <c r="P13" s="136">
        <f>3*22</f>
        <v>66</v>
      </c>
      <c r="Q13" s="39">
        <f t="shared" si="2"/>
        <v>0.71952762483777788</v>
      </c>
      <c r="R13" s="29">
        <f t="shared" si="2"/>
        <v>2.224380423252946</v>
      </c>
      <c r="S13" s="29">
        <f t="shared" si="2"/>
        <v>5.662097386026252</v>
      </c>
      <c r="T13" s="29">
        <f t="shared" si="2"/>
        <v>1.1243528116880489E-2</v>
      </c>
      <c r="U13" s="29">
        <f t="shared" si="2"/>
        <v>0.18744623780940672</v>
      </c>
      <c r="V13" s="29">
        <f t="shared" si="2"/>
        <v>0.16682715165037201</v>
      </c>
      <c r="W13" s="29">
        <f t="shared" si="2"/>
        <v>999.27236900677121</v>
      </c>
      <c r="X13" s="29">
        <f t="shared" si="2"/>
        <v>6.7753952513216892E-2</v>
      </c>
      <c r="Y13" s="29">
        <f t="shared" si="2"/>
        <v>0.53789925167249386</v>
      </c>
    </row>
    <row r="14" spans="1:25" s="3" customFormat="1" x14ac:dyDescent="0.25">
      <c r="A14" s="27" t="s">
        <v>200</v>
      </c>
      <c r="B14" s="34">
        <v>2015</v>
      </c>
      <c r="C14" s="25">
        <v>235</v>
      </c>
      <c r="D14" s="134">
        <v>0.38</v>
      </c>
      <c r="E14" s="546">
        <f>VLOOKUP($A14,EFROGS!$A$1:$J$44,(IF($B14=2015,4,IF($B14=2016,5,IF($B14=2017,6,IF($B14=2018,7,IF($B14=2019,8,IF($B14=2020,9,0))))))),FALSE)</f>
        <v>0.12027312265814816</v>
      </c>
      <c r="F14" s="546">
        <f>VLOOKUP($A14,EFCOS!$A$1:$J$44,(IF($B14=2015,4,IF($B14=2016,5,IF($B14=2017,6,IF($B14=2018,7,IF($B14=2019,8,IF($B14=2020,9,0))))))),FALSE)</f>
        <v>0.37726446207654918</v>
      </c>
      <c r="G14" s="546">
        <f>VLOOKUP($A14,EFNOXS!$A$1:$J$44,(IF($B14=2015,4,IF($B14=2016,5,IF($B14=2017,6,IF($B14=2018,7,IF($B14=2019,8,IF($B14=2020,9,0))))))),FALSE)</f>
        <v>0.94745273894088322</v>
      </c>
      <c r="H14" s="546">
        <f>VLOOKUP($A14,EFSOXS!$A$1:$J$44,(IF($B14=2015,4,IF($B14=2016,5,IF($B14=2017,6,IF($B14=2018,7,IF($B14=2019,8,IF($B14=2020,9,0))))))),FALSE)</f>
        <v>1.8739213528134147E-3</v>
      </c>
      <c r="I14" s="546">
        <f>VLOOKUP($A14,EFPMS!$A$1:$J$44,(IF($B14=2015,4,IF($B14=2016,5,IF($B14=2017,6,IF($B14=2018,7,IF($B14=2019,8,IF($B14=2020,9,0))))))),FALSE)</f>
        <v>3.1278738047599536E-2</v>
      </c>
      <c r="J14" s="536">
        <f t="shared" si="0"/>
        <v>2.7838076862363587E-2</v>
      </c>
      <c r="K14" s="549">
        <f>VLOOKUP($A14,EFCO2S!$A$1:$J$44,(IF($B14=2015,4,IF($B14=2016,5,IF($B14=2017,6,IF($B14=2018,7,IF($B14=2019,8,IF($B14=2020,9,0))))))),FALSE)</f>
        <v>166.54539483446186</v>
      </c>
      <c r="L14" s="546">
        <f>VLOOKUP($A14,EFCH4S!$A$1:$J$44,(IF($B14=2015,4,IF($B14=2016,5,IF($B14=2017,6,IF($B14=2018,7,IF($B14=2019,8,IF($B14=2020,9,0))))))),FALSE)</f>
        <v>1.1292325418869483E-2</v>
      </c>
      <c r="M14" s="540">
        <f t="shared" si="1"/>
        <v>9.0008010199383912E-2</v>
      </c>
      <c r="N14" s="135">
        <v>2</v>
      </c>
      <c r="O14" s="135">
        <v>4</v>
      </c>
      <c r="P14" s="136">
        <f>2*22</f>
        <v>44</v>
      </c>
      <c r="Q14" s="39">
        <f t="shared" si="2"/>
        <v>0.96218498126518526</v>
      </c>
      <c r="R14" s="29">
        <f t="shared" si="2"/>
        <v>3.0181156966123934</v>
      </c>
      <c r="S14" s="29">
        <f t="shared" si="2"/>
        <v>7.5796219115270658</v>
      </c>
      <c r="T14" s="29">
        <f t="shared" si="2"/>
        <v>1.4991370822507318E-2</v>
      </c>
      <c r="U14" s="29">
        <f t="shared" si="2"/>
        <v>0.25022990438079629</v>
      </c>
      <c r="V14" s="29">
        <f t="shared" si="2"/>
        <v>0.22270461489890869</v>
      </c>
      <c r="W14" s="29">
        <f t="shared" si="2"/>
        <v>1332.3631586756949</v>
      </c>
      <c r="X14" s="29">
        <f t="shared" si="2"/>
        <v>9.0338603350955865E-2</v>
      </c>
      <c r="Y14" s="29">
        <f t="shared" si="2"/>
        <v>0.72006408159507129</v>
      </c>
    </row>
    <row r="15" spans="1:25" s="3" customFormat="1" x14ac:dyDescent="0.25">
      <c r="A15" s="27" t="s">
        <v>201</v>
      </c>
      <c r="B15" s="34">
        <v>2015</v>
      </c>
      <c r="C15" s="25">
        <v>300</v>
      </c>
      <c r="D15" s="134">
        <v>0.38</v>
      </c>
      <c r="E15" s="546">
        <f>VLOOKUP($A15,EFROGS!$A$1:$J$44,(IF($B15=2015,4,IF($B15=2016,5,IF($B15=2017,6,IF($B15=2018,7,IF($B15=2019,8,IF($B15=2020,9,0))))))),FALSE)</f>
        <v>0.15156273531486869</v>
      </c>
      <c r="F15" s="546">
        <f>VLOOKUP($A15,EFCOS!$A$1:$J$44,(IF($B15=2015,4,IF($B15=2016,5,IF($B15=2017,6,IF($B15=2018,7,IF($B15=2019,8,IF($B15=2020,9,0))))))),FALSE)</f>
        <v>0.5042955535817204</v>
      </c>
      <c r="G15" s="546">
        <f>VLOOKUP($A15,EFNOXS!$A$1:$J$44,(IF($B15=2015,4,IF($B15=2016,5,IF($B15=2017,6,IF($B15=2018,7,IF($B15=2019,8,IF($B15=2020,9,0))))))),FALSE)</f>
        <v>1.1226784907797649</v>
      </c>
      <c r="H15" s="546">
        <f>VLOOKUP($A15,EFSOXS!$A$1:$J$44,(IF($B15=2015,4,IF($B15=2016,5,IF($B15=2017,6,IF($B15=2018,7,IF($B15=2019,8,IF($B15=2020,9,0))))))),FALSE)</f>
        <v>2.2941891037024571E-3</v>
      </c>
      <c r="I15" s="546">
        <f>VLOOKUP($A15,EFPMS!$A$1:$J$44,(IF($B15=2015,4,IF($B15=2016,5,IF($B15=2017,6,IF($B15=2018,7,IF($B15=2019,8,IF($B15=2020,9,0))))))),FALSE)</f>
        <v>3.945202890717215E-2</v>
      </c>
      <c r="J15" s="536">
        <f t="shared" si="0"/>
        <v>3.5112305727383213E-2</v>
      </c>
      <c r="K15" s="549">
        <f>VLOOKUP($A15,EFCO2S!$A$1:$J$44,(IF($B15=2015,4,IF($B15=2016,5,IF($B15=2017,6,IF($B15=2018,7,IF($B15=2019,8,IF($B15=2020,9,0))))))),FALSE)</f>
        <v>233.73532966705815</v>
      </c>
      <c r="L15" s="546">
        <f>VLOOKUP($A15,EFCH4S!$A$1:$J$44,(IF($B15=2015,4,IF($B15=2016,5,IF($B15=2017,6,IF($B15=2018,7,IF($B15=2019,8,IF($B15=2020,9,0))))))),FALSE)</f>
        <v>1.4227923455147638E-2</v>
      </c>
      <c r="M15" s="540">
        <f t="shared" si="1"/>
        <v>0.10665445662407766</v>
      </c>
      <c r="N15" s="135">
        <v>2</v>
      </c>
      <c r="O15" s="135">
        <v>6</v>
      </c>
      <c r="P15" s="136">
        <f>2*22</f>
        <v>44</v>
      </c>
      <c r="Q15" s="39">
        <f t="shared" si="2"/>
        <v>1.8187528237784243</v>
      </c>
      <c r="R15" s="29">
        <f t="shared" si="2"/>
        <v>6.0515466429806448</v>
      </c>
      <c r="S15" s="29">
        <f t="shared" si="2"/>
        <v>13.472141889357179</v>
      </c>
      <c r="T15" s="29">
        <f t="shared" si="2"/>
        <v>2.7530269244429487E-2</v>
      </c>
      <c r="U15" s="29">
        <f t="shared" si="2"/>
        <v>0.47342434688606583</v>
      </c>
      <c r="V15" s="29">
        <f t="shared" si="2"/>
        <v>0.42134766872859852</v>
      </c>
      <c r="W15" s="29">
        <f t="shared" si="2"/>
        <v>2804.8239560046977</v>
      </c>
      <c r="X15" s="29">
        <f t="shared" si="2"/>
        <v>0.17073508146177166</v>
      </c>
      <c r="Y15" s="29">
        <f t="shared" si="2"/>
        <v>1.2798534794889318</v>
      </c>
    </row>
    <row r="16" spans="1:25" s="3" customFormat="1" x14ac:dyDescent="0.25">
      <c r="A16" s="27" t="s">
        <v>155</v>
      </c>
      <c r="B16" s="34">
        <v>2015</v>
      </c>
      <c r="C16" s="134">
        <v>82</v>
      </c>
      <c r="D16" s="134">
        <v>0.5</v>
      </c>
      <c r="E16" s="546">
        <f>VLOOKUP($A16,EFROGS!$A$1:$J$44,(IF($B16=2015,4,IF($B16=2016,5,IF($B16=2017,6,IF($B16=2018,7,IF($B16=2019,8,IF($B16=2020,9,0))))))),FALSE)</f>
        <v>3.6309327217992599E-2</v>
      </c>
      <c r="F16" s="546">
        <f>VLOOKUP($A16,EFCOS!$A$1:$J$44,(IF($B16=2015,4,IF($B16=2016,5,IF($B16=2017,6,IF($B16=2018,7,IF($B16=2019,8,IF($B16=2020,9,0))))))),FALSE)</f>
        <v>0.46093801457747435</v>
      </c>
      <c r="G16" s="546">
        <f>VLOOKUP($A16,EFNOXS!$A$1:$J$44,(IF($B16=2015,4,IF($B16=2016,5,IF($B16=2017,6,IF($B16=2018,7,IF($B16=2019,8,IF($B16=2020,9,0))))))),FALSE)</f>
        <v>0.36619894798559588</v>
      </c>
      <c r="H16" s="546">
        <f>VLOOKUP($A16,EFSOXS!$A$1:$J$44,(IF($B16=2015,4,IF($B16=2016,5,IF($B16=2017,6,IF($B16=2018,7,IF($B16=2019,8,IF($B16=2020,9,0))))))),FALSE)</f>
        <v>9.0467796015684726E-4</v>
      </c>
      <c r="I16" s="546">
        <f>VLOOKUP($A16,EFPMS!$A$1:$J$44,(IF($B16=2015,4,IF($B16=2016,5,IF($B16=2017,6,IF($B16=2018,7,IF($B16=2019,8,IF($B16=2020,9,0))))))),FALSE)</f>
        <v>1.5314374699910852E-2</v>
      </c>
      <c r="J16" s="536">
        <f t="shared" si="0"/>
        <v>1.3629793482920658E-2</v>
      </c>
      <c r="K16" s="549">
        <f>VLOOKUP($A16,EFCO2S!$A$1:$J$44,(IF($B16=2015,4,IF($B16=2016,5,IF($B16=2017,6,IF($B16=2018,7,IF($B16=2019,8,IF($B16=2020,9,0))))))),FALSE)</f>
        <v>77.121767330485099</v>
      </c>
      <c r="L16" s="546">
        <f>VLOOKUP($A16,EFCH4S!$A$1:$J$44,(IF($B16=2015,4,IF($B16=2016,5,IF($B16=2017,6,IF($B16=2018,7,IF($B16=2019,8,IF($B16=2020,9,0))))))),FALSE)</f>
        <v>3.3884664579035585E-3</v>
      </c>
      <c r="M16" s="540">
        <f t="shared" si="1"/>
        <v>3.4788900058631611E-2</v>
      </c>
      <c r="N16" s="108">
        <v>1</v>
      </c>
      <c r="O16" s="108">
        <v>8</v>
      </c>
      <c r="P16" s="109">
        <v>22</v>
      </c>
      <c r="Q16" s="39">
        <f t="shared" si="2"/>
        <v>0.29047461774394079</v>
      </c>
      <c r="R16" s="29">
        <f t="shared" si="2"/>
        <v>3.6875041166197948</v>
      </c>
      <c r="S16" s="29">
        <f t="shared" si="2"/>
        <v>2.929591583884767</v>
      </c>
      <c r="T16" s="29">
        <f t="shared" si="2"/>
        <v>7.2374236812547781E-3</v>
      </c>
      <c r="U16" s="29">
        <f t="shared" si="2"/>
        <v>0.12251499759928682</v>
      </c>
      <c r="V16" s="29">
        <f t="shared" si="2"/>
        <v>0.10903834786336526</v>
      </c>
      <c r="W16" s="29">
        <f t="shared" si="2"/>
        <v>616.97413864388079</v>
      </c>
      <c r="X16" s="29">
        <f t="shared" si="2"/>
        <v>2.7107731663228468E-2</v>
      </c>
      <c r="Y16" s="29">
        <f t="shared" si="2"/>
        <v>0.27831120046905289</v>
      </c>
    </row>
    <row r="17" spans="1:25" s="3" customFormat="1" x14ac:dyDescent="0.25">
      <c r="A17" s="27" t="s">
        <v>204</v>
      </c>
      <c r="B17" s="34">
        <v>2015</v>
      </c>
      <c r="C17" s="25">
        <v>75</v>
      </c>
      <c r="D17" s="134">
        <v>0.28999999999999998</v>
      </c>
      <c r="E17" s="546">
        <f>VLOOKUP($A17,EFROGS!$A$1:$J$44,(IF($B17=2015,4,IF($B17=2016,5,IF($B17=2017,6,IF($B17=2018,7,IF($B17=2019,8,IF($B17=2020,9,0))))))),FALSE)</f>
        <v>7.6361523310359322E-2</v>
      </c>
      <c r="F17" s="546">
        <f>VLOOKUP($A17,EFCOS!$A$1:$J$44,(IF($B17=2015,4,IF($B17=2016,5,IF($B17=2017,6,IF($B17=2018,7,IF($B17=2019,8,IF($B17=2020,9,0))))))),FALSE)</f>
        <v>0.34700607793748495</v>
      </c>
      <c r="G17" s="546">
        <f>VLOOKUP($A17,EFNOXS!$A$1:$J$44,(IF($B17=2015,4,IF($B17=2016,5,IF($B17=2017,6,IF($B17=2018,7,IF($B17=2019,8,IF($B17=2020,9,0))))))),FALSE)</f>
        <v>0.46405567062959902</v>
      </c>
      <c r="H17" s="546">
        <f>VLOOKUP($A17,EFSOXS!$A$1:$J$44,(IF($B17=2015,4,IF($B17=2016,5,IF($B17=2017,6,IF($B17=2018,7,IF($B17=2019,8,IF($B17=2020,9,0))))))),FALSE)</f>
        <v>5.8826133700071506E-4</v>
      </c>
      <c r="I17" s="546">
        <f>VLOOKUP($A17,EFPMS!$A$1:$J$44,(IF($B17=2015,4,IF($B17=2016,5,IF($B17=2017,6,IF($B17=2018,7,IF($B17=2019,8,IF($B17=2020,9,0))))))),FALSE)</f>
        <v>3.9464685082802008E-2</v>
      </c>
      <c r="J17" s="536">
        <f t="shared" si="0"/>
        <v>3.5123569723693786E-2</v>
      </c>
      <c r="K17" s="549">
        <f>VLOOKUP($A17,EFCO2S!$A$1:$J$44,(IF($B17=2015,4,IF($B17=2016,5,IF($B17=2017,6,IF($B17=2018,7,IF($B17=2019,8,IF($B17=2020,9,0))))))),FALSE)</f>
        <v>50.147957636658056</v>
      </c>
      <c r="L17" s="546">
        <f>VLOOKUP($A17,EFCH4S!$A$1:$J$44,(IF($B17=2015,4,IF($B17=2016,5,IF($B17=2017,6,IF($B17=2018,7,IF($B17=2019,8,IF($B17=2020,9,0))))))),FALSE)</f>
        <v>7.2207285788506471E-3</v>
      </c>
      <c r="M17" s="540">
        <f t="shared" si="1"/>
        <v>4.4085288709811904E-2</v>
      </c>
      <c r="N17" s="108">
        <v>1</v>
      </c>
      <c r="O17" s="108">
        <v>4</v>
      </c>
      <c r="P17" s="136">
        <f>2*22</f>
        <v>44</v>
      </c>
      <c r="Q17" s="39">
        <f t="shared" si="2"/>
        <v>0.30544609324143729</v>
      </c>
      <c r="R17" s="29">
        <f t="shared" si="2"/>
        <v>1.3880243117499398</v>
      </c>
      <c r="S17" s="29">
        <f t="shared" si="2"/>
        <v>1.8562226825183961</v>
      </c>
      <c r="T17" s="29">
        <f t="shared" si="2"/>
        <v>2.3530453480028603E-3</v>
      </c>
      <c r="U17" s="29">
        <f t="shared" si="2"/>
        <v>0.15785874033120803</v>
      </c>
      <c r="V17" s="29">
        <f t="shared" si="2"/>
        <v>0.14049427889477514</v>
      </c>
      <c r="W17" s="29">
        <f t="shared" si="2"/>
        <v>200.59183054663222</v>
      </c>
      <c r="X17" s="29">
        <f t="shared" si="2"/>
        <v>2.8882914315402589E-2</v>
      </c>
      <c r="Y17" s="29">
        <f t="shared" si="2"/>
        <v>0.17634115483924762</v>
      </c>
    </row>
    <row r="18" spans="1:25" s="3" customFormat="1" x14ac:dyDescent="0.25">
      <c r="A18" s="37" t="s">
        <v>157</v>
      </c>
      <c r="B18" s="34">
        <v>2015</v>
      </c>
      <c r="C18" s="25">
        <v>235</v>
      </c>
      <c r="D18" s="134">
        <v>0.38</v>
      </c>
      <c r="E18" s="546">
        <f>VLOOKUP($A18,EFROGS!$A$1:$J$44,(IF($B18=2015,4,IF($B18=2016,5,IF($B18=2017,6,IF($B18=2018,7,IF($B18=2019,8,IF($B18=2020,9,0))))))),FALSE)</f>
        <v>0.12027312265814816</v>
      </c>
      <c r="F18" s="546">
        <f>VLOOKUP($A18,EFCOS!$A$1:$J$44,(IF($B18=2015,4,IF($B18=2016,5,IF($B18=2017,6,IF($B18=2018,7,IF($B18=2019,8,IF($B18=2020,9,0))))))),FALSE)</f>
        <v>0.37726446207654918</v>
      </c>
      <c r="G18" s="546">
        <f>VLOOKUP($A18,EFNOXS!$A$1:$J$44,(IF($B18=2015,4,IF($B18=2016,5,IF($B18=2017,6,IF($B18=2018,7,IF($B18=2019,8,IF($B18=2020,9,0))))))),FALSE)</f>
        <v>0.94745273894088322</v>
      </c>
      <c r="H18" s="546">
        <f>VLOOKUP($A18,EFSOXS!$A$1:$J$44,(IF($B18=2015,4,IF($B18=2016,5,IF($B18=2017,6,IF($B18=2018,7,IF($B18=2019,8,IF($B18=2020,9,0))))))),FALSE)</f>
        <v>1.8739213528134147E-3</v>
      </c>
      <c r="I18" s="546">
        <f>VLOOKUP($A18,EFPMS!$A$1:$J$44,(IF($B18=2015,4,IF($B18=2016,5,IF($B18=2017,6,IF($B18=2018,7,IF($B18=2019,8,IF($B18=2020,9,0))))))),FALSE)</f>
        <v>3.1278738047599536E-2</v>
      </c>
      <c r="J18" s="536">
        <f t="shared" si="0"/>
        <v>2.7838076862363587E-2</v>
      </c>
      <c r="K18" s="549">
        <f>VLOOKUP($A18,EFCO2S!$A$1:$J$44,(IF($B18=2015,4,IF($B18=2016,5,IF($B18=2017,6,IF($B18=2018,7,IF($B18=2019,8,IF($B18=2020,9,0))))))),FALSE)</f>
        <v>166.54539483446186</v>
      </c>
      <c r="L18" s="546">
        <f>VLOOKUP($A18,EFCH4S!$A$1:$J$44,(IF($B18=2015,4,IF($B18=2016,5,IF($B18=2017,6,IF($B18=2018,7,IF($B18=2019,8,IF($B18=2020,9,0))))))),FALSE)</f>
        <v>1.1292325418869483E-2</v>
      </c>
      <c r="M18" s="540">
        <f t="shared" si="1"/>
        <v>9.0008010199383912E-2</v>
      </c>
      <c r="N18" s="108">
        <v>1</v>
      </c>
      <c r="O18" s="108">
        <v>4</v>
      </c>
      <c r="P18" s="109">
        <v>22</v>
      </c>
      <c r="Q18" s="39">
        <f t="shared" si="2"/>
        <v>0.48109249063259263</v>
      </c>
      <c r="R18" s="29">
        <f t="shared" si="2"/>
        <v>1.5090578483061967</v>
      </c>
      <c r="S18" s="29">
        <f t="shared" si="2"/>
        <v>3.7898109557635329</v>
      </c>
      <c r="T18" s="29">
        <f t="shared" si="2"/>
        <v>7.4956854112536589E-3</v>
      </c>
      <c r="U18" s="29">
        <f t="shared" si="2"/>
        <v>0.12511495219039814</v>
      </c>
      <c r="V18" s="29">
        <f t="shared" si="2"/>
        <v>0.11135230744945435</v>
      </c>
      <c r="W18" s="29">
        <f t="shared" si="2"/>
        <v>666.18157933784744</v>
      </c>
      <c r="X18" s="29">
        <f t="shared" si="2"/>
        <v>4.5169301675477933E-2</v>
      </c>
      <c r="Y18" s="29">
        <f t="shared" si="2"/>
        <v>0.36003204079753565</v>
      </c>
    </row>
    <row r="19" spans="1:25" s="3" customFormat="1" x14ac:dyDescent="0.25">
      <c r="A19" s="19" t="s">
        <v>38</v>
      </c>
      <c r="B19" s="34"/>
      <c r="C19" s="25"/>
      <c r="D19" s="13"/>
      <c r="E19" s="26"/>
      <c r="F19" s="26"/>
      <c r="G19" s="26"/>
      <c r="H19" s="26"/>
      <c r="I19" s="26"/>
      <c r="J19" s="27"/>
      <c r="K19" s="28"/>
      <c r="L19" s="26"/>
      <c r="M19" s="38"/>
      <c r="N19" s="135"/>
      <c r="O19" s="135"/>
      <c r="P19" s="136"/>
      <c r="Q19" s="138">
        <f>SUM(Q8:Q18)</f>
        <v>11.685057983336234</v>
      </c>
      <c r="R19" s="138">
        <f t="shared" ref="R19:Y19" si="3">SUM(R8:R18)</f>
        <v>44.793071147995406</v>
      </c>
      <c r="S19" s="138">
        <f t="shared" si="3"/>
        <v>96.021527719858057</v>
      </c>
      <c r="T19" s="138">
        <f t="shared" si="3"/>
        <v>0.16015935117856386</v>
      </c>
      <c r="U19" s="138">
        <f t="shared" si="3"/>
        <v>3.5630393518206653</v>
      </c>
      <c r="V19" s="138">
        <f t="shared" si="3"/>
        <v>3.1711050231203921</v>
      </c>
      <c r="W19" s="138">
        <f t="shared" si="3"/>
        <v>15323.002978276072</v>
      </c>
      <c r="X19" s="138">
        <f t="shared" si="3"/>
        <v>1.0980605503190917</v>
      </c>
      <c r="Y19" s="138">
        <f t="shared" si="3"/>
        <v>9.122045133386516</v>
      </c>
    </row>
    <row r="20" spans="1:25" s="3" customFormat="1" x14ac:dyDescent="0.25">
      <c r="A20" s="27"/>
      <c r="B20" s="34"/>
      <c r="C20" s="25"/>
      <c r="D20" s="13"/>
      <c r="E20" s="26"/>
      <c r="F20" s="26"/>
      <c r="G20" s="26"/>
      <c r="H20" s="26"/>
      <c r="I20" s="26"/>
      <c r="J20" s="27"/>
      <c r="K20" s="28"/>
      <c r="L20" s="26"/>
      <c r="M20" s="38"/>
      <c r="N20" s="135"/>
      <c r="O20" s="135"/>
      <c r="P20" s="136"/>
      <c r="Q20" s="39"/>
      <c r="R20" s="29"/>
      <c r="S20" s="29"/>
      <c r="T20" s="29"/>
      <c r="U20" s="29"/>
      <c r="V20" s="29"/>
      <c r="W20" s="29"/>
      <c r="X20" s="29"/>
      <c r="Y20" s="29"/>
    </row>
    <row r="21" spans="1:25" s="3" customFormat="1" x14ac:dyDescent="0.25">
      <c r="A21" s="19" t="s">
        <v>263</v>
      </c>
      <c r="B21" s="34">
        <v>2015</v>
      </c>
      <c r="C21" s="25"/>
      <c r="D21" s="13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37" t="s">
        <v>157</v>
      </c>
      <c r="B22" s="34">
        <v>2015</v>
      </c>
      <c r="C22" s="25">
        <v>235</v>
      </c>
      <c r="D22" s="134">
        <v>0.38</v>
      </c>
      <c r="E22" s="546">
        <f>VLOOKUP($A22,EFROGS!$A$1:$J$44,(IF($B22=2015,4,IF($B22=2016,5,IF($B22=2017,6,IF($B22=2018,7,IF($B22=2019,8,IF($B22=2020,9,0))))))),FALSE)</f>
        <v>0.12027312265814816</v>
      </c>
      <c r="F22" s="546">
        <f>VLOOKUP($A22,EFCOS!$A$1:$J$44,(IF($B22=2015,4,IF($B22=2016,5,IF($B22=2017,6,IF($B22=2018,7,IF($B22=2019,8,IF($B22=2020,9,0))))))),FALSE)</f>
        <v>0.37726446207654918</v>
      </c>
      <c r="G22" s="546">
        <f>VLOOKUP($A22,EFNOXS!$A$1:$J$44,(IF($B22=2015,4,IF($B22=2016,5,IF($B22=2017,6,IF($B22=2018,7,IF($B22=2019,8,IF($B22=2020,9,0))))))),FALSE)</f>
        <v>0.94745273894088322</v>
      </c>
      <c r="H22" s="546">
        <f>VLOOKUP($A22,EFSOXS!$A$1:$J$44,(IF($B22=2015,4,IF($B22=2016,5,IF($B22=2017,6,IF($B22=2018,7,IF($B22=2019,8,IF($B22=2020,9,0))))))),FALSE)</f>
        <v>1.8739213528134147E-3</v>
      </c>
      <c r="I22" s="546">
        <f>VLOOKUP($A22,EFPMS!$A$1:$J$44,(IF($B22=2015,4,IF($B22=2016,5,IF($B22=2017,6,IF($B22=2018,7,IF($B22=2019,8,IF($B22=2020,9,0))))))),FALSE)</f>
        <v>3.1278738047599536E-2</v>
      </c>
      <c r="J22" s="536">
        <f t="shared" ref="J22:J25" si="4">0.89*I22</f>
        <v>2.7838076862363587E-2</v>
      </c>
      <c r="K22" s="549">
        <f>VLOOKUP($A22,EFCO2S!$A$1:$J$44,(IF($B22=2015,4,IF($B22=2016,5,IF($B22=2017,6,IF($B22=2018,7,IF($B22=2019,8,IF($B22=2020,9,0))))))),FALSE)</f>
        <v>166.54539483446186</v>
      </c>
      <c r="L22" s="546">
        <f>VLOOKUP($A22,EFCH4S!$A$1:$J$44,(IF($B22=2015,4,IF($B22=2016,5,IF($B22=2017,6,IF($B22=2018,7,IF($B22=2019,8,IF($B22=2020,9,0))))))),FALSE)</f>
        <v>1.1292325418869483E-2</v>
      </c>
      <c r="M22" s="540">
        <f t="shared" ref="M22:M25" si="5">0.095*G22</f>
        <v>9.0008010199383912E-2</v>
      </c>
      <c r="N22" s="108">
        <v>1</v>
      </c>
      <c r="O22" s="108">
        <v>2</v>
      </c>
      <c r="P22" s="109">
        <f>3*22</f>
        <v>66</v>
      </c>
      <c r="Q22" s="39">
        <f t="shared" ref="Q22:Y25" si="6">(E22*$N22*$O22)</f>
        <v>0.24054624531629631</v>
      </c>
      <c r="R22" s="29">
        <f t="shared" si="6"/>
        <v>0.75452892415309836</v>
      </c>
      <c r="S22" s="29">
        <f t="shared" si="6"/>
        <v>1.8949054778817664</v>
      </c>
      <c r="T22" s="29">
        <f t="shared" si="6"/>
        <v>3.7478427056268295E-3</v>
      </c>
      <c r="U22" s="29">
        <f t="shared" si="6"/>
        <v>6.2557476095199072E-2</v>
      </c>
      <c r="V22" s="29">
        <f t="shared" si="6"/>
        <v>5.5676153724727173E-2</v>
      </c>
      <c r="W22" s="29">
        <f t="shared" si="6"/>
        <v>333.09078966892372</v>
      </c>
      <c r="X22" s="29">
        <f t="shared" si="6"/>
        <v>2.2584650837738966E-2</v>
      </c>
      <c r="Y22" s="29">
        <f t="shared" si="6"/>
        <v>0.18001602039876782</v>
      </c>
    </row>
    <row r="23" spans="1:25" s="3" customFormat="1" x14ac:dyDescent="0.25">
      <c r="A23" s="27" t="s">
        <v>155</v>
      </c>
      <c r="B23" s="34">
        <v>2015</v>
      </c>
      <c r="C23" s="134">
        <v>82</v>
      </c>
      <c r="D23" s="134">
        <v>0.5</v>
      </c>
      <c r="E23" s="546">
        <f>VLOOKUP($A23,EFROGS!$A$1:$J$44,(IF($B23=2015,4,IF($B23=2016,5,IF($B23=2017,6,IF($B23=2018,7,IF($B23=2019,8,IF($B23=2020,9,0))))))),FALSE)</f>
        <v>3.6309327217992599E-2</v>
      </c>
      <c r="F23" s="546">
        <f>VLOOKUP($A23,EFCOS!$A$1:$J$44,(IF($B23=2015,4,IF($B23=2016,5,IF($B23=2017,6,IF($B23=2018,7,IF($B23=2019,8,IF($B23=2020,9,0))))))),FALSE)</f>
        <v>0.46093801457747435</v>
      </c>
      <c r="G23" s="546">
        <f>VLOOKUP($A23,EFNOXS!$A$1:$J$44,(IF($B23=2015,4,IF($B23=2016,5,IF($B23=2017,6,IF($B23=2018,7,IF($B23=2019,8,IF($B23=2020,9,0))))))),FALSE)</f>
        <v>0.36619894798559588</v>
      </c>
      <c r="H23" s="546">
        <f>VLOOKUP($A23,EFSOXS!$A$1:$J$44,(IF($B23=2015,4,IF($B23=2016,5,IF($B23=2017,6,IF($B23=2018,7,IF($B23=2019,8,IF($B23=2020,9,0))))))),FALSE)</f>
        <v>9.0467796015684726E-4</v>
      </c>
      <c r="I23" s="546">
        <f>VLOOKUP($A23,EFPMS!$A$1:$J$44,(IF($B23=2015,4,IF($B23=2016,5,IF($B23=2017,6,IF($B23=2018,7,IF($B23=2019,8,IF($B23=2020,9,0))))))),FALSE)</f>
        <v>1.5314374699910852E-2</v>
      </c>
      <c r="J23" s="536">
        <f t="shared" si="4"/>
        <v>1.3629793482920658E-2</v>
      </c>
      <c r="K23" s="549">
        <f>VLOOKUP($A23,EFCO2S!$A$1:$J$44,(IF($B23=2015,4,IF($B23=2016,5,IF($B23=2017,6,IF($B23=2018,7,IF($B23=2019,8,IF($B23=2020,9,0))))))),FALSE)</f>
        <v>77.121767330485099</v>
      </c>
      <c r="L23" s="546">
        <f>VLOOKUP($A23,EFCH4S!$A$1:$J$44,(IF($B23=2015,4,IF($B23=2016,5,IF($B23=2017,6,IF($B23=2018,7,IF($B23=2019,8,IF($B23=2020,9,0))))))),FALSE)</f>
        <v>3.3884664579035585E-3</v>
      </c>
      <c r="M23" s="540">
        <f t="shared" si="5"/>
        <v>3.4788900058631611E-2</v>
      </c>
      <c r="N23" s="108">
        <v>1</v>
      </c>
      <c r="O23" s="108">
        <v>4</v>
      </c>
      <c r="P23" s="109">
        <f>3*22</f>
        <v>66</v>
      </c>
      <c r="Q23" s="39">
        <f t="shared" si="6"/>
        <v>0.14523730887197039</v>
      </c>
      <c r="R23" s="29">
        <f t="shared" si="6"/>
        <v>1.8437520583098974</v>
      </c>
      <c r="S23" s="29">
        <f t="shared" si="6"/>
        <v>1.4647957919423835</v>
      </c>
      <c r="T23" s="29">
        <f t="shared" si="6"/>
        <v>3.618711840627389E-3</v>
      </c>
      <c r="U23" s="29">
        <f t="shared" si="6"/>
        <v>6.1257498799643408E-2</v>
      </c>
      <c r="V23" s="29">
        <f t="shared" si="6"/>
        <v>5.4519173931682631E-2</v>
      </c>
      <c r="W23" s="29">
        <f t="shared" si="6"/>
        <v>308.4870693219404</v>
      </c>
      <c r="X23" s="29">
        <f t="shared" si="6"/>
        <v>1.3553865831614234E-2</v>
      </c>
      <c r="Y23" s="29">
        <f t="shared" si="6"/>
        <v>0.13915560023452644</v>
      </c>
    </row>
    <row r="24" spans="1:25" s="3" customFormat="1" x14ac:dyDescent="0.25">
      <c r="A24" s="37" t="s">
        <v>62</v>
      </c>
      <c r="B24" s="34">
        <v>2015</v>
      </c>
      <c r="C24" s="25">
        <v>85</v>
      </c>
      <c r="D24" s="134">
        <v>0.36</v>
      </c>
      <c r="E24" s="546">
        <f>VLOOKUP($A24,EFROGS!$A$1:$J$44,(IF($B24=2015,4,IF($B24=2016,5,IF($B24=2017,6,IF($B24=2018,7,IF($B24=2019,8,IF($B24=2020,9,0))))))),FALSE)</f>
        <v>7.9801484832556724E-2</v>
      </c>
      <c r="F24" s="546">
        <f>VLOOKUP($A24,EFCOS!$A$1:$J$44,(IF($B24=2015,4,IF($B24=2016,5,IF($B24=2017,6,IF($B24=2018,7,IF($B24=2019,8,IF($B24=2020,9,0))))))),FALSE)</f>
        <v>0.40100742191945721</v>
      </c>
      <c r="G24" s="546">
        <f>VLOOKUP($A24,EFNOXS!$A$1:$J$44,(IF($B24=2015,4,IF($B24=2016,5,IF($B24=2017,6,IF($B24=2018,7,IF($B24=2019,8,IF($B24=2020,9,0))))))),FALSE)</f>
        <v>0.50491905800089187</v>
      </c>
      <c r="H24" s="546">
        <f>VLOOKUP($A24,EFSOXS!$A$1:$J$44,(IF($B24=2015,4,IF($B24=2016,5,IF($B24=2017,6,IF($B24=2018,7,IF($B24=2019,8,IF($B24=2020,9,0))))))),FALSE)</f>
        <v>6.9108572612879135E-4</v>
      </c>
      <c r="I24" s="546">
        <f>VLOOKUP($A24,EFPMS!$A$1:$J$44,(IF($B24=2015,4,IF($B24=2016,5,IF($B24=2017,6,IF($B24=2018,7,IF($B24=2019,8,IF($B24=2020,9,0))))))),FALSE)</f>
        <v>4.0955217982968535E-2</v>
      </c>
      <c r="J24" s="536">
        <f t="shared" si="4"/>
        <v>3.6450144004841999E-2</v>
      </c>
      <c r="K24" s="549">
        <f>VLOOKUP($A24,EFCO2S!$A$1:$J$44,(IF($B24=2015,4,IF($B24=2016,5,IF($B24=2017,6,IF($B24=2018,7,IF($B24=2019,8,IF($B24=2020,9,0))))))),FALSE)</f>
        <v>58.913512015277149</v>
      </c>
      <c r="L24" s="546">
        <f>VLOOKUP($A24,EFCH4S!$A$1:$J$44,(IF($B24=2015,4,IF($B24=2016,5,IF($B24=2017,6,IF($B24=2018,7,IF($B24=2019,8,IF($B24=2020,9,0))))))),FALSE)</f>
        <v>7.5344751889799754E-3</v>
      </c>
      <c r="M24" s="540">
        <f t="shared" si="5"/>
        <v>4.7967310510084731E-2</v>
      </c>
      <c r="N24" s="108">
        <v>1</v>
      </c>
      <c r="O24" s="108">
        <v>6</v>
      </c>
      <c r="P24" s="109">
        <f>3*22</f>
        <v>66</v>
      </c>
      <c r="Q24" s="39">
        <f t="shared" si="6"/>
        <v>0.47880890899534034</v>
      </c>
      <c r="R24" s="29">
        <f t="shared" si="6"/>
        <v>2.4060445315167431</v>
      </c>
      <c r="S24" s="29">
        <f t="shared" si="6"/>
        <v>3.0295143480053515</v>
      </c>
      <c r="T24" s="29">
        <f t="shared" si="6"/>
        <v>4.1465143567727481E-3</v>
      </c>
      <c r="U24" s="29">
        <f t="shared" si="6"/>
        <v>0.24573130789781122</v>
      </c>
      <c r="V24" s="29">
        <f t="shared" si="6"/>
        <v>0.21870086402905198</v>
      </c>
      <c r="W24" s="29">
        <f t="shared" si="6"/>
        <v>353.4810720916629</v>
      </c>
      <c r="X24" s="29">
        <f t="shared" si="6"/>
        <v>4.5206851133879851E-2</v>
      </c>
      <c r="Y24" s="29">
        <f t="shared" si="6"/>
        <v>0.28780386306050837</v>
      </c>
    </row>
    <row r="25" spans="1:25" s="3" customFormat="1" x14ac:dyDescent="0.25">
      <c r="A25" s="37" t="s">
        <v>61</v>
      </c>
      <c r="B25" s="34">
        <v>2015</v>
      </c>
      <c r="C25" s="25">
        <v>235</v>
      </c>
      <c r="D25" s="134">
        <v>0.38</v>
      </c>
      <c r="E25" s="546">
        <f>VLOOKUP($A25,EFROGS!$A$1:$J$44,(IF($B25=2015,4,IF($B25=2016,5,IF($B25=2017,6,IF($B25=2018,7,IF($B25=2019,8,IF($B25=2020,9,0))))))),FALSE)</f>
        <v>0.12027312265814816</v>
      </c>
      <c r="F25" s="546">
        <f>VLOOKUP($A25,EFCOS!$A$1:$J$44,(IF($B25=2015,4,IF($B25=2016,5,IF($B25=2017,6,IF($B25=2018,7,IF($B25=2019,8,IF($B25=2020,9,0))))))),FALSE)</f>
        <v>0.37726446207654918</v>
      </c>
      <c r="G25" s="546">
        <f>VLOOKUP($A25,EFNOXS!$A$1:$J$44,(IF($B25=2015,4,IF($B25=2016,5,IF($B25=2017,6,IF($B25=2018,7,IF($B25=2019,8,IF($B25=2020,9,0))))))),FALSE)</f>
        <v>0.94745273894088322</v>
      </c>
      <c r="H25" s="546">
        <f>VLOOKUP($A25,EFSOXS!$A$1:$J$44,(IF($B25=2015,4,IF($B25=2016,5,IF($B25=2017,6,IF($B25=2018,7,IF($B25=2019,8,IF($B25=2020,9,0))))))),FALSE)</f>
        <v>1.8739213528134147E-3</v>
      </c>
      <c r="I25" s="546">
        <f>VLOOKUP($A25,EFPMS!$A$1:$J$44,(IF($B25=2015,4,IF($B25=2016,5,IF($B25=2017,6,IF($B25=2018,7,IF($B25=2019,8,IF($B25=2020,9,0))))))),FALSE)</f>
        <v>3.1278738047599536E-2</v>
      </c>
      <c r="J25" s="536">
        <f t="shared" si="4"/>
        <v>2.7838076862363587E-2</v>
      </c>
      <c r="K25" s="549">
        <f>VLOOKUP($A25,EFCO2S!$A$1:$J$44,(IF($B25=2015,4,IF($B25=2016,5,IF($B25=2017,6,IF($B25=2018,7,IF($B25=2019,8,IF($B25=2020,9,0))))))),FALSE)</f>
        <v>166.54539483446186</v>
      </c>
      <c r="L25" s="546">
        <f>VLOOKUP($A25,EFCH4S!$A$1:$J$44,(IF($B25=2015,4,IF($B25=2016,5,IF($B25=2017,6,IF($B25=2018,7,IF($B25=2019,8,IF($B25=2020,9,0))))))),FALSE)</f>
        <v>1.1292325418869483E-2</v>
      </c>
      <c r="M25" s="540">
        <f t="shared" si="5"/>
        <v>9.0008010199383912E-2</v>
      </c>
      <c r="N25" s="108">
        <v>1</v>
      </c>
      <c r="O25" s="108">
        <v>3</v>
      </c>
      <c r="P25" s="109">
        <f>3*22</f>
        <v>66</v>
      </c>
      <c r="Q25" s="39">
        <f t="shared" si="6"/>
        <v>0.36081936797444447</v>
      </c>
      <c r="R25" s="29">
        <f t="shared" si="6"/>
        <v>1.1317933862296474</v>
      </c>
      <c r="S25" s="29">
        <f t="shared" si="6"/>
        <v>2.8423582168226496</v>
      </c>
      <c r="T25" s="29">
        <f t="shared" si="6"/>
        <v>5.6217640584402444E-3</v>
      </c>
      <c r="U25" s="29">
        <f t="shared" si="6"/>
        <v>9.3836214142798607E-2</v>
      </c>
      <c r="V25" s="29">
        <f t="shared" si="6"/>
        <v>8.351423058709076E-2</v>
      </c>
      <c r="W25" s="29">
        <f t="shared" si="6"/>
        <v>499.63618450338561</v>
      </c>
      <c r="X25" s="29">
        <f t="shared" si="6"/>
        <v>3.3876976256608446E-2</v>
      </c>
      <c r="Y25" s="29">
        <f t="shared" si="6"/>
        <v>0.27002403059815172</v>
      </c>
    </row>
    <row r="26" spans="1:25" s="3" customFormat="1" x14ac:dyDescent="0.25">
      <c r="A26" s="19" t="s">
        <v>38</v>
      </c>
      <c r="B26" s="34"/>
      <c r="C26" s="25"/>
      <c r="D26" s="13"/>
      <c r="E26" s="26"/>
      <c r="F26" s="26"/>
      <c r="G26" s="26"/>
      <c r="H26" s="26"/>
      <c r="I26" s="26"/>
      <c r="J26" s="27"/>
      <c r="K26" s="28"/>
      <c r="L26" s="26"/>
      <c r="M26" s="38"/>
      <c r="N26" s="135"/>
      <c r="O26" s="135"/>
      <c r="P26" s="136"/>
      <c r="Q26" s="138">
        <f>SUM(Q22:Q25)</f>
        <v>1.2254118311580515</v>
      </c>
      <c r="R26" s="138">
        <f t="shared" ref="R26:Y26" si="7">SUM(R22:R25)</f>
        <v>6.1361189002093859</v>
      </c>
      <c r="S26" s="138">
        <f t="shared" si="7"/>
        <v>9.231573834652151</v>
      </c>
      <c r="T26" s="138">
        <f t="shared" si="7"/>
        <v>1.7134832961467211E-2</v>
      </c>
      <c r="U26" s="138">
        <f t="shared" si="7"/>
        <v>0.4633824969354523</v>
      </c>
      <c r="V26" s="138">
        <f t="shared" si="7"/>
        <v>0.41241042227255253</v>
      </c>
      <c r="W26" s="138">
        <f t="shared" si="7"/>
        <v>1494.6951155859126</v>
      </c>
      <c r="X26" s="138">
        <f t="shared" si="7"/>
        <v>0.1152223440598415</v>
      </c>
      <c r="Y26" s="138">
        <f t="shared" si="7"/>
        <v>0.87699951429195433</v>
      </c>
    </row>
    <row r="27" spans="1:25" s="3" customFormat="1" x14ac:dyDescent="0.25">
      <c r="A27" s="19" t="s">
        <v>630</v>
      </c>
      <c r="B27" s="34"/>
      <c r="C27" s="25"/>
      <c r="D27" s="13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138">
        <f>Q19+Q26</f>
        <v>12.910469814494286</v>
      </c>
      <c r="R27" s="138">
        <f t="shared" ref="R27:Y27" si="8">R19+R26</f>
        <v>50.929190048204788</v>
      </c>
      <c r="S27" s="138">
        <f t="shared" si="8"/>
        <v>105.25310155451021</v>
      </c>
      <c r="T27" s="138">
        <f t="shared" si="8"/>
        <v>0.17729418414003106</v>
      </c>
      <c r="U27" s="138">
        <f t="shared" si="8"/>
        <v>4.0264218487561179</v>
      </c>
      <c r="V27" s="138">
        <f t="shared" si="8"/>
        <v>3.5835154453929445</v>
      </c>
      <c r="W27" s="138">
        <f t="shared" si="8"/>
        <v>16817.698093861985</v>
      </c>
      <c r="X27" s="138">
        <f t="shared" si="8"/>
        <v>1.2132828943789331</v>
      </c>
      <c r="Y27" s="138">
        <f t="shared" si="8"/>
        <v>9.9990446476784705</v>
      </c>
    </row>
    <row r="28" spans="1:25" s="3" customFormat="1" x14ac:dyDescent="0.25">
      <c r="A28" s="27"/>
      <c r="B28" s="34"/>
      <c r="C28" s="25"/>
      <c r="D28" s="13"/>
      <c r="E28" s="26"/>
      <c r="F28" s="26"/>
      <c r="G28" s="26"/>
      <c r="H28" s="26"/>
      <c r="I28" s="26"/>
      <c r="J28" s="27"/>
      <c r="K28" s="28"/>
      <c r="L28" s="26"/>
      <c r="M28" s="38"/>
      <c r="N28" s="135"/>
      <c r="O28" s="135"/>
      <c r="P28" s="136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19" t="s">
        <v>264</v>
      </c>
      <c r="B29" s="34">
        <v>2016</v>
      </c>
      <c r="C29" s="25"/>
      <c r="D29" s="13"/>
      <c r="E29" s="26"/>
      <c r="F29" s="26"/>
      <c r="G29" s="26"/>
      <c r="H29" s="26"/>
      <c r="I29" s="26"/>
      <c r="J29" s="27"/>
      <c r="K29" s="28"/>
      <c r="L29" s="26"/>
      <c r="M29" s="38"/>
      <c r="N29" s="135"/>
      <c r="O29" s="135"/>
      <c r="P29" s="136"/>
      <c r="Q29" s="39"/>
      <c r="R29" s="29"/>
      <c r="S29" s="29"/>
      <c r="T29" s="29"/>
      <c r="U29" s="29"/>
      <c r="V29" s="29"/>
      <c r="W29" s="29"/>
      <c r="X29" s="29"/>
      <c r="Y29" s="29"/>
    </row>
    <row r="30" spans="1:25" s="3" customFormat="1" x14ac:dyDescent="0.25">
      <c r="A30" s="27" t="s">
        <v>205</v>
      </c>
      <c r="B30" s="34">
        <v>2016</v>
      </c>
      <c r="C30" s="25">
        <v>235</v>
      </c>
      <c r="D30" s="134">
        <v>0.38</v>
      </c>
      <c r="E30" s="546">
        <f>VLOOKUP($A30,EFROGS!$A$1:$J$44,(IF($B30=2015,4,IF($B30=2016,5,IF($B30=2017,6,IF($B30=2018,7,IF($B30=2019,8,IF($B30=2020,9,0))))))),FALSE)</f>
        <v>0.10888615948643803</v>
      </c>
      <c r="F30" s="546">
        <f>VLOOKUP($A30,EFCOS!$A$1:$J$44,(IF($B30=2015,4,IF($B30=2016,5,IF($B30=2017,6,IF($B30=2018,7,IF($B30=2019,8,IF($B30=2020,9,0))))))),FALSE)</f>
        <v>0.37192102764732693</v>
      </c>
      <c r="G30" s="546">
        <f>VLOOKUP($A30,EFNOXS!$A$1:$J$44,(IF($B30=2015,4,IF($B30=2016,5,IF($B30=2017,6,IF($B30=2018,7,IF($B30=2019,8,IF($B30=2020,9,0))))))),FALSE)</f>
        <v>0.78693926319648355</v>
      </c>
      <c r="H30" s="546">
        <f>VLOOKUP($A30,EFSOXS!$A$1:$J$44,(IF($B30=2015,4,IF($B30=2016,5,IF($B30=2017,6,IF($B30=2018,7,IF($B30=2019,8,IF($B30=2020,9,0))))))),FALSE)</f>
        <v>1.8739217498104396E-3</v>
      </c>
      <c r="I30" s="546">
        <f>VLOOKUP($A30,EFPMS!$A$1:$J$44,(IF($B30=2015,4,IF($B30=2016,5,IF($B30=2017,6,IF($B30=2018,7,IF($B30=2019,8,IF($B30=2020,9,0))))))),FALSE)</f>
        <v>2.6432845298835113E-2</v>
      </c>
      <c r="J30" s="536">
        <f t="shared" ref="J30:J33" si="9">0.89*I30</f>
        <v>2.3525232315963252E-2</v>
      </c>
      <c r="K30" s="549">
        <f>VLOOKUP($A30,EFCO2S!$A$1:$J$44,(IF($B30=2015,4,IF($B30=2016,5,IF($B30=2017,6,IF($B30=2018,7,IF($B30=2019,8,IF($B30=2020,9,0))))))),FALSE)</f>
        <v>166.54541562452522</v>
      </c>
      <c r="L30" s="546">
        <f>VLOOKUP($A30,EFCH4S!$A$1:$J$44,(IF($B30=2015,4,IF($B30=2016,5,IF($B30=2017,6,IF($B30=2018,7,IF($B30=2019,8,IF($B30=2020,9,0))))))),FALSE)</f>
        <v>1.063993297769634E-2</v>
      </c>
      <c r="M30" s="540">
        <f t="shared" ref="M30:M33" si="10">0.095*G30</f>
        <v>7.4759230003665939E-2</v>
      </c>
      <c r="N30" s="135">
        <v>2</v>
      </c>
      <c r="O30" s="135">
        <v>2</v>
      </c>
      <c r="P30" s="109">
        <f>6*22</f>
        <v>132</v>
      </c>
      <c r="Q30" s="39">
        <f t="shared" ref="Q30:Y33" si="11">(E30*$N30*$O30)</f>
        <v>0.4355446379457521</v>
      </c>
      <c r="R30" s="29">
        <f t="shared" si="11"/>
        <v>1.4876841105893077</v>
      </c>
      <c r="S30" s="29">
        <f t="shared" si="11"/>
        <v>3.1477570527859342</v>
      </c>
      <c r="T30" s="29">
        <f t="shared" si="11"/>
        <v>7.4956869992417584E-3</v>
      </c>
      <c r="U30" s="29">
        <f t="shared" si="11"/>
        <v>0.10573138119534045</v>
      </c>
      <c r="V30" s="29">
        <f t="shared" si="11"/>
        <v>9.4100929263853009E-2</v>
      </c>
      <c r="W30" s="29">
        <f t="shared" si="11"/>
        <v>666.18166249810088</v>
      </c>
      <c r="X30" s="29">
        <f t="shared" si="11"/>
        <v>4.255973191078536E-2</v>
      </c>
      <c r="Y30" s="29">
        <f t="shared" si="11"/>
        <v>0.29903692001466375</v>
      </c>
    </row>
    <row r="31" spans="1:25" s="3" customFormat="1" x14ac:dyDescent="0.25">
      <c r="A31" s="27" t="s">
        <v>202</v>
      </c>
      <c r="B31" s="34">
        <v>2016</v>
      </c>
      <c r="C31" s="25">
        <v>399</v>
      </c>
      <c r="D31" s="134">
        <v>0.28999999999999998</v>
      </c>
      <c r="E31" s="546">
        <f>VLOOKUP($A31,EFROGS!$A$1:$J$44,(IF($B31=2015,4,IF($B31=2016,5,IF($B31=2017,6,IF($B31=2018,7,IF($B31=2019,8,IF($B31=2020,9,0))))))),FALSE)</f>
        <v>0.1228188382407441</v>
      </c>
      <c r="F31" s="546">
        <f>VLOOKUP($A31,EFCOS!$A$1:$J$44,(IF($B31=2015,4,IF($B31=2016,5,IF($B31=2017,6,IF($B31=2018,7,IF($B31=2019,8,IF($B31=2020,9,0))))))),FALSE)</f>
        <v>0.45492412964990703</v>
      </c>
      <c r="G31" s="546">
        <f>VLOOKUP($A31,EFNOXS!$A$1:$J$44,(IF($B31=2015,4,IF($B31=2016,5,IF($B31=2017,6,IF($B31=2018,7,IF($B31=2019,8,IF($B31=2020,9,0))))))),FALSE)</f>
        <v>0.97275799069431301</v>
      </c>
      <c r="H31" s="546">
        <f>VLOOKUP($A31,EFSOXS!$A$1:$J$44,(IF($B31=2015,4,IF($B31=2016,5,IF($B31=2017,6,IF($B31=2018,7,IF($B31=2019,8,IF($B31=2020,9,0))))))),FALSE)</f>
        <v>1.7677532588218458E-3</v>
      </c>
      <c r="I31" s="546">
        <f>VLOOKUP($A31,EFPMS!$A$1:$J$44,(IF($B31=2015,4,IF($B31=2016,5,IF($B31=2017,6,IF($B31=2018,7,IF($B31=2019,8,IF($B31=2020,9,0))))))),FALSE)</f>
        <v>3.5216325713369134E-2</v>
      </c>
      <c r="J31" s="536">
        <f t="shared" si="9"/>
        <v>3.134252988489853E-2</v>
      </c>
      <c r="K31" s="549">
        <f>VLOOKUP($A31,EFCO2S!$A$1:$J$44,(IF($B31=2015,4,IF($B31=2016,5,IF($B31=2017,6,IF($B31=2018,7,IF($B31=2019,8,IF($B31=2020,9,0))))))),FALSE)</f>
        <v>180.10130637401463</v>
      </c>
      <c r="L31" s="546">
        <f>VLOOKUP($A31,EFCH4S!$A$1:$J$44,(IF($B31=2015,4,IF($B31=2016,5,IF($B31=2017,6,IF($B31=2018,7,IF($B31=2019,8,IF($B31=2020,9,0))))))),FALSE)</f>
        <v>1.1955016897318338E-2</v>
      </c>
      <c r="M31" s="540">
        <f t="shared" si="10"/>
        <v>9.2412009115959731E-2</v>
      </c>
      <c r="N31" s="108">
        <v>2</v>
      </c>
      <c r="O31" s="108">
        <v>3</v>
      </c>
      <c r="P31" s="109">
        <f t="shared" ref="P31:P33" si="12">6*22</f>
        <v>132</v>
      </c>
      <c r="Q31" s="39">
        <f t="shared" si="11"/>
        <v>0.73691302944446457</v>
      </c>
      <c r="R31" s="29">
        <f t="shared" si="11"/>
        <v>2.7295447778994424</v>
      </c>
      <c r="S31" s="29">
        <f t="shared" si="11"/>
        <v>5.8365479441658783</v>
      </c>
      <c r="T31" s="29">
        <f t="shared" si="11"/>
        <v>1.0606519552931074E-2</v>
      </c>
      <c r="U31" s="29">
        <f t="shared" si="11"/>
        <v>0.21129795428021481</v>
      </c>
      <c r="V31" s="29">
        <f t="shared" si="11"/>
        <v>0.1880551793093912</v>
      </c>
      <c r="W31" s="29">
        <f t="shared" si="11"/>
        <v>1080.6078382440878</v>
      </c>
      <c r="X31" s="29">
        <f t="shared" si="11"/>
        <v>7.1730101383910033E-2</v>
      </c>
      <c r="Y31" s="29">
        <f t="shared" si="11"/>
        <v>0.55447205469575844</v>
      </c>
    </row>
    <row r="32" spans="1:25" s="3" customFormat="1" x14ac:dyDescent="0.25">
      <c r="A32" s="27" t="s">
        <v>163</v>
      </c>
      <c r="B32" s="34">
        <v>2016</v>
      </c>
      <c r="C32" s="25">
        <v>75</v>
      </c>
      <c r="D32" s="134">
        <v>0.31</v>
      </c>
      <c r="E32" s="546">
        <f>VLOOKUP($A32,EFROGS!$A$1:$J$44,(IF($B32=2015,4,IF($B32=2016,5,IF($B32=2017,6,IF($B32=2018,7,IF($B32=2019,8,IF($B32=2020,9,0))))))),FALSE)</f>
        <v>3.7848085547672369E-2</v>
      </c>
      <c r="F32" s="546">
        <f>VLOOKUP($A32,EFCOS!$A$1:$J$44,(IF($B32=2015,4,IF($B32=2016,5,IF($B32=2017,6,IF($B32=2018,7,IF($B32=2019,8,IF($B32=2020,9,0))))))),FALSE)</f>
        <v>0.23095739347567587</v>
      </c>
      <c r="G32" s="546">
        <f>VLOOKUP($A32,EFNOXS!$A$1:$J$44,(IF($B32=2015,4,IF($B32=2016,5,IF($B32=2017,6,IF($B32=2018,7,IF($B32=2019,8,IF($B32=2020,9,0))))))),FALSE)</f>
        <v>0.27347169152642881</v>
      </c>
      <c r="H32" s="546">
        <f>VLOOKUP($A32,EFSOXS!$A$1:$J$44,(IF($B32=2015,4,IF($B32=2016,5,IF($B32=2017,6,IF($B32=2018,7,IF($B32=2019,8,IF($B32=2020,9,0))))))),FALSE)</f>
        <v>4.4660184460307463E-4</v>
      </c>
      <c r="I32" s="546">
        <f>VLOOKUP($A32,EFPMS!$A$1:$J$44,(IF($B32=2015,4,IF($B32=2016,5,IF($B32=2017,6,IF($B32=2018,7,IF($B32=2019,8,IF($B32=2020,9,0))))))),FALSE)</f>
        <v>1.9787803716078484E-2</v>
      </c>
      <c r="J32" s="536">
        <f t="shared" si="9"/>
        <v>1.7611145307309853E-2</v>
      </c>
      <c r="K32" s="549">
        <f>VLOOKUP($A32,EFCO2S!$A$1:$J$44,(IF($B32=2015,4,IF($B32=2016,5,IF($B32=2017,6,IF($B32=2018,7,IF($B32=2019,8,IF($B32=2020,9,0))))))),FALSE)</f>
        <v>38.071823208441309</v>
      </c>
      <c r="L32" s="546">
        <f>VLOOKUP($A32,EFCH4S!$A$1:$J$44,(IF($B32=2015,4,IF($B32=2016,5,IF($B32=2017,6,IF($B32=2018,7,IF($B32=2019,8,IF($B32=2020,9,0))))))),FALSE)</f>
        <v>3.7224725625345937E-3</v>
      </c>
      <c r="M32" s="540">
        <f t="shared" si="10"/>
        <v>2.5979810695010735E-2</v>
      </c>
      <c r="N32" s="108">
        <v>4</v>
      </c>
      <c r="O32" s="108">
        <v>4</v>
      </c>
      <c r="P32" s="109">
        <f t="shared" si="12"/>
        <v>132</v>
      </c>
      <c r="Q32" s="39">
        <f t="shared" si="11"/>
        <v>0.60556936876275791</v>
      </c>
      <c r="R32" s="29">
        <f t="shared" si="11"/>
        <v>3.6953182956108139</v>
      </c>
      <c r="S32" s="29">
        <f t="shared" si="11"/>
        <v>4.3755470644228609</v>
      </c>
      <c r="T32" s="29">
        <f t="shared" si="11"/>
        <v>7.1456295136491941E-3</v>
      </c>
      <c r="U32" s="29">
        <f t="shared" si="11"/>
        <v>0.31660485945725575</v>
      </c>
      <c r="V32" s="29">
        <f t="shared" si="11"/>
        <v>0.28177832491695765</v>
      </c>
      <c r="W32" s="29">
        <f t="shared" si="11"/>
        <v>609.14917133506094</v>
      </c>
      <c r="X32" s="29">
        <f t="shared" si="11"/>
        <v>5.9559561000553499E-2</v>
      </c>
      <c r="Y32" s="29">
        <f t="shared" si="11"/>
        <v>0.41567697112017177</v>
      </c>
    </row>
    <row r="33" spans="1:25" s="3" customFormat="1" x14ac:dyDescent="0.25">
      <c r="A33" s="27" t="s">
        <v>192</v>
      </c>
      <c r="B33" s="34">
        <v>2016</v>
      </c>
      <c r="C33" s="25">
        <v>45</v>
      </c>
      <c r="D33" s="25">
        <v>1</v>
      </c>
      <c r="E33" s="546">
        <f>VLOOKUP($A33,EFROGS!$A$1:$J$44,(IF($B33=2015,4,IF($B33=2016,5,IF($B33=2017,6,IF($B33=2018,7,IF($B33=2019,8,IF($B33=2020,9,0))))))),FALSE)</f>
        <v>6.0031826185753062E-2</v>
      </c>
      <c r="F33" s="546">
        <f>VLOOKUP($A33,EFCOS!$A$1:$J$44,(IF($B33=2015,4,IF($B33=2016,5,IF($B33=2017,6,IF($B33=2018,7,IF($B33=2019,8,IF($B33=2020,9,0))))))),FALSE)</f>
        <v>0.24597366704095389</v>
      </c>
      <c r="G33" s="546">
        <f>VLOOKUP($A33,EFNOXS!$A$1:$J$44,(IF($B33=2015,4,IF($B33=2016,5,IF($B33=2017,6,IF($B33=2018,7,IF($B33=2019,8,IF($B33=2020,9,0))))))),FALSE)</f>
        <v>0.21311283631353706</v>
      </c>
      <c r="H33" s="546">
        <f>VLOOKUP($A33,EFSOXS!$A$1:$J$44,(IF($B33=2015,4,IF($B33=2016,5,IF($B33=2017,6,IF($B33=2018,7,IF($B33=2019,8,IF($B33=2020,9,0))))))),FALSE)</f>
        <v>2.8791175201714529E-4</v>
      </c>
      <c r="I33" s="546">
        <f>VLOOKUP($A33,EFPMS!$A$1:$J$44,(IF($B33=2015,4,IF($B33=2016,5,IF($B33=2017,6,IF($B33=2018,7,IF($B33=2019,8,IF($B33=2020,9,0))))))),FALSE)</f>
        <v>1.5037193593767375E-2</v>
      </c>
      <c r="J33" s="536">
        <f t="shared" si="9"/>
        <v>1.3383102298452963E-2</v>
      </c>
      <c r="K33" s="549">
        <f>VLOOKUP($A33,EFCO2S!$A$1:$J$44,(IF($B33=2015,4,IF($B33=2016,5,IF($B33=2017,6,IF($B33=2018,7,IF($B33=2019,8,IF($B33=2020,9,0))))))),FALSE)</f>
        <v>22.271256112007169</v>
      </c>
      <c r="L33" s="546">
        <f>VLOOKUP($A33,EFCH4S!$A$1:$J$44,(IF($B33=2015,4,IF($B33=2016,5,IF($B33=2017,6,IF($B33=2018,7,IF($B33=2019,8,IF($B33=2020,9,0))))))),FALSE)</f>
        <v>6.0184173846369749E-3</v>
      </c>
      <c r="M33" s="540">
        <f t="shared" si="10"/>
        <v>2.024571944978602E-2</v>
      </c>
      <c r="N33" s="135">
        <v>3</v>
      </c>
      <c r="O33" s="135">
        <v>8</v>
      </c>
      <c r="P33" s="109">
        <f t="shared" si="12"/>
        <v>132</v>
      </c>
      <c r="Q33" s="39">
        <f t="shared" si="11"/>
        <v>1.4407638284580735</v>
      </c>
      <c r="R33" s="29">
        <f t="shared" si="11"/>
        <v>5.903368008982893</v>
      </c>
      <c r="S33" s="29">
        <f t="shared" si="11"/>
        <v>5.1147080715248894</v>
      </c>
      <c r="T33" s="29">
        <f t="shared" si="11"/>
        <v>6.9098820484114875E-3</v>
      </c>
      <c r="U33" s="29">
        <f t="shared" si="11"/>
        <v>0.360892646250417</v>
      </c>
      <c r="V33" s="29">
        <f t="shared" si="11"/>
        <v>0.3211944551628711</v>
      </c>
      <c r="W33" s="29">
        <f t="shared" si="11"/>
        <v>534.51014668817209</v>
      </c>
      <c r="X33" s="29">
        <f t="shared" si="11"/>
        <v>0.14444201723128741</v>
      </c>
      <c r="Y33" s="29">
        <f t="shared" si="11"/>
        <v>0.48589726679486445</v>
      </c>
    </row>
    <row r="34" spans="1:25" s="3" customFormat="1" x14ac:dyDescent="0.25">
      <c r="A34" s="19" t="s">
        <v>38</v>
      </c>
      <c r="B34" s="34"/>
      <c r="C34" s="25"/>
      <c r="D34" s="20"/>
      <c r="E34" s="26"/>
      <c r="F34" s="26"/>
      <c r="G34" s="26"/>
      <c r="H34" s="26"/>
      <c r="I34" s="26"/>
      <c r="J34" s="27"/>
      <c r="K34" s="28"/>
      <c r="L34" s="26"/>
      <c r="M34" s="38"/>
      <c r="N34" s="135"/>
      <c r="O34" s="135"/>
      <c r="P34" s="136"/>
      <c r="Q34" s="138">
        <f>SUM(Q30:Q33)</f>
        <v>3.2187908646110479</v>
      </c>
      <c r="R34" s="138">
        <f t="shared" ref="R34:Y34" si="13">SUM(R30:R33)</f>
        <v>13.815915193082457</v>
      </c>
      <c r="S34" s="138">
        <f t="shared" si="13"/>
        <v>18.474560132899562</v>
      </c>
      <c r="T34" s="138">
        <f t="shared" si="13"/>
        <v>3.2157718114233513E-2</v>
      </c>
      <c r="U34" s="138">
        <f t="shared" si="13"/>
        <v>0.99452684118322798</v>
      </c>
      <c r="V34" s="138">
        <f t="shared" si="13"/>
        <v>0.88512888865307304</v>
      </c>
      <c r="W34" s="138">
        <f t="shared" si="13"/>
        <v>2890.4488187654215</v>
      </c>
      <c r="X34" s="138">
        <f t="shared" si="13"/>
        <v>0.31829141152653628</v>
      </c>
      <c r="Y34" s="138">
        <f t="shared" si="13"/>
        <v>1.7550832126254585</v>
      </c>
    </row>
    <row r="35" spans="1:25" s="3" customFormat="1" x14ac:dyDescent="0.25">
      <c r="A35" s="19" t="s">
        <v>631</v>
      </c>
      <c r="B35" s="34"/>
      <c r="C35" s="25"/>
      <c r="D35" s="20"/>
      <c r="E35" s="26"/>
      <c r="F35" s="26"/>
      <c r="G35" s="26"/>
      <c r="H35" s="26"/>
      <c r="I35" s="26"/>
      <c r="J35" s="27"/>
      <c r="K35" s="28"/>
      <c r="L35" s="26"/>
      <c r="M35" s="38"/>
      <c r="N35" s="135"/>
      <c r="O35" s="135"/>
      <c r="P35" s="136"/>
      <c r="Q35" s="138">
        <f>Q34</f>
        <v>3.2187908646110479</v>
      </c>
      <c r="R35" s="138">
        <f t="shared" ref="R35:Y35" si="14">R34</f>
        <v>13.815915193082457</v>
      </c>
      <c r="S35" s="138">
        <f t="shared" si="14"/>
        <v>18.474560132899562</v>
      </c>
      <c r="T35" s="138">
        <f t="shared" si="14"/>
        <v>3.2157718114233513E-2</v>
      </c>
      <c r="U35" s="138">
        <f t="shared" si="14"/>
        <v>0.99452684118322798</v>
      </c>
      <c r="V35" s="138">
        <f t="shared" si="14"/>
        <v>0.88512888865307304</v>
      </c>
      <c r="W35" s="138">
        <f t="shared" si="14"/>
        <v>2890.4488187654215</v>
      </c>
      <c r="X35" s="138">
        <f t="shared" si="14"/>
        <v>0.31829141152653628</v>
      </c>
      <c r="Y35" s="138">
        <f t="shared" si="14"/>
        <v>1.7550832126254585</v>
      </c>
    </row>
    <row r="36" spans="1:25" s="3" customFormat="1" x14ac:dyDescent="0.25">
      <c r="A36" s="27"/>
      <c r="B36" s="34"/>
      <c r="C36" s="25"/>
      <c r="D36" s="20"/>
      <c r="E36" s="26"/>
      <c r="F36" s="26"/>
      <c r="G36" s="26"/>
      <c r="H36" s="26"/>
      <c r="I36" s="26"/>
      <c r="J36" s="27"/>
      <c r="K36" s="28"/>
      <c r="L36" s="26"/>
      <c r="M36" s="38"/>
      <c r="N36" s="135"/>
      <c r="O36" s="135"/>
      <c r="P36" s="136"/>
      <c r="Q36" s="39"/>
      <c r="R36" s="29"/>
      <c r="S36" s="29"/>
      <c r="T36" s="29"/>
      <c r="U36" s="29"/>
      <c r="V36" s="29"/>
      <c r="W36" s="29"/>
      <c r="X36" s="29"/>
      <c r="Y36" s="29"/>
    </row>
    <row r="37" spans="1:25" s="3" customFormat="1" x14ac:dyDescent="0.25">
      <c r="A37" s="19" t="s">
        <v>265</v>
      </c>
      <c r="B37" s="34">
        <v>2018</v>
      </c>
      <c r="C37" s="25"/>
      <c r="D37" s="20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39"/>
      <c r="R37" s="29"/>
      <c r="S37" s="29"/>
      <c r="T37" s="29"/>
      <c r="U37" s="29"/>
      <c r="V37" s="29"/>
      <c r="W37" s="29"/>
      <c r="X37" s="29"/>
      <c r="Y37" s="29"/>
    </row>
    <row r="38" spans="1:25" s="3" customFormat="1" x14ac:dyDescent="0.25">
      <c r="A38" s="27" t="s">
        <v>163</v>
      </c>
      <c r="B38" s="34">
        <v>2018</v>
      </c>
      <c r="C38" s="25">
        <v>75</v>
      </c>
      <c r="D38" s="134">
        <v>0.31</v>
      </c>
      <c r="E38" s="546">
        <f>VLOOKUP($A38,EFROGS!$A$1:$J$44,(IF($B38=2015,4,IF($B38=2016,5,IF($B38=2017,6,IF($B38=2018,7,IF($B38=2019,8,IF($B38=2020,9,0))))))),FALSE)</f>
        <v>2.503304302758573E-2</v>
      </c>
      <c r="F38" s="546">
        <f>VLOOKUP($A38,EFCOS!$A$1:$J$44,(IF($B38=2015,4,IF($B38=2016,5,IF($B38=2017,6,IF($B38=2018,7,IF($B38=2019,8,IF($B38=2020,9,0))))))),FALSE)</f>
        <v>0.21923257911050123</v>
      </c>
      <c r="G38" s="546">
        <f>VLOOKUP($A38,EFNOXS!$A$1:$J$44,(IF($B38=2015,4,IF($B38=2016,5,IF($B38=2017,6,IF($B38=2018,7,IF($B38=2019,8,IF($B38=2020,9,0))))))),FALSE)</f>
        <v>0.18418335618414555</v>
      </c>
      <c r="H38" s="546">
        <f>VLOOKUP($A38,EFSOXS!$A$1:$J$44,(IF($B38=2015,4,IF($B38=2016,5,IF($B38=2017,6,IF($B38=2018,7,IF($B38=2019,8,IF($B38=2020,9,0))))))),FALSE)</f>
        <v>4.466019753080203E-4</v>
      </c>
      <c r="I38" s="546">
        <f>VLOOKUP($A38,EFPMS!$A$1:$J$44,(IF($B38=2015,4,IF($B38=2016,5,IF($B38=2017,6,IF($B38=2018,7,IF($B38=2019,8,IF($B38=2020,9,0))))))),FALSE)</f>
        <v>1.2096076420543793E-2</v>
      </c>
      <c r="J38" s="536">
        <f t="shared" ref="J38:J40" si="15">0.89*I38</f>
        <v>1.0765508014283977E-2</v>
      </c>
      <c r="K38" s="549">
        <f>VLOOKUP($A38,EFCO2S!$A$1:$J$44,(IF($B38=2015,4,IF($B38=2016,5,IF($B38=2017,6,IF($B38=2018,7,IF($B38=2019,8,IF($B38=2020,9,0))))))),FALSE)</f>
        <v>38.071830204285249</v>
      </c>
      <c r="L38" s="546">
        <f>VLOOKUP($A38,EFCH4S!$A$1:$J$44,(IF($B38=2015,4,IF($B38=2016,5,IF($B38=2017,6,IF($B38=2018,7,IF($B38=2019,8,IF($B38=2020,9,0))))))),FALSE)</f>
        <v>2.9492141591912126E-3</v>
      </c>
      <c r="M38" s="540">
        <f t="shared" ref="M38:M40" si="16">0.095*G38</f>
        <v>1.7497418837493828E-2</v>
      </c>
      <c r="N38" s="108">
        <v>4</v>
      </c>
      <c r="O38" s="108">
        <v>4</v>
      </c>
      <c r="P38" s="109">
        <f>3*22</f>
        <v>66</v>
      </c>
      <c r="Q38" s="39">
        <f t="shared" ref="Q38:Y40" si="17">(E38*$N38*$O38)</f>
        <v>0.40052868844137168</v>
      </c>
      <c r="R38" s="29">
        <f t="shared" si="17"/>
        <v>3.5077212657680197</v>
      </c>
      <c r="S38" s="29">
        <f t="shared" si="17"/>
        <v>2.9469336989463288</v>
      </c>
      <c r="T38" s="29">
        <f t="shared" si="17"/>
        <v>7.1456316049283248E-3</v>
      </c>
      <c r="U38" s="29">
        <f t="shared" si="17"/>
        <v>0.19353722272870069</v>
      </c>
      <c r="V38" s="29">
        <f t="shared" si="17"/>
        <v>0.17224812822854363</v>
      </c>
      <c r="W38" s="29">
        <f t="shared" si="17"/>
        <v>609.14928326856398</v>
      </c>
      <c r="X38" s="29">
        <f t="shared" si="17"/>
        <v>4.7187426547059402E-2</v>
      </c>
      <c r="Y38" s="29">
        <f t="shared" si="17"/>
        <v>0.27995870139990126</v>
      </c>
    </row>
    <row r="39" spans="1:25" s="3" customFormat="1" x14ac:dyDescent="0.25">
      <c r="A39" s="27" t="s">
        <v>206</v>
      </c>
      <c r="B39" s="34">
        <v>2018</v>
      </c>
      <c r="C39" s="25">
        <v>300</v>
      </c>
      <c r="D39" s="134">
        <v>0.42</v>
      </c>
      <c r="E39" s="546">
        <f>VLOOKUP($A39,EFROGS!$A$1:$J$44,(IF($B39=2015,4,IF($B39=2016,5,IF($B39=2017,6,IF($B39=2018,7,IF($B39=2019,8,IF($B39=2020,9,0))))))),FALSE)</f>
        <v>9.0225805917190885E-2</v>
      </c>
      <c r="F39" s="546">
        <f>VLOOKUP($A39,EFCOS!$A$1:$J$44,(IF($B39=2015,4,IF($B39=2016,5,IF($B39=2017,6,IF($B39=2018,7,IF($B39=2019,8,IF($B39=2020,9,0))))))),FALSE)</f>
        <v>0.51534614373640708</v>
      </c>
      <c r="G39" s="546">
        <f>VLOOKUP($A39,EFNOXS!$A$1:$J$44,(IF($B39=2015,4,IF($B39=2016,5,IF($B39=2017,6,IF($B39=2018,7,IF($B39=2019,8,IF($B39=2020,9,0))))))),FALSE)</f>
        <v>0.58526223609575434</v>
      </c>
      <c r="H39" s="546">
        <f>VLOOKUP($A39,EFSOXS!$A$1:$J$44,(IF($B39=2015,4,IF($B39=2016,5,IF($B39=2017,6,IF($B39=2018,7,IF($B39=2019,8,IF($B39=2020,9,0))))))),FALSE)</f>
        <v>2.4954338651265763E-3</v>
      </c>
      <c r="I39" s="546">
        <f>VLOOKUP($A39,EFPMS!$A$1:$J$44,(IF($B39=2015,4,IF($B39=2016,5,IF($B39=2017,6,IF($B39=2018,7,IF($B39=2019,8,IF($B39=2020,9,0))))))),FALSE)</f>
        <v>2.0522530022613474E-2</v>
      </c>
      <c r="J39" s="536">
        <f t="shared" si="15"/>
        <v>1.8265051720125991E-2</v>
      </c>
      <c r="K39" s="549">
        <f>VLOOKUP($A39,EFCO2S!$A$1:$J$44,(IF($B39=2015,4,IF($B39=2016,5,IF($B39=2017,6,IF($B39=2018,7,IF($B39=2019,8,IF($B39=2020,9,0))))))),FALSE)</f>
        <v>254.23847108919361</v>
      </c>
      <c r="L39" s="546">
        <f>VLOOKUP($A39,EFCH4S!$A$1:$J$44,(IF($B39=2015,4,IF($B39=2016,5,IF($B39=2017,6,IF($B39=2018,7,IF($B39=2019,8,IF($B39=2020,9,0))))))),FALSE)</f>
        <v>1.0126092850486785E-2</v>
      </c>
      <c r="M39" s="540">
        <f t="shared" si="16"/>
        <v>5.5599912429096662E-2</v>
      </c>
      <c r="N39" s="135">
        <v>2</v>
      </c>
      <c r="O39" s="135">
        <v>6</v>
      </c>
      <c r="P39" s="109">
        <f t="shared" ref="P39:P40" si="18">3*22</f>
        <v>66</v>
      </c>
      <c r="Q39" s="39">
        <f t="shared" si="17"/>
        <v>1.0827096710062907</v>
      </c>
      <c r="R39" s="29">
        <f t="shared" si="17"/>
        <v>6.184153724836885</v>
      </c>
      <c r="S39" s="29">
        <f t="shared" si="17"/>
        <v>7.0231468331490525</v>
      </c>
      <c r="T39" s="29">
        <f t="shared" si="17"/>
        <v>2.9945206381518916E-2</v>
      </c>
      <c r="U39" s="29">
        <f t="shared" si="17"/>
        <v>0.24627036027136168</v>
      </c>
      <c r="V39" s="29">
        <f t="shared" si="17"/>
        <v>0.21918062064151189</v>
      </c>
      <c r="W39" s="29">
        <f t="shared" si="17"/>
        <v>3050.8616530703234</v>
      </c>
      <c r="X39" s="29">
        <f t="shared" si="17"/>
        <v>0.12151311420584142</v>
      </c>
      <c r="Y39" s="29">
        <f t="shared" si="17"/>
        <v>0.66719894914915989</v>
      </c>
    </row>
    <row r="40" spans="1:25" s="3" customFormat="1" x14ac:dyDescent="0.25">
      <c r="A40" s="27" t="s">
        <v>207</v>
      </c>
      <c r="B40" s="34">
        <v>2018</v>
      </c>
      <c r="C40" s="25">
        <v>300</v>
      </c>
      <c r="D40" s="134">
        <v>0.42</v>
      </c>
      <c r="E40" s="546">
        <f>VLOOKUP($A40,EFROGS!$A$1:$J$44,(IF($B40=2015,4,IF($B40=2016,5,IF($B40=2017,6,IF($B40=2018,7,IF($B40=2019,8,IF($B40=2020,9,0))))))),FALSE)</f>
        <v>9.0225805917190885E-2</v>
      </c>
      <c r="F40" s="546">
        <f>VLOOKUP($A40,EFCOS!$A$1:$J$44,(IF($B40=2015,4,IF($B40=2016,5,IF($B40=2017,6,IF($B40=2018,7,IF($B40=2019,8,IF($B40=2020,9,0))))))),FALSE)</f>
        <v>0.51534614373640708</v>
      </c>
      <c r="G40" s="546">
        <f>VLOOKUP($A40,EFNOXS!$A$1:$J$44,(IF($B40=2015,4,IF($B40=2016,5,IF($B40=2017,6,IF($B40=2018,7,IF($B40=2019,8,IF($B40=2020,9,0))))))),FALSE)</f>
        <v>0.58526223609575434</v>
      </c>
      <c r="H40" s="546">
        <f>VLOOKUP($A40,EFSOXS!$A$1:$J$44,(IF($B40=2015,4,IF($B40=2016,5,IF($B40=2017,6,IF($B40=2018,7,IF($B40=2019,8,IF($B40=2020,9,0))))))),FALSE)</f>
        <v>2.4954338651265763E-3</v>
      </c>
      <c r="I40" s="546">
        <f>VLOOKUP($A40,EFPMS!$A$1:$J$44,(IF($B40=2015,4,IF($B40=2016,5,IF($B40=2017,6,IF($B40=2018,7,IF($B40=2019,8,IF($B40=2020,9,0))))))),FALSE)</f>
        <v>2.0522530022613474E-2</v>
      </c>
      <c r="J40" s="536">
        <f t="shared" si="15"/>
        <v>1.8265051720125991E-2</v>
      </c>
      <c r="K40" s="549">
        <f>VLOOKUP($A40,EFCO2S!$A$1:$J$44,(IF($B40=2015,4,IF($B40=2016,5,IF($B40=2017,6,IF($B40=2018,7,IF($B40=2019,8,IF($B40=2020,9,0))))))),FALSE)</f>
        <v>254.23847108919361</v>
      </c>
      <c r="L40" s="546">
        <f>VLOOKUP($A40,EFCH4S!$A$1:$J$44,(IF($B40=2015,4,IF($B40=2016,5,IF($B40=2017,6,IF($B40=2018,7,IF($B40=2019,8,IF($B40=2020,9,0))))))),FALSE)</f>
        <v>1.0126092850486785E-2</v>
      </c>
      <c r="M40" s="540">
        <f t="shared" si="16"/>
        <v>5.5599912429096662E-2</v>
      </c>
      <c r="N40" s="135">
        <v>2</v>
      </c>
      <c r="O40" s="135">
        <v>6</v>
      </c>
      <c r="P40" s="109">
        <f t="shared" si="18"/>
        <v>66</v>
      </c>
      <c r="Q40" s="39">
        <f t="shared" si="17"/>
        <v>1.0827096710062907</v>
      </c>
      <c r="R40" s="29">
        <f t="shared" si="17"/>
        <v>6.184153724836885</v>
      </c>
      <c r="S40" s="29">
        <f t="shared" si="17"/>
        <v>7.0231468331490525</v>
      </c>
      <c r="T40" s="29">
        <f t="shared" si="17"/>
        <v>2.9945206381518916E-2</v>
      </c>
      <c r="U40" s="29">
        <f t="shared" si="17"/>
        <v>0.24627036027136168</v>
      </c>
      <c r="V40" s="29">
        <f t="shared" si="17"/>
        <v>0.21918062064151189</v>
      </c>
      <c r="W40" s="29">
        <f t="shared" si="17"/>
        <v>3050.8616530703234</v>
      </c>
      <c r="X40" s="29">
        <f t="shared" si="17"/>
        <v>0.12151311420584142</v>
      </c>
      <c r="Y40" s="29">
        <f t="shared" si="17"/>
        <v>0.66719894914915989</v>
      </c>
    </row>
    <row r="41" spans="1:25" s="3" customFormat="1" x14ac:dyDescent="0.25">
      <c r="A41" s="19" t="s">
        <v>38</v>
      </c>
      <c r="B41" s="34"/>
      <c r="C41" s="25"/>
      <c r="D41" s="20"/>
      <c r="E41" s="26"/>
      <c r="F41" s="26"/>
      <c r="G41" s="26"/>
      <c r="H41" s="26"/>
      <c r="I41" s="26"/>
      <c r="J41" s="27"/>
      <c r="K41" s="28"/>
      <c r="L41" s="26"/>
      <c r="M41" s="38"/>
      <c r="N41" s="135"/>
      <c r="O41" s="135"/>
      <c r="P41" s="136"/>
      <c r="Q41" s="138">
        <f t="shared" ref="Q41:Y41" si="19">SUM(Q38:Q40)</f>
        <v>2.5659480304539528</v>
      </c>
      <c r="R41" s="138">
        <f t="shared" si="19"/>
        <v>15.876028715441791</v>
      </c>
      <c r="S41" s="138">
        <f t="shared" si="19"/>
        <v>16.993227365244433</v>
      </c>
      <c r="T41" s="138">
        <f t="shared" si="19"/>
        <v>6.7036044367966147E-2</v>
      </c>
      <c r="U41" s="138">
        <f t="shared" si="19"/>
        <v>0.68607794327142413</v>
      </c>
      <c r="V41" s="138">
        <f t="shared" si="19"/>
        <v>0.61060936951156741</v>
      </c>
      <c r="W41" s="138">
        <f t="shared" si="19"/>
        <v>6710.8725894092113</v>
      </c>
      <c r="X41" s="138">
        <f t="shared" si="19"/>
        <v>0.29021365495874224</v>
      </c>
      <c r="Y41" s="138">
        <f t="shared" si="19"/>
        <v>1.614356599698221</v>
      </c>
    </row>
    <row r="42" spans="1:25" s="3" customFormat="1" x14ac:dyDescent="0.25">
      <c r="A42" s="27"/>
      <c r="B42" s="34"/>
      <c r="C42" s="25"/>
      <c r="D42" s="20"/>
      <c r="E42" s="26"/>
      <c r="F42" s="26"/>
      <c r="G42" s="26"/>
      <c r="H42" s="26"/>
      <c r="I42" s="26"/>
      <c r="J42" s="27"/>
      <c r="K42" s="28"/>
      <c r="L42" s="26"/>
      <c r="M42" s="38"/>
      <c r="N42" s="135"/>
      <c r="O42" s="135"/>
      <c r="P42" s="136"/>
      <c r="Q42" s="39"/>
      <c r="R42" s="29"/>
      <c r="S42" s="29"/>
      <c r="T42" s="29"/>
      <c r="U42" s="29"/>
      <c r="V42" s="29"/>
      <c r="W42" s="29"/>
      <c r="X42" s="29"/>
      <c r="Y42" s="29"/>
    </row>
    <row r="43" spans="1:25" s="3" customFormat="1" x14ac:dyDescent="0.25">
      <c r="A43" s="19" t="s">
        <v>266</v>
      </c>
      <c r="B43" s="34">
        <v>2018</v>
      </c>
      <c r="C43" s="25"/>
      <c r="D43" s="20"/>
      <c r="E43" s="26"/>
      <c r="F43" s="26"/>
      <c r="G43" s="26"/>
      <c r="H43" s="26"/>
      <c r="I43" s="26"/>
      <c r="J43" s="27"/>
      <c r="K43" s="28"/>
      <c r="L43" s="26"/>
      <c r="M43" s="38"/>
      <c r="N43" s="135"/>
      <c r="O43" s="135"/>
      <c r="P43" s="136"/>
      <c r="Q43" s="39"/>
      <c r="R43" s="29"/>
      <c r="S43" s="29"/>
      <c r="T43" s="29"/>
      <c r="U43" s="29"/>
      <c r="V43" s="29"/>
      <c r="W43" s="29"/>
      <c r="X43" s="29"/>
      <c r="Y43" s="29"/>
    </row>
    <row r="44" spans="1:25" s="3" customFormat="1" x14ac:dyDescent="0.25">
      <c r="A44" s="27" t="s">
        <v>205</v>
      </c>
      <c r="B44" s="34">
        <v>2018</v>
      </c>
      <c r="C44" s="25">
        <v>235</v>
      </c>
      <c r="D44" s="134">
        <v>0.38</v>
      </c>
      <c r="E44" s="546">
        <f>VLOOKUP($A44,EFROGS!$A$1:$J$44,(IF($B44=2015,4,IF($B44=2016,5,IF($B44=2017,6,IF($B44=2018,7,IF($B44=2019,8,IF($B44=2020,9,0))))))),FALSE)</f>
        <v>8.119224107646289E-2</v>
      </c>
      <c r="F44" s="546">
        <f>VLOOKUP($A44,EFCOS!$A$1:$J$44,(IF($B44=2015,4,IF($B44=2016,5,IF($B44=2017,6,IF($B44=2018,7,IF($B44=2019,8,IF($B44=2020,9,0))))))),FALSE)</f>
        <v>0.37994200133931877</v>
      </c>
      <c r="G44" s="546">
        <f>VLOOKUP($A44,EFNOXS!$A$1:$J$44,(IF($B44=2015,4,IF($B44=2016,5,IF($B44=2017,6,IF($B44=2018,7,IF($B44=2019,8,IF($B44=2020,9,0))))))),FALSE)</f>
        <v>0.48394485675138055</v>
      </c>
      <c r="H44" s="546">
        <f>VLOOKUP($A44,EFSOXS!$A$1:$J$44,(IF($B44=2015,4,IF($B44=2016,5,IF($B44=2017,6,IF($B44=2018,7,IF($B44=2019,8,IF($B44=2020,9,0))))))),FALSE)</f>
        <v>1.873921930245647E-3</v>
      </c>
      <c r="I44" s="546">
        <f>VLOOKUP($A44,EFPMS!$A$1:$J$44,(IF($B44=2015,4,IF($B44=2016,5,IF($B44=2017,6,IF($B44=2018,7,IF($B44=2019,8,IF($B44=2020,9,0))))))),FALSE)</f>
        <v>1.6665559588840455E-2</v>
      </c>
      <c r="J44" s="536">
        <f t="shared" ref="J44:J49" si="20">0.89*I44</f>
        <v>1.4832348034068006E-2</v>
      </c>
      <c r="K44" s="549">
        <f>VLOOKUP($A44,EFCO2S!$A$1:$J$44,(IF($B44=2015,4,IF($B44=2016,5,IF($B44=2017,6,IF($B44=2018,7,IF($B44=2019,8,IF($B44=2020,9,0))))))),FALSE)</f>
        <v>166.54543379579488</v>
      </c>
      <c r="L44" s="546">
        <f>VLOOKUP($A44,EFCH4S!$A$1:$J$44,(IF($B44=2015,4,IF($B44=2016,5,IF($B44=2017,6,IF($B44=2018,7,IF($B44=2019,8,IF($B44=2020,9,0))))))),FALSE)</f>
        <v>9.3996999235005617E-3</v>
      </c>
      <c r="M44" s="540">
        <f t="shared" ref="M44:M49" si="21">0.095*G44</f>
        <v>4.5974761391381153E-2</v>
      </c>
      <c r="N44" s="135">
        <v>1</v>
      </c>
      <c r="O44" s="135">
        <v>2</v>
      </c>
      <c r="P44" s="109">
        <f t="shared" ref="P44:P49" si="22">6*22</f>
        <v>132</v>
      </c>
      <c r="Q44" s="39">
        <f t="shared" ref="Q44:Y49" si="23">(E44*$N44*$O44)</f>
        <v>0.16238448215292578</v>
      </c>
      <c r="R44" s="29">
        <f t="shared" si="23"/>
        <v>0.75988400267863754</v>
      </c>
      <c r="S44" s="29">
        <f t="shared" si="23"/>
        <v>0.9678897135027611</v>
      </c>
      <c r="T44" s="29">
        <f t="shared" si="23"/>
        <v>3.7478438604912939E-3</v>
      </c>
      <c r="U44" s="29">
        <f t="shared" si="23"/>
        <v>3.3331119177680911E-2</v>
      </c>
      <c r="V44" s="29">
        <f t="shared" si="23"/>
        <v>2.9664696068136012E-2</v>
      </c>
      <c r="W44" s="29">
        <f t="shared" si="23"/>
        <v>333.09086759158976</v>
      </c>
      <c r="X44" s="29">
        <f t="shared" si="23"/>
        <v>1.8799399847001123E-2</v>
      </c>
      <c r="Y44" s="29">
        <f t="shared" si="23"/>
        <v>9.1949522782762305E-2</v>
      </c>
    </row>
    <row r="45" spans="1:25" s="3" customFormat="1" x14ac:dyDescent="0.25">
      <c r="A45" s="27" t="s">
        <v>163</v>
      </c>
      <c r="B45" s="34">
        <v>2018</v>
      </c>
      <c r="C45" s="25">
        <v>75</v>
      </c>
      <c r="D45" s="134">
        <v>0.31</v>
      </c>
      <c r="E45" s="546">
        <f>VLOOKUP($A45,EFROGS!$A$1:$J$44,(IF($B45=2015,4,IF($B45=2016,5,IF($B45=2017,6,IF($B45=2018,7,IF($B45=2019,8,IF($B45=2020,9,0))))))),FALSE)</f>
        <v>2.503304302758573E-2</v>
      </c>
      <c r="F45" s="546">
        <f>VLOOKUP($A45,EFCOS!$A$1:$J$44,(IF($B45=2015,4,IF($B45=2016,5,IF($B45=2017,6,IF($B45=2018,7,IF($B45=2019,8,IF($B45=2020,9,0))))))),FALSE)</f>
        <v>0.21923257911050123</v>
      </c>
      <c r="G45" s="546">
        <f>VLOOKUP($A45,EFNOXS!$A$1:$J$44,(IF($B45=2015,4,IF($B45=2016,5,IF($B45=2017,6,IF($B45=2018,7,IF($B45=2019,8,IF($B45=2020,9,0))))))),FALSE)</f>
        <v>0.18418335618414555</v>
      </c>
      <c r="H45" s="546">
        <f>VLOOKUP($A45,EFSOXS!$A$1:$J$44,(IF($B45=2015,4,IF($B45=2016,5,IF($B45=2017,6,IF($B45=2018,7,IF($B45=2019,8,IF($B45=2020,9,0))))))),FALSE)</f>
        <v>4.466019753080203E-4</v>
      </c>
      <c r="I45" s="546">
        <f>VLOOKUP($A45,EFPMS!$A$1:$J$44,(IF($B45=2015,4,IF($B45=2016,5,IF($B45=2017,6,IF($B45=2018,7,IF($B45=2019,8,IF($B45=2020,9,0))))))),FALSE)</f>
        <v>1.2096076420543793E-2</v>
      </c>
      <c r="J45" s="536">
        <f t="shared" si="20"/>
        <v>1.0765508014283977E-2</v>
      </c>
      <c r="K45" s="549">
        <f>VLOOKUP($A45,EFCO2S!$A$1:$J$44,(IF($B45=2015,4,IF($B45=2016,5,IF($B45=2017,6,IF($B45=2018,7,IF($B45=2019,8,IF($B45=2020,9,0))))))),FALSE)</f>
        <v>38.071830204285249</v>
      </c>
      <c r="L45" s="546">
        <f>VLOOKUP($A45,EFCH4S!$A$1:$J$44,(IF($B45=2015,4,IF($B45=2016,5,IF($B45=2017,6,IF($B45=2018,7,IF($B45=2019,8,IF($B45=2020,9,0))))))),FALSE)</f>
        <v>2.9492141591912126E-3</v>
      </c>
      <c r="M45" s="540">
        <f t="shared" si="21"/>
        <v>1.7497418837493828E-2</v>
      </c>
      <c r="N45" s="108">
        <v>2</v>
      </c>
      <c r="O45" s="108">
        <v>4</v>
      </c>
      <c r="P45" s="109">
        <f t="shared" si="22"/>
        <v>132</v>
      </c>
      <c r="Q45" s="39">
        <f t="shared" si="23"/>
        <v>0.20026434422068584</v>
      </c>
      <c r="R45" s="29">
        <f t="shared" si="23"/>
        <v>1.7538606328840098</v>
      </c>
      <c r="S45" s="29">
        <f t="shared" si="23"/>
        <v>1.4734668494731644</v>
      </c>
      <c r="T45" s="29">
        <f t="shared" si="23"/>
        <v>3.5728158024641624E-3</v>
      </c>
      <c r="U45" s="29">
        <f t="shared" si="23"/>
        <v>9.6768611364350346E-2</v>
      </c>
      <c r="V45" s="29">
        <f t="shared" si="23"/>
        <v>8.6124064114271814E-2</v>
      </c>
      <c r="W45" s="29">
        <f t="shared" si="23"/>
        <v>304.57464163428199</v>
      </c>
      <c r="X45" s="29">
        <f t="shared" si="23"/>
        <v>2.3593713273529701E-2</v>
      </c>
      <c r="Y45" s="29">
        <f t="shared" si="23"/>
        <v>0.13997935069995063</v>
      </c>
    </row>
    <row r="46" spans="1:25" s="3" customFormat="1" x14ac:dyDescent="0.25">
      <c r="A46" s="27" t="s">
        <v>209</v>
      </c>
      <c r="B46" s="34">
        <v>2018</v>
      </c>
      <c r="C46" s="25">
        <v>25</v>
      </c>
      <c r="D46" s="134">
        <v>1</v>
      </c>
      <c r="E46" s="546">
        <f>VLOOKUP($A46,EFROGS!$A$1:$J$44,(IF($B46=2015,4,IF($B46=2016,5,IF($B46=2017,6,IF($B46=2018,7,IF($B46=2019,8,IF($B46=2020,9,0))))))),FALSE)</f>
        <v>1.5945098772087649E-2</v>
      </c>
      <c r="F46" s="546">
        <f>VLOOKUP($A46,EFCOS!$A$1:$J$44,(IF($B46=2015,4,IF($B46=2016,5,IF($B46=2017,6,IF($B46=2018,7,IF($B46=2019,8,IF($B46=2020,9,0))))))),FALSE)</f>
        <v>0.10588694014040713</v>
      </c>
      <c r="G46" s="546">
        <f>VLOOKUP($A46,EFNOXS!$A$1:$J$44,(IF($B46=2015,4,IF($B46=2016,5,IF($B46=2017,6,IF($B46=2018,7,IF($B46=2019,8,IF($B46=2020,9,0))))))),FALSE)</f>
        <v>0.12840254691102099</v>
      </c>
      <c r="H46" s="546">
        <f>VLOOKUP($A46,EFSOXS!$A$1:$J$44,(IF($B46=2015,4,IF($B46=2016,5,IF($B46=2017,6,IF($B46=2018,7,IF($B46=2019,8,IF($B46=2020,9,0))))))),FALSE)</f>
        <v>1.6770235588901616E-4</v>
      </c>
      <c r="I46" s="546">
        <f>VLOOKUP($A46,EFPMS!$A$1:$J$44,(IF($B46=2015,4,IF($B46=2016,5,IF($B46=2017,6,IF($B46=2018,7,IF($B46=2019,8,IF($B46=2020,9,0))))))),FALSE)</f>
        <v>2.9641300934263879E-3</v>
      </c>
      <c r="J46" s="536">
        <f t="shared" si="20"/>
        <v>2.6380757831494851E-3</v>
      </c>
      <c r="K46" s="549">
        <f>VLOOKUP($A46,EFCO2S!$A$1:$J$44,(IF($B46=2015,4,IF($B46=2016,5,IF($B46=2017,6,IF($B46=2018,7,IF($B46=2019,8,IF($B46=2020,9,0))))))),FALSE)</f>
        <v>13.217291495541826</v>
      </c>
      <c r="L46" s="546">
        <f>VLOOKUP($A46,EFCH4S!$A$1:$J$44,(IF($B46=2015,4,IF($B46=2016,5,IF($B46=2017,6,IF($B46=2018,7,IF($B46=2019,8,IF($B46=2020,9,0))))))),FALSE)</f>
        <v>1.4387011113433123E-3</v>
      </c>
      <c r="M46" s="540">
        <f t="shared" si="21"/>
        <v>1.2198241956546995E-2</v>
      </c>
      <c r="N46" s="135">
        <v>1</v>
      </c>
      <c r="O46" s="135">
        <v>3</v>
      </c>
      <c r="P46" s="109">
        <f t="shared" si="22"/>
        <v>132</v>
      </c>
      <c r="Q46" s="39">
        <f t="shared" si="23"/>
        <v>4.7835296316262946E-2</v>
      </c>
      <c r="R46" s="29">
        <f t="shared" si="23"/>
        <v>0.3176608204212214</v>
      </c>
      <c r="S46" s="29">
        <f t="shared" si="23"/>
        <v>0.38520764073306296</v>
      </c>
      <c r="T46" s="29">
        <f t="shared" si="23"/>
        <v>5.0310706766704843E-4</v>
      </c>
      <c r="U46" s="29">
        <f t="shared" si="23"/>
        <v>8.8923902802791645E-3</v>
      </c>
      <c r="V46" s="29">
        <f t="shared" si="23"/>
        <v>7.9142273494484557E-3</v>
      </c>
      <c r="W46" s="29">
        <f t="shared" si="23"/>
        <v>39.651874486625474</v>
      </c>
      <c r="X46" s="29">
        <f t="shared" si="23"/>
        <v>4.3161033340299373E-3</v>
      </c>
      <c r="Y46" s="29">
        <f t="shared" si="23"/>
        <v>3.6594725869640986E-2</v>
      </c>
    </row>
    <row r="47" spans="1:25" s="3" customFormat="1" x14ac:dyDescent="0.25">
      <c r="A47" s="27" t="s">
        <v>197</v>
      </c>
      <c r="B47" s="34">
        <v>2018</v>
      </c>
      <c r="C47" s="134">
        <v>200</v>
      </c>
      <c r="D47" s="134">
        <v>0.36</v>
      </c>
      <c r="E47" s="546">
        <f>VLOOKUP($A47,EFROGS!$A$1:$J$44,(IF($B47=2015,4,IF($B47=2016,5,IF($B47=2017,6,IF($B47=2018,7,IF($B47=2019,8,IF($B47=2020,9,0))))))),FALSE)</f>
        <v>7.2887346010641285E-2</v>
      </c>
      <c r="F47" s="546">
        <f>VLOOKUP($A47,EFCOS!$A$1:$J$44,(IF($B47=2015,4,IF($B47=2016,5,IF($B47=2017,6,IF($B47=2018,7,IF($B47=2019,8,IF($B47=2020,9,0))))))),FALSE)</f>
        <v>0.33135948621040862</v>
      </c>
      <c r="G47" s="546">
        <f>VLOOKUP($A47,EFNOXS!$A$1:$J$44,(IF($B47=2015,4,IF($B47=2016,5,IF($B47=2017,6,IF($B47=2018,7,IF($B47=2019,8,IF($B47=2020,9,0))))))),FALSE)</f>
        <v>0.51421364396110203</v>
      </c>
      <c r="H47" s="546">
        <f>VLOOKUP($A47,EFSOXS!$A$1:$J$44,(IF($B47=2015,4,IF($B47=2016,5,IF($B47=2017,6,IF($B47=2018,7,IF($B47=2019,8,IF($B47=2020,9,0))))))),FALSE)</f>
        <v>1.6762429502385828E-3</v>
      </c>
      <c r="I47" s="546">
        <f>VLOOKUP($A47,EFPMS!$A$1:$J$44,(IF($B47=2015,4,IF($B47=2016,5,IF($B47=2017,6,IF($B47=2018,7,IF($B47=2019,8,IF($B47=2020,9,0))))))),FALSE)</f>
        <v>1.7760280708673921E-2</v>
      </c>
      <c r="J47" s="536">
        <f t="shared" si="20"/>
        <v>1.5806649830719791E-2</v>
      </c>
      <c r="K47" s="549">
        <f>VLOOKUP($A47,EFCO2S!$A$1:$J$44,(IF($B47=2015,4,IF($B47=2016,5,IF($B47=2017,6,IF($B47=2018,7,IF($B47=2019,8,IF($B47=2020,9,0))))))),FALSE)</f>
        <v>148.97670143852574</v>
      </c>
      <c r="L47" s="546">
        <f>VLOOKUP($A47,EFCH4S!$A$1:$J$44,(IF($B47=2015,4,IF($B47=2016,5,IF($B47=2017,6,IF($B47=2018,7,IF($B47=2019,8,IF($B47=2020,9,0))))))),FALSE)</f>
        <v>8.5356955520187617E-3</v>
      </c>
      <c r="M47" s="540">
        <f t="shared" si="21"/>
        <v>4.8850296176304694E-2</v>
      </c>
      <c r="N47" s="135">
        <v>1</v>
      </c>
      <c r="O47" s="135">
        <v>3</v>
      </c>
      <c r="P47" s="109">
        <f t="shared" si="22"/>
        <v>132</v>
      </c>
      <c r="Q47" s="39">
        <f t="shared" si="23"/>
        <v>0.21866203803192386</v>
      </c>
      <c r="R47" s="29">
        <f t="shared" si="23"/>
        <v>0.9940784586312259</v>
      </c>
      <c r="S47" s="29">
        <f t="shared" si="23"/>
        <v>1.5426409318833061</v>
      </c>
      <c r="T47" s="29">
        <f t="shared" si="23"/>
        <v>5.0287288507157484E-3</v>
      </c>
      <c r="U47" s="29">
        <f t="shared" si="23"/>
        <v>5.3280842126021764E-2</v>
      </c>
      <c r="V47" s="29">
        <f t="shared" si="23"/>
        <v>4.7419949492159372E-2</v>
      </c>
      <c r="W47" s="29">
        <f t="shared" si="23"/>
        <v>446.93010431557718</v>
      </c>
      <c r="X47" s="29">
        <f t="shared" si="23"/>
        <v>2.5607086656056287E-2</v>
      </c>
      <c r="Y47" s="29">
        <f t="shared" si="23"/>
        <v>0.14655088852891407</v>
      </c>
    </row>
    <row r="48" spans="1:25" s="3" customFormat="1" x14ac:dyDescent="0.25">
      <c r="A48" s="37" t="s">
        <v>61</v>
      </c>
      <c r="B48" s="34">
        <v>2018</v>
      </c>
      <c r="C48" s="25">
        <v>235</v>
      </c>
      <c r="D48" s="25">
        <v>0.38</v>
      </c>
      <c r="E48" s="546">
        <f>VLOOKUP($A48,EFROGS!$A$1:$J$44,(IF($B48=2015,4,IF($B48=2016,5,IF($B48=2017,6,IF($B48=2018,7,IF($B48=2019,8,IF($B48=2020,9,0))))))),FALSE)</f>
        <v>8.119224107646289E-2</v>
      </c>
      <c r="F48" s="546">
        <f>VLOOKUP($A48,EFCOS!$A$1:$J$44,(IF($B48=2015,4,IF($B48=2016,5,IF($B48=2017,6,IF($B48=2018,7,IF($B48=2019,8,IF($B48=2020,9,0))))))),FALSE)</f>
        <v>0.37994200133931877</v>
      </c>
      <c r="G48" s="546">
        <f>VLOOKUP($A48,EFNOXS!$A$1:$J$44,(IF($B48=2015,4,IF($B48=2016,5,IF($B48=2017,6,IF($B48=2018,7,IF($B48=2019,8,IF($B48=2020,9,0))))))),FALSE)</f>
        <v>0.48394485675138055</v>
      </c>
      <c r="H48" s="546">
        <f>VLOOKUP($A48,EFSOXS!$A$1:$J$44,(IF($B48=2015,4,IF($B48=2016,5,IF($B48=2017,6,IF($B48=2018,7,IF($B48=2019,8,IF($B48=2020,9,0))))))),FALSE)</f>
        <v>1.873921930245647E-3</v>
      </c>
      <c r="I48" s="546">
        <f>VLOOKUP($A48,EFPMS!$A$1:$J$44,(IF($B48=2015,4,IF($B48=2016,5,IF($B48=2017,6,IF($B48=2018,7,IF($B48=2019,8,IF($B48=2020,9,0))))))),FALSE)</f>
        <v>1.6665559588840455E-2</v>
      </c>
      <c r="J48" s="536">
        <f t="shared" si="20"/>
        <v>1.4832348034068006E-2</v>
      </c>
      <c r="K48" s="549">
        <f>VLOOKUP($A48,EFCO2S!$A$1:$J$44,(IF($B48=2015,4,IF($B48=2016,5,IF($B48=2017,6,IF($B48=2018,7,IF($B48=2019,8,IF($B48=2020,9,0))))))),FALSE)</f>
        <v>166.54543379579488</v>
      </c>
      <c r="L48" s="546">
        <f>VLOOKUP($A48,EFCH4S!$A$1:$J$44,(IF($B48=2015,4,IF($B48=2016,5,IF($B48=2017,6,IF($B48=2018,7,IF($B48=2019,8,IF($B48=2020,9,0))))))),FALSE)</f>
        <v>9.3996999235005617E-3</v>
      </c>
      <c r="M48" s="540">
        <f t="shared" si="21"/>
        <v>4.5974761391381153E-2</v>
      </c>
      <c r="N48" s="108">
        <v>1</v>
      </c>
      <c r="O48" s="108">
        <v>2</v>
      </c>
      <c r="P48" s="109">
        <f t="shared" si="22"/>
        <v>132</v>
      </c>
      <c r="Q48" s="39">
        <f t="shared" si="23"/>
        <v>0.16238448215292578</v>
      </c>
      <c r="R48" s="29">
        <f t="shared" si="23"/>
        <v>0.75988400267863754</v>
      </c>
      <c r="S48" s="29">
        <f t="shared" si="23"/>
        <v>0.9678897135027611</v>
      </c>
      <c r="T48" s="29">
        <f t="shared" si="23"/>
        <v>3.7478438604912939E-3</v>
      </c>
      <c r="U48" s="29">
        <f t="shared" si="23"/>
        <v>3.3331119177680911E-2</v>
      </c>
      <c r="V48" s="29">
        <f t="shared" si="23"/>
        <v>2.9664696068136012E-2</v>
      </c>
      <c r="W48" s="29">
        <f t="shared" si="23"/>
        <v>333.09086759158976</v>
      </c>
      <c r="X48" s="29">
        <f t="shared" si="23"/>
        <v>1.8799399847001123E-2</v>
      </c>
      <c r="Y48" s="29">
        <f t="shared" si="23"/>
        <v>9.1949522782762305E-2</v>
      </c>
    </row>
    <row r="49" spans="1:32" s="3" customFormat="1" x14ac:dyDescent="0.25">
      <c r="A49" s="27" t="s">
        <v>202</v>
      </c>
      <c r="B49" s="34">
        <v>2018</v>
      </c>
      <c r="C49" s="25">
        <v>399</v>
      </c>
      <c r="D49" s="25">
        <v>0.28999999999999998</v>
      </c>
      <c r="E49" s="546">
        <f>VLOOKUP($A49,EFROGS!$A$1:$J$44,(IF($B49=2015,4,IF($B49=2016,5,IF($B49=2017,6,IF($B49=2018,7,IF($B49=2019,8,IF($B49=2020,9,0))))))),FALSE)</f>
        <v>9.4826505737279188E-2</v>
      </c>
      <c r="F49" s="546">
        <f>VLOOKUP($A49,EFCOS!$A$1:$J$44,(IF($B49=2015,4,IF($B49=2016,5,IF($B49=2017,6,IF($B49=2018,7,IF($B49=2019,8,IF($B49=2020,9,0))))))),FALSE)</f>
        <v>0.45434236467617739</v>
      </c>
      <c r="G49" s="546">
        <f>VLOOKUP($A49,EFNOXS!$A$1:$J$44,(IF($B49=2015,4,IF($B49=2016,5,IF($B49=2017,6,IF($B49=2018,7,IF($B49=2019,8,IF($B49=2020,9,0))))))),FALSE)</f>
        <v>0.63535292909985608</v>
      </c>
      <c r="H49" s="546">
        <f>VLOOKUP($A49,EFSOXS!$A$1:$J$44,(IF($B49=2015,4,IF($B49=2016,5,IF($B49=2017,6,IF($B49=2018,7,IF($B49=2019,8,IF($B49=2020,9,0))))))),FALSE)</f>
        <v>1.7677529466161633E-3</v>
      </c>
      <c r="I49" s="546">
        <f>VLOOKUP($A49,EFPMS!$A$1:$J$44,(IF($B49=2015,4,IF($B49=2016,5,IF($B49=2017,6,IF($B49=2018,7,IF($B49=2019,8,IF($B49=2020,9,0))))))),FALSE)</f>
        <v>2.3360137726921776E-2</v>
      </c>
      <c r="J49" s="536">
        <f t="shared" si="20"/>
        <v>2.0790522576960381E-2</v>
      </c>
      <c r="K49" s="549">
        <f>VLOOKUP($A49,EFCO2S!$A$1:$J$44,(IF($B49=2015,4,IF($B49=2016,5,IF($B49=2017,6,IF($B49=2018,7,IF($B49=2019,8,IF($B49=2020,9,0))))))),FALSE)</f>
        <v>180.10127182932982</v>
      </c>
      <c r="L49" s="546">
        <f>VLOOKUP($A49,EFCH4S!$A$1:$J$44,(IF($B49=2015,4,IF($B49=2016,5,IF($B49=2017,6,IF($B49=2018,7,IF($B49=2019,8,IF($B49=2020,9,0))))))),FALSE)</f>
        <v>1.0841920844072756E-2</v>
      </c>
      <c r="M49" s="540">
        <f t="shared" si="21"/>
        <v>6.035852826448633E-2</v>
      </c>
      <c r="N49" s="108">
        <v>1</v>
      </c>
      <c r="O49" s="108">
        <v>3</v>
      </c>
      <c r="P49" s="109">
        <f t="shared" si="22"/>
        <v>132</v>
      </c>
      <c r="Q49" s="39">
        <f t="shared" si="23"/>
        <v>0.28447951721183756</v>
      </c>
      <c r="R49" s="29">
        <f t="shared" si="23"/>
        <v>1.3630270940285323</v>
      </c>
      <c r="S49" s="29">
        <f t="shared" si="23"/>
        <v>1.9060587872995682</v>
      </c>
      <c r="T49" s="29">
        <f t="shared" si="23"/>
        <v>5.3032588398484902E-3</v>
      </c>
      <c r="U49" s="29">
        <f t="shared" si="23"/>
        <v>7.0080413180765327E-2</v>
      </c>
      <c r="V49" s="29">
        <f t="shared" si="23"/>
        <v>6.2371567730881143E-2</v>
      </c>
      <c r="W49" s="29">
        <f t="shared" si="23"/>
        <v>540.30381548798948</v>
      </c>
      <c r="X49" s="29">
        <f t="shared" si="23"/>
        <v>3.2525762532218269E-2</v>
      </c>
      <c r="Y49" s="29">
        <f t="shared" si="23"/>
        <v>0.18107558479345898</v>
      </c>
    </row>
    <row r="50" spans="1:32" s="3" customFormat="1" x14ac:dyDescent="0.25">
      <c r="A50" s="35" t="s">
        <v>38</v>
      </c>
      <c r="B50" s="181"/>
      <c r="C50" s="182"/>
      <c r="D50" s="179"/>
      <c r="E50" s="183"/>
      <c r="F50" s="183"/>
      <c r="G50" s="183"/>
      <c r="H50" s="183"/>
      <c r="I50" s="183"/>
      <c r="J50" s="162"/>
      <c r="K50" s="184"/>
      <c r="L50" s="183"/>
      <c r="M50" s="185"/>
      <c r="N50" s="135"/>
      <c r="O50" s="135"/>
      <c r="P50" s="136"/>
      <c r="Q50" s="186">
        <f>SUM(Q44:Q49)</f>
        <v>1.0760101600865617</v>
      </c>
      <c r="R50" s="186">
        <f t="shared" ref="R50:Y50" si="24">SUM(R44:R49)</f>
        <v>5.9483950113222646</v>
      </c>
      <c r="S50" s="186">
        <f t="shared" si="24"/>
        <v>7.2431536363946236</v>
      </c>
      <c r="T50" s="186">
        <f t="shared" si="24"/>
        <v>2.1903598281678038E-2</v>
      </c>
      <c r="U50" s="186">
        <f t="shared" si="24"/>
        <v>0.29568449530677843</v>
      </c>
      <c r="V50" s="186">
        <f t="shared" si="24"/>
        <v>0.26315920082303279</v>
      </c>
      <c r="W50" s="186">
        <f t="shared" si="24"/>
        <v>1997.6421711076537</v>
      </c>
      <c r="X50" s="186">
        <f t="shared" si="24"/>
        <v>0.12364146548983644</v>
      </c>
      <c r="Y50" s="186">
        <f t="shared" si="24"/>
        <v>0.68809959545748922</v>
      </c>
    </row>
    <row r="51" spans="1:32" s="6" customFormat="1" x14ac:dyDescent="0.25">
      <c r="A51" s="187" t="s">
        <v>632</v>
      </c>
      <c r="B51" s="134"/>
      <c r="C51" s="25"/>
      <c r="D51" s="25"/>
      <c r="E51" s="26"/>
      <c r="F51" s="26"/>
      <c r="G51" s="26"/>
      <c r="H51" s="26"/>
      <c r="I51" s="26"/>
      <c r="J51" s="27"/>
      <c r="K51" s="28"/>
      <c r="L51" s="26"/>
      <c r="M51" s="26"/>
      <c r="N51" s="109"/>
      <c r="O51" s="109"/>
      <c r="P51" s="109"/>
      <c r="Q51" s="22">
        <f>Q41+Q50</f>
        <v>3.6419581905405147</v>
      </c>
      <c r="R51" s="22">
        <f t="shared" ref="R51:Y51" si="25">R41+R50</f>
        <v>21.824423726764056</v>
      </c>
      <c r="S51" s="22">
        <f t="shared" si="25"/>
        <v>24.236381001639057</v>
      </c>
      <c r="T51" s="22">
        <f t="shared" si="25"/>
        <v>8.8939642649644185E-2</v>
      </c>
      <c r="U51" s="22">
        <f t="shared" si="25"/>
        <v>0.98176243857820256</v>
      </c>
      <c r="V51" s="22">
        <f t="shared" si="25"/>
        <v>0.8737685703346002</v>
      </c>
      <c r="W51" s="22">
        <f t="shared" si="25"/>
        <v>8708.514760516864</v>
      </c>
      <c r="X51" s="22">
        <f t="shared" si="25"/>
        <v>0.41385512044857869</v>
      </c>
      <c r="Y51" s="22">
        <f t="shared" si="25"/>
        <v>2.3024561951557101</v>
      </c>
      <c r="AF51" s="7"/>
    </row>
    <row r="52" spans="1:32" s="6" customFormat="1" x14ac:dyDescent="0.25">
      <c r="A52"/>
      <c r="B52" s="1"/>
      <c r="C52" s="1"/>
      <c r="D52" s="1"/>
      <c r="E52" s="623" t="s">
        <v>2</v>
      </c>
      <c r="F52" s="623"/>
      <c r="G52" s="623"/>
      <c r="H52" s="623"/>
      <c r="I52" s="623"/>
      <c r="J52" s="623"/>
      <c r="K52" s="623"/>
      <c r="L52" s="623"/>
      <c r="M52"/>
      <c r="N52" s="3"/>
      <c r="O52"/>
      <c r="P52"/>
      <c r="Q52" s="4"/>
      <c r="R52" s="4"/>
      <c r="S52" s="4"/>
      <c r="T52" s="4"/>
      <c r="U52" s="4"/>
      <c r="V52" s="4"/>
      <c r="W52" s="5"/>
      <c r="X52" s="4"/>
      <c r="Y52" s="4"/>
      <c r="AF52" s="7"/>
    </row>
    <row r="53" spans="1:32" s="6" customFormat="1" ht="39.6" x14ac:dyDescent="0.25">
      <c r="A53" s="12" t="s">
        <v>131</v>
      </c>
      <c r="B53" s="13" t="s">
        <v>3</v>
      </c>
      <c r="C53" s="13" t="s">
        <v>4</v>
      </c>
      <c r="D53" s="1"/>
      <c r="E53" s="18" t="s">
        <v>27</v>
      </c>
      <c r="F53" s="18" t="s">
        <v>28</v>
      </c>
      <c r="G53" s="18" t="s">
        <v>29</v>
      </c>
      <c r="H53" s="18" t="s">
        <v>30</v>
      </c>
      <c r="I53" s="18" t="s">
        <v>31</v>
      </c>
      <c r="J53" s="18" t="s">
        <v>32</v>
      </c>
      <c r="K53" s="17" t="s">
        <v>33</v>
      </c>
      <c r="L53" s="18" t="s">
        <v>34</v>
      </c>
      <c r="M53" s="18" t="s">
        <v>35</v>
      </c>
      <c r="N53" s="3"/>
      <c r="O53"/>
      <c r="P53"/>
      <c r="Q53" s="4"/>
      <c r="R53" s="4"/>
      <c r="S53" s="4"/>
      <c r="T53" s="4"/>
      <c r="U53" s="4"/>
      <c r="V53" s="4"/>
      <c r="W53" s="5"/>
      <c r="X53" s="4"/>
      <c r="Y53" s="4"/>
      <c r="AF53" s="7"/>
    </row>
    <row r="54" spans="1:32" s="3" customFormat="1" x14ac:dyDescent="0.25">
      <c r="A54" s="12" t="str">
        <f t="shared" ref="A54:A65" si="26">A7</f>
        <v>Trans: Rancho San Juan to San Juan Capistrano - Site Grading</v>
      </c>
      <c r="B54" s="36"/>
      <c r="C54" s="20"/>
      <c r="D54" s="1"/>
      <c r="E54" s="30"/>
      <c r="F54" s="30"/>
      <c r="G54" s="30"/>
      <c r="H54" s="30"/>
      <c r="I54" s="30"/>
      <c r="J54" s="30"/>
      <c r="K54" s="30"/>
      <c r="L54" s="30"/>
      <c r="M54" s="30"/>
      <c r="O54"/>
      <c r="P54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 t="str">
        <f t="shared" si="26"/>
        <v>Bulldozer</v>
      </c>
      <c r="B55" s="36"/>
      <c r="C55" s="20"/>
      <c r="D55" s="1"/>
      <c r="E55" s="30">
        <f t="shared" ref="E55:E65" si="27">(Q8*$P8)/2000</f>
        <v>3.7047147964043473E-2</v>
      </c>
      <c r="F55" s="30">
        <f t="shared" ref="F55:F65" si="28">(R8*$P8)/2000</f>
        <v>0.16149825619630861</v>
      </c>
      <c r="G55" s="30">
        <f t="shared" ref="G55:G65" si="29">(S8*$P8)/2000</f>
        <v>0.30339773840169376</v>
      </c>
      <c r="H55" s="30">
        <f t="shared" ref="H55:H65" si="30">(T8*$P8)/2000</f>
        <v>3.4317495227258811E-4</v>
      </c>
      <c r="I55" s="30">
        <f t="shared" ref="I55:I65" si="31">(U8*$P8)/2000</f>
        <v>1.2384771189160308E-2</v>
      </c>
      <c r="J55" s="30">
        <f t="shared" ref="J55:J65" si="32">(V8*$P8)/2000</f>
        <v>1.1022446358352672E-2</v>
      </c>
      <c r="K55" s="30">
        <f t="shared" ref="K55:K65" si="33">(W8*$P8)/2000</f>
        <v>34.963178404719613</v>
      </c>
      <c r="L55" s="30">
        <f t="shared" ref="L55:L65" si="34">(X8*$P8)/2000</f>
        <v>3.4915511061331347E-3</v>
      </c>
      <c r="M55" s="30">
        <f t="shared" ref="M55:M65" si="35">(Y8*$P8)/2000</f>
        <v>2.8822785148160907E-2</v>
      </c>
      <c r="O55"/>
      <c r="P55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37" t="str">
        <f t="shared" si="26"/>
        <v>Road Grader/Blade</v>
      </c>
      <c r="B56" s="36"/>
      <c r="C56" s="20"/>
      <c r="D56" s="1"/>
      <c r="E56" s="30">
        <f t="shared" si="27"/>
        <v>1.412423607049167E-2</v>
      </c>
      <c r="F56" s="30">
        <f t="shared" si="28"/>
        <v>5.159800435496871E-2</v>
      </c>
      <c r="G56" s="30">
        <f t="shared" si="29"/>
        <v>0.11712341325574673</v>
      </c>
      <c r="H56" s="30">
        <f t="shared" si="30"/>
        <v>1.9821677587543785E-4</v>
      </c>
      <c r="I56" s="30">
        <f t="shared" si="31"/>
        <v>4.1642946375240958E-3</v>
      </c>
      <c r="J56" s="30">
        <f t="shared" si="32"/>
        <v>3.7062222273964453E-3</v>
      </c>
      <c r="K56" s="30">
        <f t="shared" si="33"/>
        <v>20.194618755970367</v>
      </c>
      <c r="L56" s="30">
        <f t="shared" si="34"/>
        <v>1.3229725249129293E-3</v>
      </c>
      <c r="M56" s="30">
        <f t="shared" si="35"/>
        <v>1.1126724259295938E-2</v>
      </c>
      <c r="O56"/>
      <c r="P56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 t="str">
        <f t="shared" si="26"/>
        <v>Scraper</v>
      </c>
      <c r="B57" s="36"/>
      <c r="C57" s="20"/>
      <c r="D57" s="1"/>
      <c r="E57" s="30">
        <f t="shared" si="27"/>
        <v>2.4327777522717538E-2</v>
      </c>
      <c r="F57" s="30">
        <f t="shared" si="28"/>
        <v>9.3589700432429673E-2</v>
      </c>
      <c r="G57" s="30">
        <f t="shared" si="29"/>
        <v>0.20395509595284808</v>
      </c>
      <c r="H57" s="30">
        <f t="shared" si="30"/>
        <v>2.7763341886611486E-4</v>
      </c>
      <c r="I57" s="30">
        <f t="shared" si="31"/>
        <v>7.7956532491315492E-3</v>
      </c>
      <c r="J57" s="30">
        <f t="shared" si="32"/>
        <v>6.938131391727078E-3</v>
      </c>
      <c r="K57" s="30">
        <f t="shared" si="33"/>
        <v>28.285704511623315</v>
      </c>
      <c r="L57" s="30">
        <f t="shared" si="34"/>
        <v>2.2889170463679799E-3</v>
      </c>
      <c r="M57" s="30">
        <f t="shared" si="35"/>
        <v>1.9375734115520564E-2</v>
      </c>
      <c r="O57"/>
      <c r="P57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37" t="str">
        <f t="shared" si="26"/>
        <v>Compactor</v>
      </c>
      <c r="B58" s="36"/>
      <c r="C58" s="20"/>
      <c r="D58" s="1"/>
      <c r="E58" s="30">
        <f t="shared" si="27"/>
        <v>1.4070355460193385E-2</v>
      </c>
      <c r="F58" s="30">
        <f t="shared" si="28"/>
        <v>4.8425941706638331E-2</v>
      </c>
      <c r="G58" s="30">
        <f t="shared" si="29"/>
        <v>0.13935922189600122</v>
      </c>
      <c r="H58" s="30">
        <f t="shared" si="30"/>
        <v>2.2737310185415427E-4</v>
      </c>
      <c r="I58" s="30">
        <f t="shared" si="31"/>
        <v>4.6374162418237512E-3</v>
      </c>
      <c r="J58" s="30">
        <f t="shared" si="32"/>
        <v>4.1273004552231391E-3</v>
      </c>
      <c r="K58" s="30">
        <f t="shared" si="33"/>
        <v>20.207851715939039</v>
      </c>
      <c r="L58" s="30">
        <f t="shared" si="34"/>
        <v>1.3179840565518267E-3</v>
      </c>
      <c r="M58" s="30">
        <f t="shared" si="35"/>
        <v>1.3239126080120114E-2</v>
      </c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26"/>
        <v>Loader</v>
      </c>
      <c r="B59" s="36"/>
      <c r="C59" s="20"/>
      <c r="D59" s="1"/>
      <c r="E59" s="30">
        <f t="shared" si="27"/>
        <v>4.2517822694634007E-2</v>
      </c>
      <c r="F59" s="30">
        <f t="shared" si="28"/>
        <v>0.13772717836300974</v>
      </c>
      <c r="G59" s="30">
        <f t="shared" si="29"/>
        <v>0.37678639518344181</v>
      </c>
      <c r="H59" s="30">
        <f t="shared" si="30"/>
        <v>6.637922768749936E-4</v>
      </c>
      <c r="I59" s="30">
        <f t="shared" si="31"/>
        <v>1.2719730890132588E-2</v>
      </c>
      <c r="J59" s="30">
        <f t="shared" si="32"/>
        <v>1.1320560492218006E-2</v>
      </c>
      <c r="K59" s="30">
        <f t="shared" si="33"/>
        <v>58.994751236229057</v>
      </c>
      <c r="L59" s="30">
        <f t="shared" si="34"/>
        <v>3.9964363983180902E-3</v>
      </c>
      <c r="M59" s="30">
        <f t="shared" si="35"/>
        <v>3.5794707542426966E-2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26"/>
        <v>Water Truck</v>
      </c>
      <c r="B60" s="36"/>
      <c r="C60" s="20"/>
      <c r="D60" s="1"/>
      <c r="E60" s="30">
        <f t="shared" si="27"/>
        <v>2.3744411619646671E-2</v>
      </c>
      <c r="F60" s="30">
        <f t="shared" si="28"/>
        <v>7.3404553967347227E-2</v>
      </c>
      <c r="G60" s="30">
        <f t="shared" si="29"/>
        <v>0.18684921373886632</v>
      </c>
      <c r="H60" s="30">
        <f t="shared" si="30"/>
        <v>3.7103642785705614E-4</v>
      </c>
      <c r="I60" s="30">
        <f t="shared" si="31"/>
        <v>6.1857258477104214E-3</v>
      </c>
      <c r="J60" s="30">
        <f t="shared" si="32"/>
        <v>5.5052960044622767E-3</v>
      </c>
      <c r="K60" s="30">
        <f t="shared" si="33"/>
        <v>32.975988177223449</v>
      </c>
      <c r="L60" s="30">
        <f t="shared" si="34"/>
        <v>2.2358804329361574E-3</v>
      </c>
      <c r="M60" s="30">
        <f t="shared" si="35"/>
        <v>1.7750675305192296E-2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26"/>
        <v>Dump/Haul Truck</v>
      </c>
      <c r="B61" s="36"/>
      <c r="C61" s="20"/>
      <c r="D61" s="1"/>
      <c r="E61" s="30">
        <f t="shared" si="27"/>
        <v>2.1168069587834074E-2</v>
      </c>
      <c r="F61" s="30">
        <f t="shared" si="28"/>
        <v>6.6398545325472652E-2</v>
      </c>
      <c r="G61" s="30">
        <f t="shared" si="29"/>
        <v>0.16675168205359545</v>
      </c>
      <c r="H61" s="30">
        <f t="shared" si="30"/>
        <v>3.2981015809516103E-4</v>
      </c>
      <c r="I61" s="30">
        <f t="shared" si="31"/>
        <v>5.5050578963775189E-3</v>
      </c>
      <c r="J61" s="30">
        <f t="shared" si="32"/>
        <v>4.899501527775991E-3</v>
      </c>
      <c r="K61" s="30">
        <f t="shared" si="33"/>
        <v>29.311989490865287</v>
      </c>
      <c r="L61" s="30">
        <f t="shared" si="34"/>
        <v>1.987449273721029E-3</v>
      </c>
      <c r="M61" s="30">
        <f t="shared" si="35"/>
        <v>1.584140979509157E-2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26"/>
        <v>Excavator</v>
      </c>
      <c r="B62" s="36"/>
      <c r="C62" s="20"/>
      <c r="D62" s="1"/>
      <c r="E62" s="30">
        <f t="shared" si="27"/>
        <v>4.0012562123125338E-2</v>
      </c>
      <c r="F62" s="30">
        <f t="shared" si="28"/>
        <v>0.13313402614557418</v>
      </c>
      <c r="G62" s="30">
        <f t="shared" si="29"/>
        <v>0.29638712156585789</v>
      </c>
      <c r="H62" s="30">
        <f t="shared" si="30"/>
        <v>6.0566592337744874E-4</v>
      </c>
      <c r="I62" s="30">
        <f t="shared" si="31"/>
        <v>1.0415335631493449E-2</v>
      </c>
      <c r="J62" s="30">
        <f t="shared" si="32"/>
        <v>9.2696487120291684E-3</v>
      </c>
      <c r="K62" s="30">
        <f t="shared" si="33"/>
        <v>61.706127032103353</v>
      </c>
      <c r="L62" s="30">
        <f t="shared" si="34"/>
        <v>3.7561717921589764E-3</v>
      </c>
      <c r="M62" s="30">
        <f t="shared" si="35"/>
        <v>2.81567765487565E-2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26"/>
        <v>Drill Rig</v>
      </c>
      <c r="B63" s="36"/>
      <c r="C63" s="20"/>
      <c r="D63" s="1"/>
      <c r="E63" s="30">
        <f t="shared" si="27"/>
        <v>3.1952207951833483E-3</v>
      </c>
      <c r="F63" s="30">
        <f t="shared" si="28"/>
        <v>4.0562545282817747E-2</v>
      </c>
      <c r="G63" s="30">
        <f t="shared" si="29"/>
        <v>3.2225507422732433E-2</v>
      </c>
      <c r="H63" s="30">
        <f t="shared" si="30"/>
        <v>7.9611660493802549E-5</v>
      </c>
      <c r="I63" s="30">
        <f t="shared" si="31"/>
        <v>1.347664973592155E-3</v>
      </c>
      <c r="J63" s="30">
        <f t="shared" si="32"/>
        <v>1.1994218264970177E-3</v>
      </c>
      <c r="K63" s="30">
        <f t="shared" si="33"/>
        <v>6.7867155250826894</v>
      </c>
      <c r="L63" s="30">
        <f t="shared" si="34"/>
        <v>2.9818504829551317E-4</v>
      </c>
      <c r="M63" s="30">
        <f t="shared" si="35"/>
        <v>3.0614232051595818E-3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26"/>
        <v>Small Crane</v>
      </c>
      <c r="B64" s="36"/>
      <c r="C64" s="20"/>
      <c r="D64" s="1"/>
      <c r="E64" s="30">
        <f t="shared" si="27"/>
        <v>6.7198140513116201E-3</v>
      </c>
      <c r="F64" s="30">
        <f t="shared" si="28"/>
        <v>3.0536534858498676E-2</v>
      </c>
      <c r="G64" s="30">
        <f t="shared" si="29"/>
        <v>4.0836899015404708E-2</v>
      </c>
      <c r="H64" s="30">
        <f t="shared" si="30"/>
        <v>5.1766997656062931E-5</v>
      </c>
      <c r="I64" s="30">
        <f t="shared" si="31"/>
        <v>3.4728922872865765E-3</v>
      </c>
      <c r="J64" s="30">
        <f t="shared" si="32"/>
        <v>3.0908741356850534E-3</v>
      </c>
      <c r="K64" s="30">
        <f t="shared" si="33"/>
        <v>4.4130202720259089</v>
      </c>
      <c r="L64" s="30">
        <f t="shared" si="34"/>
        <v>6.3542411493885693E-4</v>
      </c>
      <c r="M64" s="30">
        <f t="shared" si="35"/>
        <v>3.8795054064634476E-3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37" t="str">
        <f t="shared" si="26"/>
        <v>Concrete Trucks</v>
      </c>
      <c r="B65" s="36"/>
      <c r="C65" s="20"/>
      <c r="D65" s="1"/>
      <c r="E65" s="30">
        <f t="shared" si="27"/>
        <v>5.2920173969585186E-3</v>
      </c>
      <c r="F65" s="30">
        <f t="shared" si="28"/>
        <v>1.6599636331368163E-2</v>
      </c>
      <c r="G65" s="30">
        <f t="shared" si="29"/>
        <v>4.1687920513398861E-2</v>
      </c>
      <c r="H65" s="30">
        <f t="shared" si="30"/>
        <v>8.2452539523790257E-5</v>
      </c>
      <c r="I65" s="30">
        <f t="shared" si="31"/>
        <v>1.3762644740943797E-3</v>
      </c>
      <c r="J65" s="30">
        <f t="shared" si="32"/>
        <v>1.2248753819439977E-3</v>
      </c>
      <c r="K65" s="30">
        <f t="shared" si="33"/>
        <v>7.3279973727163217</v>
      </c>
      <c r="L65" s="30">
        <f t="shared" si="34"/>
        <v>4.9686231843025725E-4</v>
      </c>
      <c r="M65" s="30">
        <f t="shared" si="35"/>
        <v>3.9603524487728924E-3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2" t="str">
        <f t="shared" ref="A66" si="36">A19</f>
        <v>Subtotal</v>
      </c>
      <c r="B66" s="36"/>
      <c r="C66" s="20"/>
      <c r="D66" s="1"/>
      <c r="E66" s="24">
        <f>SUM(E55:E65)</f>
        <v>0.23221943528613961</v>
      </c>
      <c r="F66" s="24">
        <f t="shared" ref="F66:M66" si="37">SUM(F55:F65)</f>
        <v>0.85347492296443372</v>
      </c>
      <c r="G66" s="24">
        <f t="shared" si="37"/>
        <v>1.9053602089995874</v>
      </c>
      <c r="H66" s="24">
        <f t="shared" si="37"/>
        <v>3.2305342327466104E-3</v>
      </c>
      <c r="I66" s="24">
        <f t="shared" si="37"/>
        <v>7.0004807318326784E-2</v>
      </c>
      <c r="J66" s="24">
        <f t="shared" si="37"/>
        <v>6.230427851331085E-2</v>
      </c>
      <c r="K66" s="24">
        <f t="shared" si="37"/>
        <v>305.16794249449839</v>
      </c>
      <c r="L66" s="24">
        <f t="shared" si="37"/>
        <v>2.182783411276475E-2</v>
      </c>
      <c r="M66" s="24">
        <f t="shared" si="37"/>
        <v>0.18100921985496077</v>
      </c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37"/>
      <c r="B67" s="36"/>
      <c r="C67" s="20"/>
      <c r="D67" s="1"/>
      <c r="E67" s="30"/>
      <c r="F67" s="30"/>
      <c r="G67" s="30"/>
      <c r="H67" s="30"/>
      <c r="I67" s="30"/>
      <c r="J67" s="30"/>
      <c r="K67" s="30"/>
      <c r="L67" s="30"/>
      <c r="M67" s="30"/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2" t="str">
        <f t="shared" ref="A68:A73" si="38">A21</f>
        <v>Trans: Rancho San Juan to San Juan Capistrano - Foundation Installations</v>
      </c>
      <c r="B68" s="36"/>
      <c r="C68" s="20"/>
      <c r="D68" s="1"/>
      <c r="E68" s="30"/>
      <c r="F68" s="30"/>
      <c r="G68" s="30"/>
      <c r="H68" s="30"/>
      <c r="I68" s="30"/>
      <c r="J68" s="30"/>
      <c r="K68" s="30"/>
      <c r="L68" s="30"/>
      <c r="M68" s="30"/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38"/>
        <v>Concrete Trucks</v>
      </c>
      <c r="B69" s="36"/>
      <c r="C69" s="20"/>
      <c r="D69" s="1"/>
      <c r="E69" s="30">
        <f t="shared" ref="E69:M72" si="39">(Q22*$P22)/2000</f>
        <v>7.9380260954377783E-3</v>
      </c>
      <c r="F69" s="30">
        <f t="shared" si="39"/>
        <v>2.4899454497052248E-2</v>
      </c>
      <c r="G69" s="30">
        <f t="shared" si="39"/>
        <v>6.2531880770098289E-2</v>
      </c>
      <c r="H69" s="30">
        <f t="shared" si="39"/>
        <v>1.2367880928568537E-4</v>
      </c>
      <c r="I69" s="30">
        <f t="shared" si="39"/>
        <v>2.0643967111415697E-3</v>
      </c>
      <c r="J69" s="30">
        <f t="shared" si="39"/>
        <v>1.8373130729159967E-3</v>
      </c>
      <c r="K69" s="30">
        <f t="shared" si="39"/>
        <v>10.991996059074483</v>
      </c>
      <c r="L69" s="30">
        <f t="shared" si="39"/>
        <v>7.4529347764538587E-4</v>
      </c>
      <c r="M69" s="30">
        <f t="shared" si="39"/>
        <v>5.9405286731593386E-3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38"/>
        <v>Drill Rig</v>
      </c>
      <c r="B70" s="36"/>
      <c r="C70" s="20"/>
      <c r="D70" s="1"/>
      <c r="E70" s="30">
        <f t="shared" si="39"/>
        <v>4.7928311927750234E-3</v>
      </c>
      <c r="F70" s="30">
        <f t="shared" si="39"/>
        <v>6.0843817924226613E-2</v>
      </c>
      <c r="G70" s="30">
        <f t="shared" si="39"/>
        <v>4.8338261134098656E-2</v>
      </c>
      <c r="H70" s="30">
        <f t="shared" si="39"/>
        <v>1.1941749074070384E-4</v>
      </c>
      <c r="I70" s="30">
        <f t="shared" si="39"/>
        <v>2.0214974603882324E-3</v>
      </c>
      <c r="J70" s="30">
        <f t="shared" si="39"/>
        <v>1.7991327397455267E-3</v>
      </c>
      <c r="K70" s="30">
        <f t="shared" si="39"/>
        <v>10.180073287624033</v>
      </c>
      <c r="L70" s="30">
        <f t="shared" si="39"/>
        <v>4.472775724432697E-4</v>
      </c>
      <c r="M70" s="30">
        <f t="shared" si="39"/>
        <v>4.5921348077393731E-3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38"/>
        <v>CAT 416 Rubber Tire Backhoe</v>
      </c>
      <c r="B71" s="36"/>
      <c r="C71" s="20"/>
      <c r="D71" s="1"/>
      <c r="E71" s="30">
        <f t="shared" si="39"/>
        <v>1.5800693996846232E-2</v>
      </c>
      <c r="F71" s="30">
        <f t="shared" si="39"/>
        <v>7.9399469540052517E-2</v>
      </c>
      <c r="G71" s="30">
        <f t="shared" si="39"/>
        <v>9.9973973484176595E-2</v>
      </c>
      <c r="H71" s="30">
        <f t="shared" si="39"/>
        <v>1.3683497377350068E-4</v>
      </c>
      <c r="I71" s="30">
        <f t="shared" si="39"/>
        <v>8.1091331606277708E-3</v>
      </c>
      <c r="J71" s="30">
        <f t="shared" si="39"/>
        <v>7.2171285129587152E-3</v>
      </c>
      <c r="K71" s="30">
        <f t="shared" si="39"/>
        <v>11.664875379024876</v>
      </c>
      <c r="L71" s="30">
        <f t="shared" si="39"/>
        <v>1.4918260874180352E-3</v>
      </c>
      <c r="M71" s="30">
        <f t="shared" si="39"/>
        <v>9.4975274809967758E-3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37" t="str">
        <f t="shared" si="38"/>
        <v>Dump Trucks</v>
      </c>
      <c r="B72" s="36"/>
      <c r="C72" s="20"/>
      <c r="D72" s="1"/>
      <c r="E72" s="30">
        <f t="shared" si="39"/>
        <v>1.1907039143156668E-2</v>
      </c>
      <c r="F72" s="30">
        <f t="shared" si="39"/>
        <v>3.7349181745578365E-2</v>
      </c>
      <c r="G72" s="30">
        <f t="shared" si="39"/>
        <v>9.3797821155147426E-2</v>
      </c>
      <c r="H72" s="30">
        <f t="shared" si="39"/>
        <v>1.8551821392852807E-4</v>
      </c>
      <c r="I72" s="30">
        <f t="shared" si="39"/>
        <v>3.0965950667123541E-3</v>
      </c>
      <c r="J72" s="30">
        <f t="shared" si="39"/>
        <v>2.7559696093739953E-3</v>
      </c>
      <c r="K72" s="30">
        <f t="shared" si="39"/>
        <v>16.487994088611725</v>
      </c>
      <c r="L72" s="30">
        <f t="shared" si="39"/>
        <v>1.1179402164680787E-3</v>
      </c>
      <c r="M72" s="30">
        <f t="shared" si="39"/>
        <v>8.9107930097390067E-3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tr">
        <f t="shared" si="38"/>
        <v>Subtotal</v>
      </c>
      <c r="B73" s="36"/>
      <c r="C73" s="20"/>
      <c r="D73" s="1"/>
      <c r="E73" s="24">
        <f>SUM(E69:E72)</f>
        <v>4.0438590428215702E-2</v>
      </c>
      <c r="F73" s="24">
        <f t="shared" ref="F73:M73" si="40">SUM(F69:F72)</f>
        <v>0.20249192370690974</v>
      </c>
      <c r="G73" s="24">
        <f t="shared" si="40"/>
        <v>0.30464193654352101</v>
      </c>
      <c r="H73" s="24">
        <f t="shared" si="40"/>
        <v>5.6544948772841797E-4</v>
      </c>
      <c r="I73" s="24">
        <f t="shared" si="40"/>
        <v>1.5291622398869928E-2</v>
      </c>
      <c r="J73" s="24">
        <f t="shared" si="40"/>
        <v>1.3609543934994233E-2</v>
      </c>
      <c r="K73" s="24">
        <f t="shared" si="40"/>
        <v>49.324938814335113</v>
      </c>
      <c r="L73" s="24">
        <f t="shared" si="40"/>
        <v>3.8023373539747695E-3</v>
      </c>
      <c r="M73" s="24">
        <f t="shared" si="40"/>
        <v>2.8940983971634492E-2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2" t="s">
        <v>634</v>
      </c>
      <c r="B74" s="36"/>
      <c r="C74" s="20"/>
      <c r="D74" s="1"/>
      <c r="E74" s="24">
        <f>E66+E73</f>
        <v>0.27265802571435532</v>
      </c>
      <c r="F74" s="24">
        <f t="shared" ref="F74:M74" si="41">F66+F73</f>
        <v>1.0559668466713434</v>
      </c>
      <c r="G74" s="24">
        <f t="shared" si="41"/>
        <v>2.2100021455431085</v>
      </c>
      <c r="H74" s="24">
        <f t="shared" si="41"/>
        <v>3.7959837204750283E-3</v>
      </c>
      <c r="I74" s="24">
        <f t="shared" si="41"/>
        <v>8.5296429717196712E-2</v>
      </c>
      <c r="J74" s="24">
        <f t="shared" si="41"/>
        <v>7.5913822448305079E-2</v>
      </c>
      <c r="K74" s="24">
        <f t="shared" si="41"/>
        <v>354.49288130883349</v>
      </c>
      <c r="L74" s="24">
        <f t="shared" si="41"/>
        <v>2.5630171466739519E-2</v>
      </c>
      <c r="M74" s="24">
        <f t="shared" si="41"/>
        <v>0.20995020382659527</v>
      </c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37"/>
      <c r="B75" s="36"/>
      <c r="C75" s="20"/>
      <c r="D75" s="1"/>
      <c r="E75" s="30"/>
      <c r="F75" s="30"/>
      <c r="G75" s="30"/>
      <c r="H75" s="30"/>
      <c r="I75" s="30"/>
      <c r="J75" s="30"/>
      <c r="K75" s="30"/>
      <c r="L75" s="30"/>
      <c r="M75" s="30"/>
      <c r="O75" s="572"/>
      <c r="P75" s="572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2" t="str">
        <f t="shared" ref="A76:A81" si="42">A29</f>
        <v>Trans: Rancho San Juan to San Juan Capistrano - Steel Structure Installations</v>
      </c>
      <c r="B76" s="36"/>
      <c r="C76" s="20"/>
      <c r="D76" s="1"/>
      <c r="E76" s="30"/>
      <c r="F76" s="30"/>
      <c r="G76" s="30"/>
      <c r="H76" s="30"/>
      <c r="I76" s="30"/>
      <c r="J76" s="30"/>
      <c r="K76" s="30"/>
      <c r="L76" s="30"/>
      <c r="M76" s="30"/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42"/>
        <v>2-ton Flatbed Truck</v>
      </c>
      <c r="B77" s="36"/>
      <c r="C77" s="20"/>
      <c r="D77" s="1"/>
      <c r="E77" s="30">
        <f t="shared" ref="E77:M79" si="43">(Q30*$P30)/2000</f>
        <v>2.8745946104419638E-2</v>
      </c>
      <c r="F77" s="30">
        <f t="shared" si="43"/>
        <v>9.8187151298894312E-2</v>
      </c>
      <c r="G77" s="30">
        <f t="shared" si="43"/>
        <v>0.20775196548387165</v>
      </c>
      <c r="H77" s="30">
        <f t="shared" si="43"/>
        <v>4.9471534194995604E-4</v>
      </c>
      <c r="I77" s="30">
        <f t="shared" si="43"/>
        <v>6.9782711588924698E-3</v>
      </c>
      <c r="J77" s="30">
        <f t="shared" si="43"/>
        <v>6.2106613314142989E-3</v>
      </c>
      <c r="K77" s="30">
        <f t="shared" si="43"/>
        <v>43.967989724874656</v>
      </c>
      <c r="L77" s="30">
        <f t="shared" si="43"/>
        <v>2.8089423061118338E-3</v>
      </c>
      <c r="M77" s="30">
        <f t="shared" si="43"/>
        <v>1.9736436720967809E-2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42"/>
        <v>Crane</v>
      </c>
      <c r="B78" s="36"/>
      <c r="C78" s="20"/>
      <c r="D78" s="1"/>
      <c r="E78" s="30">
        <f t="shared" si="43"/>
        <v>4.8636259943334662E-2</v>
      </c>
      <c r="F78" s="30">
        <f t="shared" si="43"/>
        <v>0.18014995534136322</v>
      </c>
      <c r="G78" s="30">
        <f t="shared" si="43"/>
        <v>0.38521216431494798</v>
      </c>
      <c r="H78" s="30">
        <f t="shared" si="43"/>
        <v>7.0003029049345094E-4</v>
      </c>
      <c r="I78" s="30">
        <f t="shared" si="43"/>
        <v>1.3945664982494178E-2</v>
      </c>
      <c r="J78" s="30">
        <f t="shared" si="43"/>
        <v>1.2411641834419817E-2</v>
      </c>
      <c r="K78" s="30">
        <f t="shared" si="43"/>
        <v>71.320117324109802</v>
      </c>
      <c r="L78" s="30">
        <f t="shared" si="43"/>
        <v>4.7341866913380628E-3</v>
      </c>
      <c r="M78" s="30">
        <f t="shared" si="43"/>
        <v>3.6595155609920056E-2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42"/>
        <v>Manlift</v>
      </c>
      <c r="B79" s="36"/>
      <c r="C79" s="20"/>
      <c r="D79" s="1"/>
      <c r="E79" s="30">
        <f t="shared" si="43"/>
        <v>3.9967578338342025E-2</v>
      </c>
      <c r="F79" s="30">
        <f t="shared" si="43"/>
        <v>0.24389100751031373</v>
      </c>
      <c r="G79" s="30">
        <f t="shared" si="43"/>
        <v>0.28878610625190881</v>
      </c>
      <c r="H79" s="30">
        <f t="shared" si="43"/>
        <v>4.716115479008468E-4</v>
      </c>
      <c r="I79" s="30">
        <f t="shared" si="43"/>
        <v>2.0895920724178878E-2</v>
      </c>
      <c r="J79" s="30">
        <f t="shared" si="43"/>
        <v>1.8597369444519205E-2</v>
      </c>
      <c r="K79" s="30">
        <f t="shared" si="43"/>
        <v>40.203845308114026</v>
      </c>
      <c r="L79" s="30">
        <f t="shared" si="43"/>
        <v>3.9309310260365309E-3</v>
      </c>
      <c r="M79" s="30">
        <f t="shared" si="43"/>
        <v>2.7434680093931338E-2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37" t="str">
        <f t="shared" si="42"/>
        <v>Air Compressor</v>
      </c>
      <c r="B80" s="36"/>
      <c r="C80" s="20"/>
      <c r="D80" s="1"/>
      <c r="E80" s="30">
        <f t="shared" ref="E80" si="44">(Q33*$P33)/2000</f>
        <v>9.5090412678232858E-2</v>
      </c>
      <c r="F80" s="30">
        <f t="shared" ref="F80" si="45">(R33*$P33)/2000</f>
        <v>0.3896222885928709</v>
      </c>
      <c r="G80" s="30">
        <f t="shared" ref="G80" si="46">(S33*$P33)/2000</f>
        <v>0.3375707327206427</v>
      </c>
      <c r="H80" s="30">
        <f t="shared" ref="H80" si="47">(T33*$P33)/2000</f>
        <v>4.5605221519515816E-4</v>
      </c>
      <c r="I80" s="30">
        <f t="shared" ref="I80" si="48">(U33*$P33)/2000</f>
        <v>2.3818914652527522E-2</v>
      </c>
      <c r="J80" s="30">
        <f t="shared" ref="J80" si="49">(V33*$P33)/2000</f>
        <v>2.1198834040749494E-2</v>
      </c>
      <c r="K80" s="30">
        <f t="shared" ref="K80" si="50">(W33*$P33)/2000</f>
        <v>35.277669681419354</v>
      </c>
      <c r="L80" s="30">
        <f t="shared" ref="L80" si="51">(X33*$P33)/2000</f>
        <v>9.5331731372649692E-3</v>
      </c>
      <c r="M80" s="30">
        <f t="shared" ref="M80" si="52">(Y33*$P33)/2000</f>
        <v>3.2069219608461055E-2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2" t="str">
        <f t="shared" si="42"/>
        <v>Subtotal</v>
      </c>
      <c r="B81" s="36"/>
      <c r="C81" s="20"/>
      <c r="D81" s="1"/>
      <c r="E81" s="24">
        <f>SUM(E77:E80)</f>
        <v>0.21244019706432918</v>
      </c>
      <c r="F81" s="24">
        <f t="shared" ref="F81:M81" si="53">SUM(F77:F80)</f>
        <v>0.9118504027434422</v>
      </c>
      <c r="G81" s="24">
        <f t="shared" si="53"/>
        <v>1.2193209687713711</v>
      </c>
      <c r="H81" s="24">
        <f t="shared" si="53"/>
        <v>2.122409395539412E-3</v>
      </c>
      <c r="I81" s="24">
        <f t="shared" si="53"/>
        <v>6.5638771518093053E-2</v>
      </c>
      <c r="J81" s="24">
        <f t="shared" si="53"/>
        <v>5.8418506651102813E-2</v>
      </c>
      <c r="K81" s="24">
        <f t="shared" si="53"/>
        <v>190.76962203851784</v>
      </c>
      <c r="L81" s="24">
        <f t="shared" si="53"/>
        <v>2.1007233160751398E-2</v>
      </c>
      <c r="M81" s="24">
        <f t="shared" si="53"/>
        <v>0.11583549203328027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2" t="s">
        <v>635</v>
      </c>
      <c r="B82" s="36"/>
      <c r="C82" s="20"/>
      <c r="D82" s="1"/>
      <c r="E82" s="24">
        <f>E81</f>
        <v>0.21244019706432918</v>
      </c>
      <c r="F82" s="24">
        <f t="shared" ref="F82:M82" si="54">F81</f>
        <v>0.9118504027434422</v>
      </c>
      <c r="G82" s="24">
        <f t="shared" si="54"/>
        <v>1.2193209687713711</v>
      </c>
      <c r="H82" s="24">
        <f t="shared" si="54"/>
        <v>2.122409395539412E-3</v>
      </c>
      <c r="I82" s="24">
        <f t="shared" si="54"/>
        <v>6.5638771518093053E-2</v>
      </c>
      <c r="J82" s="24">
        <f t="shared" si="54"/>
        <v>5.8418506651102813E-2</v>
      </c>
      <c r="K82" s="24">
        <f t="shared" si="54"/>
        <v>190.76962203851784</v>
      </c>
      <c r="L82" s="24">
        <f t="shared" si="54"/>
        <v>2.1007233160751398E-2</v>
      </c>
      <c r="M82" s="24">
        <f t="shared" si="54"/>
        <v>0.11583549203328027</v>
      </c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/>
      <c r="B83" s="36"/>
      <c r="C83" s="20"/>
      <c r="D83" s="1"/>
      <c r="E83" s="30"/>
      <c r="F83" s="30"/>
      <c r="G83" s="30"/>
      <c r="H83" s="30"/>
      <c r="I83" s="30"/>
      <c r="J83" s="30"/>
      <c r="K83" s="30"/>
      <c r="L83" s="30"/>
      <c r="M83" s="30"/>
      <c r="O83" s="572"/>
      <c r="P83" s="572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2" t="str">
        <f t="shared" ref="A84:A87" si="55">A37</f>
        <v>Trans: Rancho San Juan to San Juan Capistrano - Cable/Conductor Pulling and Tensioning</v>
      </c>
      <c r="B84" s="36"/>
      <c r="C84" s="20"/>
      <c r="D84" s="1"/>
      <c r="E84" s="30"/>
      <c r="F84" s="30"/>
      <c r="G84" s="30"/>
      <c r="H84" s="30"/>
      <c r="I84" s="30"/>
      <c r="J84" s="30"/>
      <c r="K84" s="30"/>
      <c r="L84" s="30"/>
      <c r="M84" s="30"/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 t="shared" si="55"/>
        <v>Manlift</v>
      </c>
      <c r="B85" s="36"/>
      <c r="C85" s="20"/>
      <c r="D85" s="1"/>
      <c r="E85" s="30">
        <f t="shared" ref="E85:M87" si="56">(Q38*$P38)/2000</f>
        <v>1.3217446718565265E-2</v>
      </c>
      <c r="F85" s="30">
        <f t="shared" si="56"/>
        <v>0.11575480177034465</v>
      </c>
      <c r="G85" s="30">
        <f t="shared" si="56"/>
        <v>9.7248812065228854E-2</v>
      </c>
      <c r="H85" s="30">
        <f t="shared" si="56"/>
        <v>2.3580584296263471E-4</v>
      </c>
      <c r="I85" s="30">
        <f t="shared" si="56"/>
        <v>6.3867283500471227E-3</v>
      </c>
      <c r="J85" s="30">
        <f t="shared" si="56"/>
        <v>5.6841882315419399E-3</v>
      </c>
      <c r="K85" s="30">
        <f t="shared" si="56"/>
        <v>20.101926347862612</v>
      </c>
      <c r="L85" s="30">
        <f t="shared" si="56"/>
        <v>1.5571850760529601E-3</v>
      </c>
      <c r="M85" s="30">
        <f t="shared" si="56"/>
        <v>9.2386371461967414E-3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 t="shared" si="55"/>
        <v>Puller and Tensioner</v>
      </c>
      <c r="B86" s="36"/>
      <c r="C86" s="20"/>
      <c r="D86" s="1"/>
      <c r="E86" s="30">
        <f t="shared" si="56"/>
        <v>3.572941914320759E-2</v>
      </c>
      <c r="F86" s="30">
        <f t="shared" si="56"/>
        <v>0.20407707291961719</v>
      </c>
      <c r="G86" s="30">
        <f t="shared" si="56"/>
        <v>0.23176384549391874</v>
      </c>
      <c r="H86" s="30">
        <f t="shared" si="56"/>
        <v>9.8819181059012413E-4</v>
      </c>
      <c r="I86" s="30">
        <f t="shared" si="56"/>
        <v>8.1269218889549362E-3</v>
      </c>
      <c r="J86" s="30">
        <f t="shared" si="56"/>
        <v>7.2329604811698931E-3</v>
      </c>
      <c r="K86" s="30">
        <f t="shared" si="56"/>
        <v>100.67843455132068</v>
      </c>
      <c r="L86" s="30">
        <f t="shared" si="56"/>
        <v>4.0099327687927663E-3</v>
      </c>
      <c r="M86" s="30">
        <f t="shared" si="56"/>
        <v>2.2017565321922276E-2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 t="shared" si="55"/>
        <v>Reel Trailer</v>
      </c>
      <c r="B87" s="36"/>
      <c r="C87" s="20"/>
      <c r="D87" s="1"/>
      <c r="E87" s="30">
        <f t="shared" si="56"/>
        <v>3.572941914320759E-2</v>
      </c>
      <c r="F87" s="30">
        <f t="shared" si="56"/>
        <v>0.20407707291961719</v>
      </c>
      <c r="G87" s="30">
        <f t="shared" si="56"/>
        <v>0.23176384549391874</v>
      </c>
      <c r="H87" s="30">
        <f t="shared" si="56"/>
        <v>9.8819181059012413E-4</v>
      </c>
      <c r="I87" s="30">
        <f t="shared" si="56"/>
        <v>8.1269218889549362E-3</v>
      </c>
      <c r="J87" s="30">
        <f t="shared" si="56"/>
        <v>7.2329604811698931E-3</v>
      </c>
      <c r="K87" s="30">
        <f t="shared" si="56"/>
        <v>100.67843455132068</v>
      </c>
      <c r="L87" s="30">
        <f t="shared" si="56"/>
        <v>4.0099327687927663E-3</v>
      </c>
      <c r="M87" s="30">
        <f t="shared" si="56"/>
        <v>2.2017565321922276E-2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2" t="str">
        <f>A41</f>
        <v>Subtotal</v>
      </c>
      <c r="B88" s="36"/>
      <c r="C88" s="20"/>
      <c r="D88" s="1"/>
      <c r="E88" s="24">
        <f t="shared" ref="E88:M88" si="57">SUM(E85:E87)</f>
        <v>8.4676285004980451E-2</v>
      </c>
      <c r="F88" s="24">
        <f t="shared" si="57"/>
        <v>0.52390894760957907</v>
      </c>
      <c r="G88" s="24">
        <f t="shared" si="57"/>
        <v>0.56077650305306637</v>
      </c>
      <c r="H88" s="24">
        <f t="shared" si="57"/>
        <v>2.2121894641428828E-3</v>
      </c>
      <c r="I88" s="24">
        <f t="shared" si="57"/>
        <v>2.2640572127956997E-2</v>
      </c>
      <c r="J88" s="24">
        <f t="shared" si="57"/>
        <v>2.0150109193881726E-2</v>
      </c>
      <c r="K88" s="24">
        <f t="shared" si="57"/>
        <v>221.45879545050397</v>
      </c>
      <c r="L88" s="24">
        <f t="shared" si="57"/>
        <v>9.5770506136384926E-3</v>
      </c>
      <c r="M88" s="24">
        <f t="shared" si="57"/>
        <v>5.3273767790041296E-2</v>
      </c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37"/>
      <c r="B89" s="36"/>
      <c r="C89" s="20"/>
      <c r="D89" s="1"/>
      <c r="E89" s="30"/>
      <c r="F89" s="30"/>
      <c r="G89" s="30"/>
      <c r="H89" s="30"/>
      <c r="I89" s="30"/>
      <c r="J89" s="30"/>
      <c r="K89" s="30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2" t="str">
        <f t="shared" ref="A90:A97" si="58">A43</f>
        <v>Trans: Rancho San Juan to San Juan Capistrano - Removal of Wood Pole Structures</v>
      </c>
      <c r="B90" s="36"/>
      <c r="C90" s="20"/>
      <c r="D90" s="1"/>
      <c r="E90" s="30"/>
      <c r="F90" s="30"/>
      <c r="G90" s="30"/>
      <c r="H90" s="30"/>
      <c r="I90" s="30"/>
      <c r="J90" s="30"/>
      <c r="K90" s="30"/>
      <c r="L90" s="30"/>
      <c r="M90" s="30"/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58"/>
        <v>2-ton Flatbed Truck</v>
      </c>
      <c r="B91" s="36"/>
      <c r="C91" s="20"/>
      <c r="D91" s="1"/>
      <c r="E91" s="30">
        <f t="shared" ref="E91:M96" si="59">(Q44*$P44)/2000</f>
        <v>1.0717375822093101E-2</v>
      </c>
      <c r="F91" s="30">
        <f t="shared" si="59"/>
        <v>5.0152344176790084E-2</v>
      </c>
      <c r="G91" s="30">
        <f t="shared" si="59"/>
        <v>6.388072109118223E-2</v>
      </c>
      <c r="H91" s="30">
        <f t="shared" si="59"/>
        <v>2.4735769479242539E-4</v>
      </c>
      <c r="I91" s="30">
        <f t="shared" si="59"/>
        <v>2.1998538657269401E-3</v>
      </c>
      <c r="J91" s="30">
        <f t="shared" si="59"/>
        <v>1.9578699404969768E-3</v>
      </c>
      <c r="K91" s="30">
        <f t="shared" si="59"/>
        <v>21.983997261044923</v>
      </c>
      <c r="L91" s="30">
        <f t="shared" si="59"/>
        <v>1.240760389902074E-3</v>
      </c>
      <c r="M91" s="30">
        <f t="shared" si="59"/>
        <v>6.0686685036623125E-3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58"/>
        <v>Manlift</v>
      </c>
      <c r="B92" s="36"/>
      <c r="C92" s="20"/>
      <c r="D92" s="1"/>
      <c r="E92" s="30">
        <f t="shared" si="59"/>
        <v>1.3217446718565265E-2</v>
      </c>
      <c r="F92" s="30">
        <f t="shared" si="59"/>
        <v>0.11575480177034465</v>
      </c>
      <c r="G92" s="30">
        <f t="shared" si="59"/>
        <v>9.7248812065228854E-2</v>
      </c>
      <c r="H92" s="30">
        <f t="shared" si="59"/>
        <v>2.3580584296263471E-4</v>
      </c>
      <c r="I92" s="30">
        <f t="shared" si="59"/>
        <v>6.3867283500471227E-3</v>
      </c>
      <c r="J92" s="30">
        <f t="shared" si="59"/>
        <v>5.6841882315419399E-3</v>
      </c>
      <c r="K92" s="30">
        <f t="shared" si="59"/>
        <v>20.101926347862612</v>
      </c>
      <c r="L92" s="30">
        <f t="shared" si="59"/>
        <v>1.5571850760529601E-3</v>
      </c>
      <c r="M92" s="30">
        <f t="shared" si="59"/>
        <v>9.2386371461967414E-3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58"/>
        <v>Jackhammer</v>
      </c>
      <c r="B93" s="36"/>
      <c r="C93" s="20"/>
      <c r="D93" s="1"/>
      <c r="E93" s="30">
        <f t="shared" si="59"/>
        <v>3.1571295568733546E-3</v>
      </c>
      <c r="F93" s="30">
        <f t="shared" si="59"/>
        <v>2.0965614147800612E-2</v>
      </c>
      <c r="G93" s="30">
        <f t="shared" si="59"/>
        <v>2.5423704288382153E-2</v>
      </c>
      <c r="H93" s="30">
        <f t="shared" si="59"/>
        <v>3.3205066466025193E-5</v>
      </c>
      <c r="I93" s="30">
        <f t="shared" si="59"/>
        <v>5.8689775849842484E-4</v>
      </c>
      <c r="J93" s="30">
        <f t="shared" si="59"/>
        <v>5.2233900506359811E-4</v>
      </c>
      <c r="K93" s="30">
        <f t="shared" si="59"/>
        <v>2.6170237161172811</v>
      </c>
      <c r="L93" s="30">
        <f t="shared" si="59"/>
        <v>2.8486282004597582E-4</v>
      </c>
      <c r="M93" s="30">
        <f t="shared" si="59"/>
        <v>2.4152519073963054E-3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58"/>
        <v>Loader</v>
      </c>
      <c r="B94" s="36"/>
      <c r="C94" s="20"/>
      <c r="D94" s="1"/>
      <c r="E94" s="30">
        <f t="shared" si="59"/>
        <v>1.4431694510106974E-2</v>
      </c>
      <c r="F94" s="30">
        <f t="shared" si="59"/>
        <v>6.5609178269660923E-2</v>
      </c>
      <c r="G94" s="30">
        <f t="shared" si="59"/>
        <v>0.1018143015042982</v>
      </c>
      <c r="H94" s="30">
        <f t="shared" si="59"/>
        <v>3.3189610414723943E-4</v>
      </c>
      <c r="I94" s="30">
        <f t="shared" si="59"/>
        <v>3.5165355803174364E-3</v>
      </c>
      <c r="J94" s="30">
        <f t="shared" si="59"/>
        <v>3.1297166664825187E-3</v>
      </c>
      <c r="K94" s="30">
        <f t="shared" si="59"/>
        <v>29.497386884828096</v>
      </c>
      <c r="L94" s="30">
        <f t="shared" si="59"/>
        <v>1.6900677192997148E-3</v>
      </c>
      <c r="M94" s="30">
        <f t="shared" si="59"/>
        <v>9.672358642908328E-3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 t="str">
        <f t="shared" si="58"/>
        <v>Dump Trucks</v>
      </c>
      <c r="B95" s="36"/>
      <c r="C95" s="20"/>
      <c r="D95" s="1"/>
      <c r="E95" s="30">
        <f t="shared" si="59"/>
        <v>1.0717375822093101E-2</v>
      </c>
      <c r="F95" s="30">
        <f t="shared" si="59"/>
        <v>5.0152344176790084E-2</v>
      </c>
      <c r="G95" s="30">
        <f t="shared" si="59"/>
        <v>6.388072109118223E-2</v>
      </c>
      <c r="H95" s="30">
        <f t="shared" si="59"/>
        <v>2.4735769479242539E-4</v>
      </c>
      <c r="I95" s="30">
        <f t="shared" si="59"/>
        <v>2.1998538657269401E-3</v>
      </c>
      <c r="J95" s="30">
        <f t="shared" si="59"/>
        <v>1.9578699404969768E-3</v>
      </c>
      <c r="K95" s="30">
        <f t="shared" si="59"/>
        <v>21.983997261044923</v>
      </c>
      <c r="L95" s="30">
        <f t="shared" si="59"/>
        <v>1.240760389902074E-3</v>
      </c>
      <c r="M95" s="30">
        <f t="shared" si="59"/>
        <v>6.0686685036623125E-3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37" t="str">
        <f t="shared" si="58"/>
        <v>Crane</v>
      </c>
      <c r="B96" s="36"/>
      <c r="C96" s="20"/>
      <c r="D96" s="1"/>
      <c r="E96" s="30">
        <f t="shared" si="59"/>
        <v>1.8775648135981277E-2</v>
      </c>
      <c r="F96" s="30">
        <f t="shared" si="59"/>
        <v>8.9959788205883129E-2</v>
      </c>
      <c r="G96" s="30">
        <f t="shared" si="59"/>
        <v>0.1257998799617715</v>
      </c>
      <c r="H96" s="30">
        <f t="shared" si="59"/>
        <v>3.5001508343000039E-4</v>
      </c>
      <c r="I96" s="30">
        <f t="shared" si="59"/>
        <v>4.6253072699305123E-3</v>
      </c>
      <c r="J96" s="30">
        <f t="shared" si="59"/>
        <v>4.1165234702381552E-3</v>
      </c>
      <c r="K96" s="30">
        <f t="shared" si="59"/>
        <v>35.660051822207308</v>
      </c>
      <c r="L96" s="30">
        <f t="shared" si="59"/>
        <v>2.1467003271264055E-3</v>
      </c>
      <c r="M96" s="30">
        <f t="shared" si="59"/>
        <v>1.1950988596368292E-2</v>
      </c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44" t="str">
        <f t="shared" si="58"/>
        <v>Subtotal</v>
      </c>
      <c r="B97" s="178"/>
      <c r="C97" s="179"/>
      <c r="D97" s="1"/>
      <c r="E97" s="180">
        <f>SUM(E91:E96)</f>
        <v>7.1016670565713078E-2</v>
      </c>
      <c r="F97" s="24">
        <f t="shared" ref="F97:M97" si="60">SUM(F91:F96)</f>
        <v>0.39259407074726954</v>
      </c>
      <c r="G97" s="24">
        <f t="shared" si="60"/>
        <v>0.47804814000204515</v>
      </c>
      <c r="H97" s="24">
        <f t="shared" si="60"/>
        <v>1.4456374865907504E-3</v>
      </c>
      <c r="I97" s="24">
        <f t="shared" si="60"/>
        <v>1.9515176690247375E-2</v>
      </c>
      <c r="J97" s="24">
        <f t="shared" si="60"/>
        <v>1.7368507254320164E-2</v>
      </c>
      <c r="K97" s="24">
        <f t="shared" si="60"/>
        <v>131.84438329310512</v>
      </c>
      <c r="L97" s="24">
        <f t="shared" si="60"/>
        <v>8.1603367223292041E-3</v>
      </c>
      <c r="M97" s="24">
        <f t="shared" si="60"/>
        <v>4.5414573300194293E-2</v>
      </c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x14ac:dyDescent="0.25">
      <c r="A98" s="19" t="s">
        <v>636</v>
      </c>
      <c r="B98" s="158"/>
      <c r="C98" s="158"/>
      <c r="D98" s="158"/>
      <c r="E98" s="22">
        <f>E88+E97</f>
        <v>0.15569295557069351</v>
      </c>
      <c r="F98" s="22">
        <f t="shared" ref="F98:M98" si="61">F88+F97</f>
        <v>0.91650301835684855</v>
      </c>
      <c r="G98" s="22">
        <f t="shared" si="61"/>
        <v>1.0388246430551116</v>
      </c>
      <c r="H98" s="22">
        <f t="shared" si="61"/>
        <v>3.6578269507336332E-3</v>
      </c>
      <c r="I98" s="22">
        <f t="shared" si="61"/>
        <v>4.2155748818204372E-2</v>
      </c>
      <c r="J98" s="22">
        <f t="shared" si="61"/>
        <v>3.751861644820189E-2</v>
      </c>
      <c r="K98" s="22">
        <f t="shared" si="61"/>
        <v>353.30317874360912</v>
      </c>
      <c r="L98" s="22">
        <f t="shared" si="61"/>
        <v>1.7737387335967698E-2</v>
      </c>
      <c r="M98" s="22">
        <f t="shared" si="61"/>
        <v>9.8688341090235582E-2</v>
      </c>
    </row>
  </sheetData>
  <mergeCells count="3">
    <mergeCell ref="E3:L3"/>
    <mergeCell ref="Q3:X3"/>
    <mergeCell ref="E52:L52"/>
  </mergeCells>
  <pageMargins left="0.75" right="0.75" top="1" bottom="1" header="0.5" footer="0.5"/>
  <pageSetup scale="39" orientation="landscape" r:id="rId1"/>
  <headerFooter alignWithMargins="0">
    <oddHeader xml:space="preserve">&amp;CTable A-5
Construction Heavy Equipment Emissions
South Orange County Reliability Project
Transmission Segment 1: Rancho San Juan to San Juan Capistrano
</oddHeader>
    <oddFooter>&amp;CA-5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96"/>
  <sheetViews>
    <sheetView zoomScale="75" zoomScaleNormal="75" workbookViewId="0">
      <selection activeCell="A21" sqref="A21"/>
    </sheetView>
  </sheetViews>
  <sheetFormatPr defaultRowHeight="13.2" x14ac:dyDescent="0.25"/>
  <cols>
    <col min="1" max="1" width="70.66406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618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267</v>
      </c>
      <c r="B7" s="34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193</v>
      </c>
      <c r="B8" s="34">
        <v>2015</v>
      </c>
      <c r="C8" s="25">
        <v>350</v>
      </c>
      <c r="D8" s="134">
        <v>0.4</v>
      </c>
      <c r="E8" s="546">
        <f>VLOOKUP($A8,EFROGS!$A$1:$J$44,(IF($B8=2015,4,IF($B8=2016,5,IF($B8=2017,6,IF($B8=2018,7,IF($B8=2019,8,IF($B8=2020,9,0))))))),FALSE)</f>
        <v>0.28066021184881418</v>
      </c>
      <c r="F8" s="546">
        <f>VLOOKUP($A8,EFCOS!$A$1:$J$44,(IF($B8=2015,4,IF($B8=2016,5,IF($B8=2017,6,IF($B8=2018,7,IF($B8=2019,8,IF($B8=2020,9,0))))))),FALSE)</f>
        <v>1.2234716378508228</v>
      </c>
      <c r="G8" s="546">
        <f>VLOOKUP($A8,EFNOXS!$A$1:$J$44,(IF($B8=2015,4,IF($B8=2016,5,IF($B8=2017,6,IF($B8=2018,7,IF($B8=2019,8,IF($B8=2020,9,0))))))),FALSE)</f>
        <v>2.2984677151643464</v>
      </c>
      <c r="H8" s="546">
        <f>VLOOKUP($A8,EFSOXS!$A$1:$J$44,(IF($B8=2015,4,IF($B8=2016,5,IF($B8=2017,6,IF($B8=2018,7,IF($B8=2019,8,IF($B8=2020,9,0))))))),FALSE)</f>
        <v>2.5998102444893035E-3</v>
      </c>
      <c r="I8" s="546">
        <f>VLOOKUP($A8,EFPMS!$A$1:$J$44,(IF($B8=2015,4,IF($B8=2016,5,IF($B8=2017,6,IF($B8=2018,7,IF($B8=2019,8,IF($B8=2020,9,0))))))),FALSE)</f>
        <v>9.3824024160305358E-2</v>
      </c>
      <c r="J8" s="536">
        <f t="shared" ref="J8:J18" si="0">0.89*I8</f>
        <v>8.3503381502671767E-2</v>
      </c>
      <c r="K8" s="549">
        <f>VLOOKUP($A8,EFCO2S!$A$1:$J$44,(IF($B8=2015,4,IF($B8=2016,5,IF($B8=2017,6,IF($B8=2018,7,IF($B8=2019,8,IF($B8=2020,9,0))))))),FALSE)</f>
        <v>264.8725636721183</v>
      </c>
      <c r="L8" s="546">
        <f>VLOOKUP($A8,EFCH4S!$A$1:$J$44,(IF($B8=2015,4,IF($B8=2016,5,IF($B8=2017,6,IF($B8=2018,7,IF($B8=2019,8,IF($B8=2020,9,0))))))),FALSE)</f>
        <v>2.6451144743432839E-2</v>
      </c>
      <c r="M8" s="540">
        <f t="shared" ref="M8:M18" si="1">0.095*G8</f>
        <v>0.21835443294061291</v>
      </c>
      <c r="N8" s="135">
        <v>1</v>
      </c>
      <c r="O8" s="135">
        <v>6</v>
      </c>
      <c r="P8" s="136">
        <f>0.5*22</f>
        <v>11</v>
      </c>
      <c r="Q8" s="39">
        <f t="shared" ref="Q8:Y18" si="2">(E8*$N8*$O8)</f>
        <v>1.6839612710928851</v>
      </c>
      <c r="R8" s="29">
        <f t="shared" si="2"/>
        <v>7.3408298271049368</v>
      </c>
      <c r="S8" s="29">
        <f t="shared" si="2"/>
        <v>13.79080629098608</v>
      </c>
      <c r="T8" s="29">
        <f t="shared" si="2"/>
        <v>1.5598861466935822E-2</v>
      </c>
      <c r="U8" s="29">
        <f t="shared" si="2"/>
        <v>0.5629441449618322</v>
      </c>
      <c r="V8" s="29">
        <f t="shared" si="2"/>
        <v>0.50102028901603057</v>
      </c>
      <c r="W8" s="29">
        <f t="shared" si="2"/>
        <v>1589.2353820327098</v>
      </c>
      <c r="X8" s="29">
        <f t="shared" si="2"/>
        <v>0.15870686846059703</v>
      </c>
      <c r="Y8" s="29">
        <f t="shared" si="2"/>
        <v>1.3101265976436776</v>
      </c>
    </row>
    <row r="9" spans="1:25" s="3" customFormat="1" x14ac:dyDescent="0.25">
      <c r="A9" s="27" t="s">
        <v>194</v>
      </c>
      <c r="B9" s="34">
        <v>2015</v>
      </c>
      <c r="C9" s="25">
        <v>350</v>
      </c>
      <c r="D9" s="134">
        <v>0.41</v>
      </c>
      <c r="E9" s="546">
        <f>VLOOKUP($A9,EFROGS!$A$1:$J$44,(IF($B9=2015,4,IF($B9=2016,5,IF($B9=2017,6,IF($B9=2018,7,IF($B9=2019,8,IF($B9=2020,9,0))))))),FALSE)</f>
        <v>0.16050268261922351</v>
      </c>
      <c r="F9" s="546">
        <f>VLOOKUP($A9,EFCOS!$A$1:$J$44,(IF($B9=2015,4,IF($B9=2016,5,IF($B9=2017,6,IF($B9=2018,7,IF($B9=2019,8,IF($B9=2020,9,0))))))),FALSE)</f>
        <v>0.58634095857918989</v>
      </c>
      <c r="G9" s="546">
        <f>VLOOKUP($A9,EFNOXS!$A$1:$J$44,(IF($B9=2015,4,IF($B9=2016,5,IF($B9=2017,6,IF($B9=2018,7,IF($B9=2019,8,IF($B9=2020,9,0))))))),FALSE)</f>
        <v>1.3309478779062127</v>
      </c>
      <c r="H9" s="546">
        <f>VLOOKUP($A9,EFSOXS!$A$1:$J$44,(IF($B9=2015,4,IF($B9=2016,5,IF($B9=2017,6,IF($B9=2018,7,IF($B9=2019,8,IF($B9=2020,9,0))))))),FALSE)</f>
        <v>2.2524633622208845E-3</v>
      </c>
      <c r="I9" s="546">
        <f>VLOOKUP($A9,EFPMS!$A$1:$J$44,(IF($B9=2015,4,IF($B9=2016,5,IF($B9=2017,6,IF($B9=2018,7,IF($B9=2019,8,IF($B9=2020,9,0))))))),FALSE)</f>
        <v>4.7321529971864722E-2</v>
      </c>
      <c r="J9" s="536">
        <f t="shared" si="0"/>
        <v>4.2116161674959601E-2</v>
      </c>
      <c r="K9" s="549">
        <f>VLOOKUP($A9,EFCO2S!$A$1:$J$44,(IF($B9=2015,4,IF($B9=2016,5,IF($B9=2017,6,IF($B9=2018,7,IF($B9=2019,8,IF($B9=2020,9,0))))))),FALSE)</f>
        <v>229.48430404511782</v>
      </c>
      <c r="L9" s="546">
        <f>VLOOKUP($A9,EFCH4S!$A$1:$J$44,(IF($B9=2015,4,IF($B9=2016,5,IF($B9=2017,6,IF($B9=2018,7,IF($B9=2019,8,IF($B9=2020,9,0))))))),FALSE)</f>
        <v>1.5033778692192376E-2</v>
      </c>
      <c r="M9" s="540">
        <f t="shared" si="1"/>
        <v>0.12644004840109022</v>
      </c>
      <c r="N9" s="135">
        <v>1</v>
      </c>
      <c r="O9" s="135">
        <v>8</v>
      </c>
      <c r="P9" s="136">
        <f>0.5*22</f>
        <v>11</v>
      </c>
      <c r="Q9" s="39">
        <f t="shared" si="2"/>
        <v>1.2840214609537881</v>
      </c>
      <c r="R9" s="29">
        <f t="shared" si="2"/>
        <v>4.6907276686335191</v>
      </c>
      <c r="S9" s="29">
        <f t="shared" si="2"/>
        <v>10.647583023249702</v>
      </c>
      <c r="T9" s="29">
        <f t="shared" si="2"/>
        <v>1.8019706897767076E-2</v>
      </c>
      <c r="U9" s="29">
        <f t="shared" si="2"/>
        <v>0.37857223977491777</v>
      </c>
      <c r="V9" s="29">
        <f t="shared" si="2"/>
        <v>0.33692929339967681</v>
      </c>
      <c r="W9" s="29">
        <f t="shared" si="2"/>
        <v>1835.8744323609426</v>
      </c>
      <c r="X9" s="29">
        <f t="shared" si="2"/>
        <v>0.12027022953753901</v>
      </c>
      <c r="Y9" s="29">
        <f t="shared" si="2"/>
        <v>1.0115203872087217</v>
      </c>
    </row>
    <row r="10" spans="1:25" s="3" customFormat="1" x14ac:dyDescent="0.25">
      <c r="A10" s="27" t="s">
        <v>195</v>
      </c>
      <c r="B10" s="34">
        <v>2015</v>
      </c>
      <c r="C10" s="25">
        <v>350</v>
      </c>
      <c r="D10" s="134">
        <v>0.48</v>
      </c>
      <c r="E10" s="546">
        <f>VLOOKUP($A10,EFROGS!$A$1:$J$44,(IF($B10=2015,4,IF($B10=2016,5,IF($B10=2017,6,IF($B10=2018,7,IF($B10=2019,8,IF($B10=2020,9,0))))))),FALSE)</f>
        <v>0.27645201730360836</v>
      </c>
      <c r="F10" s="546">
        <f>VLOOKUP($A10,EFCOS!$A$1:$J$44,(IF($B10=2015,4,IF($B10=2016,5,IF($B10=2017,6,IF($B10=2018,7,IF($B10=2019,8,IF($B10=2020,9,0))))))),FALSE)</f>
        <v>1.0635193230957918</v>
      </c>
      <c r="G10" s="546">
        <f>VLOOKUP($A10,EFNOXS!$A$1:$J$44,(IF($B10=2015,4,IF($B10=2016,5,IF($B10=2017,6,IF($B10=2018,7,IF($B10=2019,8,IF($B10=2020,9,0))))))),FALSE)</f>
        <v>2.3176715449187282</v>
      </c>
      <c r="H10" s="546">
        <f>VLOOKUP($A10,EFSOXS!$A$1:$J$44,(IF($B10=2015,4,IF($B10=2016,5,IF($B10=2017,6,IF($B10=2018,7,IF($B10=2019,8,IF($B10=2020,9,0))))))),FALSE)</f>
        <v>3.1549252143876689E-3</v>
      </c>
      <c r="I10" s="546">
        <f>VLOOKUP($A10,EFPMS!$A$1:$J$44,(IF($B10=2015,4,IF($B10=2016,5,IF($B10=2017,6,IF($B10=2018,7,IF($B10=2019,8,IF($B10=2020,9,0))))))),FALSE)</f>
        <v>8.8586968740131236E-2</v>
      </c>
      <c r="J10" s="536">
        <f t="shared" si="0"/>
        <v>7.8842402178716797E-2</v>
      </c>
      <c r="K10" s="549">
        <f>VLOOKUP($A10,EFCO2S!$A$1:$J$44,(IF($B10=2015,4,IF($B10=2016,5,IF($B10=2017,6,IF($B10=2018,7,IF($B10=2019,8,IF($B10=2020,9,0))))))),FALSE)</f>
        <v>321.42846035935588</v>
      </c>
      <c r="L10" s="546">
        <f>VLOOKUP($A10,EFCH4S!$A$1:$J$44,(IF($B10=2015,4,IF($B10=2016,5,IF($B10=2017,6,IF($B10=2018,7,IF($B10=2019,8,IF($B10=2020,9,0))))))),FALSE)</f>
        <v>2.6010420981454316E-2</v>
      </c>
      <c r="M10" s="540">
        <f t="shared" si="1"/>
        <v>0.22017879676727917</v>
      </c>
      <c r="N10" s="135">
        <v>1</v>
      </c>
      <c r="O10" s="135">
        <v>3</v>
      </c>
      <c r="P10" s="136">
        <f>0.5*22</f>
        <v>11</v>
      </c>
      <c r="Q10" s="39">
        <f t="shared" si="2"/>
        <v>0.82935605191082507</v>
      </c>
      <c r="R10" s="29">
        <f t="shared" si="2"/>
        <v>3.1905579692873753</v>
      </c>
      <c r="S10" s="29">
        <f t="shared" si="2"/>
        <v>6.953014634756185</v>
      </c>
      <c r="T10" s="29">
        <f t="shared" si="2"/>
        <v>9.4647756431630072E-3</v>
      </c>
      <c r="U10" s="29">
        <f t="shared" si="2"/>
        <v>0.26576090622039372</v>
      </c>
      <c r="V10" s="29">
        <f t="shared" si="2"/>
        <v>0.23652720653615039</v>
      </c>
      <c r="W10" s="29">
        <f t="shared" si="2"/>
        <v>964.28538107806764</v>
      </c>
      <c r="X10" s="29">
        <f t="shared" si="2"/>
        <v>7.8031262944362953E-2</v>
      </c>
      <c r="Y10" s="29">
        <f t="shared" si="2"/>
        <v>0.66053639030183753</v>
      </c>
    </row>
    <row r="11" spans="1:25" s="3" customFormat="1" x14ac:dyDescent="0.25">
      <c r="A11" s="27" t="s">
        <v>196</v>
      </c>
      <c r="B11" s="34">
        <v>2015</v>
      </c>
      <c r="C11" s="25">
        <v>250</v>
      </c>
      <c r="D11" s="134">
        <v>0.38</v>
      </c>
      <c r="E11" s="546">
        <f>VLOOKUP($A11,EFROGS!$A$1:$J$44,(IF($B11=2015,4,IF($B11=2016,5,IF($B11=2017,6,IF($B11=2018,7,IF($B11=2019,8,IF($B11=2020,9,0))))))),FALSE)</f>
        <v>0.10659360197116201</v>
      </c>
      <c r="F11" s="546">
        <f>VLOOKUP($A11,EFCOS!$A$1:$J$44,(IF($B11=2015,4,IF($B11=2016,5,IF($B11=2017,6,IF($B11=2018,7,IF($B11=2019,8,IF($B11=2020,9,0))))))),FALSE)</f>
        <v>0.36686319474726009</v>
      </c>
      <c r="G11" s="546">
        <f>VLOOKUP($A11,EFNOXS!$A$1:$J$44,(IF($B11=2015,4,IF($B11=2016,5,IF($B11=2017,6,IF($B11=2018,7,IF($B11=2019,8,IF($B11=2020,9,0))))))),FALSE)</f>
        <v>1.0557516810303123</v>
      </c>
      <c r="H11" s="546">
        <f>VLOOKUP($A11,EFSOXS!$A$1:$J$44,(IF($B11=2015,4,IF($B11=2016,5,IF($B11=2017,6,IF($B11=2018,7,IF($B11=2019,8,IF($B11=2020,9,0))))))),FALSE)</f>
        <v>1.7225234988951081E-3</v>
      </c>
      <c r="I11" s="546">
        <f>VLOOKUP($A11,EFPMS!$A$1:$J$44,(IF($B11=2015,4,IF($B11=2016,5,IF($B11=2017,6,IF($B11=2018,7,IF($B11=2019,8,IF($B11=2020,9,0))))))),FALSE)</f>
        <v>3.5131941225937512E-2</v>
      </c>
      <c r="J11" s="536">
        <f t="shared" si="0"/>
        <v>3.1267427691084385E-2</v>
      </c>
      <c r="K11" s="549">
        <f>VLOOKUP($A11,EFCO2S!$A$1:$J$44,(IF($B11=2015,4,IF($B11=2016,5,IF($B11=2017,6,IF($B11=2018,7,IF($B11=2019,8,IF($B11=2020,9,0))))))),FALSE)</f>
        <v>153.0897857268109</v>
      </c>
      <c r="L11" s="546">
        <f>VLOOKUP($A11,EFCH4S!$A$1:$J$44,(IF($B11=2015,4,IF($B11=2016,5,IF($B11=2017,6,IF($B11=2018,7,IF($B11=2019,8,IF($B11=2020,9,0))))))),FALSE)</f>
        <v>9.9847277011502044E-3</v>
      </c>
      <c r="M11" s="540">
        <f t="shared" si="1"/>
        <v>0.10029640969787966</v>
      </c>
      <c r="N11" s="135">
        <v>1</v>
      </c>
      <c r="O11" s="135">
        <v>2</v>
      </c>
      <c r="P11" s="136">
        <f>2*22</f>
        <v>44</v>
      </c>
      <c r="Q11" s="39">
        <f t="shared" si="2"/>
        <v>0.21318720394232402</v>
      </c>
      <c r="R11" s="29">
        <f t="shared" si="2"/>
        <v>0.73372638949452018</v>
      </c>
      <c r="S11" s="29">
        <f t="shared" si="2"/>
        <v>2.1115033620606245</v>
      </c>
      <c r="T11" s="29">
        <f t="shared" si="2"/>
        <v>3.4450469977902161E-3</v>
      </c>
      <c r="U11" s="29">
        <f t="shared" si="2"/>
        <v>7.0263882451875023E-2</v>
      </c>
      <c r="V11" s="29">
        <f t="shared" si="2"/>
        <v>6.2534855382168769E-2</v>
      </c>
      <c r="W11" s="29">
        <f t="shared" si="2"/>
        <v>306.1795714536218</v>
      </c>
      <c r="X11" s="29">
        <f t="shared" si="2"/>
        <v>1.9969455402300409E-2</v>
      </c>
      <c r="Y11" s="29">
        <f t="shared" si="2"/>
        <v>0.20059281939575932</v>
      </c>
    </row>
    <row r="12" spans="1:25" s="3" customFormat="1" x14ac:dyDescent="0.25">
      <c r="A12" s="27" t="s">
        <v>197</v>
      </c>
      <c r="B12" s="34">
        <v>2015</v>
      </c>
      <c r="C12" s="134">
        <v>200</v>
      </c>
      <c r="D12" s="134">
        <v>0.36</v>
      </c>
      <c r="E12" s="546">
        <f>VLOOKUP($A12,EFROGS!$A$1:$J$44,(IF($B12=2015,4,IF($B12=2016,5,IF($B12=2017,6,IF($B12=2018,7,IF($B12=2019,8,IF($B12=2020,9,0))))))),FALSE)</f>
        <v>0.10736823912786365</v>
      </c>
      <c r="F12" s="546">
        <f>VLOOKUP($A12,EFCOS!$A$1:$J$44,(IF($B12=2015,4,IF($B12=2016,5,IF($B12=2017,6,IF($B12=2018,7,IF($B12=2019,8,IF($B12=2020,9,0))))))),FALSE)</f>
        <v>0.34779590495709528</v>
      </c>
      <c r="G12" s="546">
        <f>VLOOKUP($A12,EFNOXS!$A$1:$J$44,(IF($B12=2015,4,IF($B12=2016,5,IF($B12=2017,6,IF($B12=2018,7,IF($B12=2019,8,IF($B12=2020,9,0))))))),FALSE)</f>
        <v>0.95148079591778234</v>
      </c>
      <c r="H12" s="546">
        <f>VLOOKUP($A12,EFSOXS!$A$1:$J$44,(IF($B12=2015,4,IF($B12=2016,5,IF($B12=2017,6,IF($B12=2018,7,IF($B12=2019,8,IF($B12=2020,9,0))))))),FALSE)</f>
        <v>1.676243123421701E-3</v>
      </c>
      <c r="I12" s="546">
        <f>VLOOKUP($A12,EFPMS!$A$1:$J$44,(IF($B12=2015,4,IF($B12=2016,5,IF($B12=2017,6,IF($B12=2018,7,IF($B12=2019,8,IF($B12=2020,9,0))))))),FALSE)</f>
        <v>3.2120532550839874E-2</v>
      </c>
      <c r="J12" s="536">
        <f t="shared" si="0"/>
        <v>2.858727397024749E-2</v>
      </c>
      <c r="K12" s="549">
        <f>VLOOKUP($A12,EFCO2S!$A$1:$J$44,(IF($B12=2015,4,IF($B12=2016,5,IF($B12=2017,6,IF($B12=2018,7,IF($B12=2019,8,IF($B12=2020,9,0))))))),FALSE)</f>
        <v>148.97664453593197</v>
      </c>
      <c r="L12" s="546">
        <f>VLOOKUP($A12,EFCH4S!$A$1:$J$44,(IF($B12=2015,4,IF($B12=2016,5,IF($B12=2017,6,IF($B12=2018,7,IF($B12=2019,8,IF($B12=2020,9,0))))))),FALSE)</f>
        <v>1.0092011106863865E-2</v>
      </c>
      <c r="M12" s="540">
        <f t="shared" si="1"/>
        <v>9.0390675612189317E-2</v>
      </c>
      <c r="N12" s="135">
        <v>2</v>
      </c>
      <c r="O12" s="135">
        <v>4</v>
      </c>
      <c r="P12" s="136">
        <f>2*22</f>
        <v>44</v>
      </c>
      <c r="Q12" s="39">
        <f t="shared" si="2"/>
        <v>0.85894591302290924</v>
      </c>
      <c r="R12" s="29">
        <f t="shared" si="2"/>
        <v>2.7823672396567622</v>
      </c>
      <c r="S12" s="29">
        <f t="shared" si="2"/>
        <v>7.6118463673422587</v>
      </c>
      <c r="T12" s="29">
        <f t="shared" si="2"/>
        <v>1.3409944987373608E-2</v>
      </c>
      <c r="U12" s="29">
        <f t="shared" si="2"/>
        <v>0.25696426040671899</v>
      </c>
      <c r="V12" s="29">
        <f t="shared" si="2"/>
        <v>0.22869819176197992</v>
      </c>
      <c r="W12" s="29">
        <f t="shared" si="2"/>
        <v>1191.8131562874557</v>
      </c>
      <c r="X12" s="29">
        <f t="shared" si="2"/>
        <v>8.0736088854910917E-2</v>
      </c>
      <c r="Y12" s="29">
        <f t="shared" si="2"/>
        <v>0.72312540489751453</v>
      </c>
    </row>
    <row r="13" spans="1:25" s="3" customFormat="1" x14ac:dyDescent="0.25">
      <c r="A13" s="27" t="s">
        <v>199</v>
      </c>
      <c r="B13" s="34">
        <v>2015</v>
      </c>
      <c r="C13" s="25">
        <v>175</v>
      </c>
      <c r="D13" s="134">
        <v>0.38</v>
      </c>
      <c r="E13" s="546">
        <f>VLOOKUP($A13,EFROGS!$A$1:$J$44,(IF($B13=2015,4,IF($B13=2016,5,IF($B13=2017,6,IF($B13=2018,7,IF($B13=2019,8,IF($B13=2020,9,0))))))),FALSE)</f>
        <v>0.11992127080629632</v>
      </c>
      <c r="F13" s="546">
        <f>VLOOKUP($A13,EFCOS!$A$1:$J$44,(IF($B13=2015,4,IF($B13=2016,5,IF($B13=2017,6,IF($B13=2018,7,IF($B13=2019,8,IF($B13=2020,9,0))))))),FALSE)</f>
        <v>0.37073007054215767</v>
      </c>
      <c r="G13" s="546">
        <f>VLOOKUP($A13,EFNOXS!$A$1:$J$44,(IF($B13=2015,4,IF($B13=2016,5,IF($B13=2017,6,IF($B13=2018,7,IF($B13=2019,8,IF($B13=2020,9,0))))))),FALSE)</f>
        <v>0.94368289767104196</v>
      </c>
      <c r="H13" s="546">
        <f>VLOOKUP($A13,EFSOXS!$A$1:$J$44,(IF($B13=2015,4,IF($B13=2016,5,IF($B13=2017,6,IF($B13=2018,7,IF($B13=2019,8,IF($B13=2020,9,0))))))),FALSE)</f>
        <v>1.8739213528134147E-3</v>
      </c>
      <c r="I13" s="546">
        <f>VLOOKUP($A13,EFPMS!$A$1:$J$44,(IF($B13=2015,4,IF($B13=2016,5,IF($B13=2017,6,IF($B13=2018,7,IF($B13=2019,8,IF($B13=2020,9,0))))))),FALSE)</f>
        <v>3.1241039634901123E-2</v>
      </c>
      <c r="J13" s="536">
        <f t="shared" si="0"/>
        <v>2.7804525275062001E-2</v>
      </c>
      <c r="K13" s="549">
        <f>VLOOKUP($A13,EFCO2S!$A$1:$J$44,(IF($B13=2015,4,IF($B13=2016,5,IF($B13=2017,6,IF($B13=2018,7,IF($B13=2019,8,IF($B13=2020,9,0))))))),FALSE)</f>
        <v>166.54539483446186</v>
      </c>
      <c r="L13" s="546">
        <f>VLOOKUP($A13,EFCH4S!$A$1:$J$44,(IF($B13=2015,4,IF($B13=2016,5,IF($B13=2017,6,IF($B13=2018,7,IF($B13=2019,8,IF($B13=2020,9,0))))))),FALSE)</f>
        <v>1.1292325418869483E-2</v>
      </c>
      <c r="M13" s="540">
        <f t="shared" si="1"/>
        <v>8.9649875278748986E-2</v>
      </c>
      <c r="N13" s="135">
        <v>2</v>
      </c>
      <c r="O13" s="135">
        <v>5</v>
      </c>
      <c r="P13" s="136">
        <f>2*22</f>
        <v>44</v>
      </c>
      <c r="Q13" s="39">
        <f t="shared" si="2"/>
        <v>1.1992127080629631</v>
      </c>
      <c r="R13" s="29">
        <f t="shared" si="2"/>
        <v>3.7073007054215767</v>
      </c>
      <c r="S13" s="29">
        <f t="shared" si="2"/>
        <v>9.4368289767104194</v>
      </c>
      <c r="T13" s="29">
        <f t="shared" si="2"/>
        <v>1.8739213528134149E-2</v>
      </c>
      <c r="U13" s="29">
        <f t="shared" si="2"/>
        <v>0.31241039634901124</v>
      </c>
      <c r="V13" s="29">
        <f t="shared" si="2"/>
        <v>0.27804525275062003</v>
      </c>
      <c r="W13" s="29">
        <f t="shared" si="2"/>
        <v>1665.4539483446185</v>
      </c>
      <c r="X13" s="29">
        <f t="shared" si="2"/>
        <v>0.11292325418869484</v>
      </c>
      <c r="Y13" s="29">
        <f t="shared" si="2"/>
        <v>0.89649875278748992</v>
      </c>
    </row>
    <row r="14" spans="1:25" s="3" customFormat="1" x14ac:dyDescent="0.25">
      <c r="A14" s="27" t="s">
        <v>200</v>
      </c>
      <c r="B14" s="34">
        <v>2015</v>
      </c>
      <c r="C14" s="25">
        <v>235</v>
      </c>
      <c r="D14" s="134">
        <v>0.38</v>
      </c>
      <c r="E14" s="546">
        <f>VLOOKUP($A14,EFROGS!$A$1:$J$44,(IF($B14=2015,4,IF($B14=2016,5,IF($B14=2017,6,IF($B14=2018,7,IF($B14=2019,8,IF($B14=2020,9,0))))))),FALSE)</f>
        <v>0.12027312265814816</v>
      </c>
      <c r="F14" s="546">
        <f>VLOOKUP($A14,EFCOS!$A$1:$J$44,(IF($B14=2015,4,IF($B14=2016,5,IF($B14=2017,6,IF($B14=2018,7,IF($B14=2019,8,IF($B14=2020,9,0))))))),FALSE)</f>
        <v>0.37726446207654918</v>
      </c>
      <c r="G14" s="546">
        <f>VLOOKUP($A14,EFNOXS!$A$1:$J$44,(IF($B14=2015,4,IF($B14=2016,5,IF($B14=2017,6,IF($B14=2018,7,IF($B14=2019,8,IF($B14=2020,9,0))))))),FALSE)</f>
        <v>0.94745273894088322</v>
      </c>
      <c r="H14" s="546">
        <f>VLOOKUP($A14,EFSOXS!$A$1:$J$44,(IF($B14=2015,4,IF($B14=2016,5,IF($B14=2017,6,IF($B14=2018,7,IF($B14=2019,8,IF($B14=2020,9,0))))))),FALSE)</f>
        <v>1.8739213528134147E-3</v>
      </c>
      <c r="I14" s="546">
        <f>VLOOKUP($A14,EFPMS!$A$1:$J$44,(IF($B14=2015,4,IF($B14=2016,5,IF($B14=2017,6,IF($B14=2018,7,IF($B14=2019,8,IF($B14=2020,9,0))))))),FALSE)</f>
        <v>3.1278738047599536E-2</v>
      </c>
      <c r="J14" s="536">
        <f t="shared" si="0"/>
        <v>2.7838076862363587E-2</v>
      </c>
      <c r="K14" s="549">
        <f>VLOOKUP($A14,EFCO2S!$A$1:$J$44,(IF($B14=2015,4,IF($B14=2016,5,IF($B14=2017,6,IF($B14=2018,7,IF($B14=2019,8,IF($B14=2020,9,0))))))),FALSE)</f>
        <v>166.54539483446186</v>
      </c>
      <c r="L14" s="546">
        <f>VLOOKUP($A14,EFCH4S!$A$1:$J$44,(IF($B14=2015,4,IF($B14=2016,5,IF($B14=2017,6,IF($B14=2018,7,IF($B14=2019,8,IF($B14=2020,9,0))))))),FALSE)</f>
        <v>1.1292325418869483E-2</v>
      </c>
      <c r="M14" s="540">
        <f t="shared" si="1"/>
        <v>9.0008010199383912E-2</v>
      </c>
      <c r="N14" s="135">
        <v>2</v>
      </c>
      <c r="O14" s="135">
        <v>3</v>
      </c>
      <c r="P14" s="136">
        <f>2*22</f>
        <v>44</v>
      </c>
      <c r="Q14" s="39">
        <f t="shared" si="2"/>
        <v>0.72163873594888894</v>
      </c>
      <c r="R14" s="29">
        <f t="shared" si="2"/>
        <v>2.2635867724592948</v>
      </c>
      <c r="S14" s="29">
        <f t="shared" si="2"/>
        <v>5.6847164336452991</v>
      </c>
      <c r="T14" s="29">
        <f t="shared" si="2"/>
        <v>1.1243528116880489E-2</v>
      </c>
      <c r="U14" s="29">
        <f t="shared" si="2"/>
        <v>0.18767242828559721</v>
      </c>
      <c r="V14" s="29">
        <f t="shared" si="2"/>
        <v>0.16702846117418152</v>
      </c>
      <c r="W14" s="29">
        <f t="shared" si="2"/>
        <v>999.27236900677121</v>
      </c>
      <c r="X14" s="29">
        <f t="shared" si="2"/>
        <v>6.7753952513216892E-2</v>
      </c>
      <c r="Y14" s="29">
        <f t="shared" si="2"/>
        <v>0.54004806119630344</v>
      </c>
    </row>
    <row r="15" spans="1:25" s="3" customFormat="1" x14ac:dyDescent="0.25">
      <c r="A15" s="27" t="s">
        <v>201</v>
      </c>
      <c r="B15" s="34">
        <v>2015</v>
      </c>
      <c r="C15" s="25">
        <v>300</v>
      </c>
      <c r="D15" s="134">
        <v>0.38</v>
      </c>
      <c r="E15" s="546">
        <f>VLOOKUP($A15,EFROGS!$A$1:$J$44,(IF($B15=2015,4,IF($B15=2016,5,IF($B15=2017,6,IF($B15=2018,7,IF($B15=2019,8,IF($B15=2020,9,0))))))),FALSE)</f>
        <v>0.15156273531486869</v>
      </c>
      <c r="F15" s="546">
        <f>VLOOKUP($A15,EFCOS!$A$1:$J$44,(IF($B15=2015,4,IF($B15=2016,5,IF($B15=2017,6,IF($B15=2018,7,IF($B15=2019,8,IF($B15=2020,9,0))))))),FALSE)</f>
        <v>0.5042955535817204</v>
      </c>
      <c r="G15" s="546">
        <f>VLOOKUP($A15,EFNOXS!$A$1:$J$44,(IF($B15=2015,4,IF($B15=2016,5,IF($B15=2017,6,IF($B15=2018,7,IF($B15=2019,8,IF($B15=2020,9,0))))))),FALSE)</f>
        <v>1.1226784907797649</v>
      </c>
      <c r="H15" s="546">
        <f>VLOOKUP($A15,EFSOXS!$A$1:$J$44,(IF($B15=2015,4,IF($B15=2016,5,IF($B15=2017,6,IF($B15=2018,7,IF($B15=2019,8,IF($B15=2020,9,0))))))),FALSE)</f>
        <v>2.2941891037024571E-3</v>
      </c>
      <c r="I15" s="546">
        <f>VLOOKUP($A15,EFPMS!$A$1:$J$44,(IF($B15=2015,4,IF($B15=2016,5,IF($B15=2017,6,IF($B15=2018,7,IF($B15=2019,8,IF($B15=2020,9,0))))))),FALSE)</f>
        <v>3.945202890717215E-2</v>
      </c>
      <c r="J15" s="536">
        <f t="shared" si="0"/>
        <v>3.5112305727383213E-2</v>
      </c>
      <c r="K15" s="549">
        <f>VLOOKUP($A15,EFCO2S!$A$1:$J$44,(IF($B15=2015,4,IF($B15=2016,5,IF($B15=2017,6,IF($B15=2018,7,IF($B15=2019,8,IF($B15=2020,9,0))))))),FALSE)</f>
        <v>233.73532966705815</v>
      </c>
      <c r="L15" s="546">
        <f>VLOOKUP($A15,EFCH4S!$A$1:$J$44,(IF($B15=2015,4,IF($B15=2016,5,IF($B15=2017,6,IF($B15=2018,7,IF($B15=2019,8,IF($B15=2020,9,0))))))),FALSE)</f>
        <v>1.4227923455147638E-2</v>
      </c>
      <c r="M15" s="540">
        <f t="shared" si="1"/>
        <v>0.10665445662407766</v>
      </c>
      <c r="N15" s="135">
        <v>1</v>
      </c>
      <c r="O15" s="135">
        <v>6</v>
      </c>
      <c r="P15" s="136">
        <f>2*22</f>
        <v>44</v>
      </c>
      <c r="Q15" s="39">
        <f t="shared" si="2"/>
        <v>0.90937641188921214</v>
      </c>
      <c r="R15" s="29">
        <f t="shared" si="2"/>
        <v>3.0257733214903224</v>
      </c>
      <c r="S15" s="29">
        <f t="shared" si="2"/>
        <v>6.7360709446785894</v>
      </c>
      <c r="T15" s="29">
        <f t="shared" si="2"/>
        <v>1.3765134622214743E-2</v>
      </c>
      <c r="U15" s="29">
        <f t="shared" si="2"/>
        <v>0.23671217344303291</v>
      </c>
      <c r="V15" s="29">
        <f t="shared" si="2"/>
        <v>0.21067383436429926</v>
      </c>
      <c r="W15" s="29">
        <f t="shared" si="2"/>
        <v>1402.4119780023489</v>
      </c>
      <c r="X15" s="29">
        <f t="shared" si="2"/>
        <v>8.536754073088583E-2</v>
      </c>
      <c r="Y15" s="29">
        <f t="shared" si="2"/>
        <v>0.6399267397444659</v>
      </c>
    </row>
    <row r="16" spans="1:25" s="3" customFormat="1" x14ac:dyDescent="0.25">
      <c r="A16" s="27" t="s">
        <v>155</v>
      </c>
      <c r="B16" s="34">
        <v>2015</v>
      </c>
      <c r="C16" s="134">
        <v>82</v>
      </c>
      <c r="D16" s="134">
        <v>0.5</v>
      </c>
      <c r="E16" s="546">
        <f>VLOOKUP($A16,EFROGS!$A$1:$J$44,(IF($B16=2015,4,IF($B16=2016,5,IF($B16=2017,6,IF($B16=2018,7,IF($B16=2019,8,IF($B16=2020,9,0))))))),FALSE)</f>
        <v>3.6309327217992599E-2</v>
      </c>
      <c r="F16" s="546">
        <f>VLOOKUP($A16,EFCOS!$A$1:$J$44,(IF($B16=2015,4,IF($B16=2016,5,IF($B16=2017,6,IF($B16=2018,7,IF($B16=2019,8,IF($B16=2020,9,0))))))),FALSE)</f>
        <v>0.46093801457747435</v>
      </c>
      <c r="G16" s="546">
        <f>VLOOKUP($A16,EFNOXS!$A$1:$J$44,(IF($B16=2015,4,IF($B16=2016,5,IF($B16=2017,6,IF($B16=2018,7,IF($B16=2019,8,IF($B16=2020,9,0))))))),FALSE)</f>
        <v>0.36619894798559588</v>
      </c>
      <c r="H16" s="546">
        <f>VLOOKUP($A16,EFSOXS!$A$1:$J$44,(IF($B16=2015,4,IF($B16=2016,5,IF($B16=2017,6,IF($B16=2018,7,IF($B16=2019,8,IF($B16=2020,9,0))))))),FALSE)</f>
        <v>9.0467796015684726E-4</v>
      </c>
      <c r="I16" s="546">
        <f>VLOOKUP($A16,EFPMS!$A$1:$J$44,(IF($B16=2015,4,IF($B16=2016,5,IF($B16=2017,6,IF($B16=2018,7,IF($B16=2019,8,IF($B16=2020,9,0))))))),FALSE)</f>
        <v>1.5314374699910852E-2</v>
      </c>
      <c r="J16" s="536">
        <f t="shared" si="0"/>
        <v>1.3629793482920658E-2</v>
      </c>
      <c r="K16" s="549">
        <f>VLOOKUP($A16,EFCO2S!$A$1:$J$44,(IF($B16=2015,4,IF($B16=2016,5,IF($B16=2017,6,IF($B16=2018,7,IF($B16=2019,8,IF($B16=2020,9,0))))))),FALSE)</f>
        <v>77.121767330485099</v>
      </c>
      <c r="L16" s="546">
        <f>VLOOKUP($A16,EFCH4S!$A$1:$J$44,(IF($B16=2015,4,IF($B16=2016,5,IF($B16=2017,6,IF($B16=2018,7,IF($B16=2019,8,IF($B16=2020,9,0))))))),FALSE)</f>
        <v>3.3884664579035585E-3</v>
      </c>
      <c r="M16" s="540">
        <f t="shared" si="1"/>
        <v>3.4788900058631611E-2</v>
      </c>
      <c r="N16" s="108">
        <v>1</v>
      </c>
      <c r="O16" s="108">
        <v>6</v>
      </c>
      <c r="P16" s="109">
        <v>22</v>
      </c>
      <c r="Q16" s="39">
        <f t="shared" si="2"/>
        <v>0.21785596330795559</v>
      </c>
      <c r="R16" s="29">
        <f t="shared" si="2"/>
        <v>2.765628087464846</v>
      </c>
      <c r="S16" s="29">
        <f t="shared" si="2"/>
        <v>2.1971936879135754</v>
      </c>
      <c r="T16" s="29">
        <f t="shared" si="2"/>
        <v>5.4280677609410835E-3</v>
      </c>
      <c r="U16" s="29">
        <f t="shared" si="2"/>
        <v>9.1886248199465115E-2</v>
      </c>
      <c r="V16" s="29">
        <f t="shared" si="2"/>
        <v>8.177876089752395E-2</v>
      </c>
      <c r="W16" s="29">
        <f t="shared" si="2"/>
        <v>462.73060398291057</v>
      </c>
      <c r="X16" s="29">
        <f t="shared" si="2"/>
        <v>2.0330798747421351E-2</v>
      </c>
      <c r="Y16" s="29">
        <f t="shared" si="2"/>
        <v>0.20873340035178967</v>
      </c>
    </row>
    <row r="17" spans="1:25" s="3" customFormat="1" x14ac:dyDescent="0.25">
      <c r="A17" s="27" t="s">
        <v>204</v>
      </c>
      <c r="B17" s="34">
        <v>2015</v>
      </c>
      <c r="C17" s="25">
        <v>75</v>
      </c>
      <c r="D17" s="134">
        <v>0.28999999999999998</v>
      </c>
      <c r="E17" s="546">
        <f>VLOOKUP($A17,EFROGS!$A$1:$J$44,(IF($B17=2015,4,IF($B17=2016,5,IF($B17=2017,6,IF($B17=2018,7,IF($B17=2019,8,IF($B17=2020,9,0))))))),FALSE)</f>
        <v>7.6361523310359322E-2</v>
      </c>
      <c r="F17" s="546">
        <f>VLOOKUP($A17,EFCOS!$A$1:$J$44,(IF($B17=2015,4,IF($B17=2016,5,IF($B17=2017,6,IF($B17=2018,7,IF($B17=2019,8,IF($B17=2020,9,0))))))),FALSE)</f>
        <v>0.34700607793748495</v>
      </c>
      <c r="G17" s="546">
        <f>VLOOKUP($A17,EFNOXS!$A$1:$J$44,(IF($B17=2015,4,IF($B17=2016,5,IF($B17=2017,6,IF($B17=2018,7,IF($B17=2019,8,IF($B17=2020,9,0))))))),FALSE)</f>
        <v>0.46405567062959902</v>
      </c>
      <c r="H17" s="546">
        <f>VLOOKUP($A17,EFSOXS!$A$1:$J$44,(IF($B17=2015,4,IF($B17=2016,5,IF($B17=2017,6,IF($B17=2018,7,IF($B17=2019,8,IF($B17=2020,9,0))))))),FALSE)</f>
        <v>5.8826133700071506E-4</v>
      </c>
      <c r="I17" s="546">
        <f>VLOOKUP($A17,EFPMS!$A$1:$J$44,(IF($B17=2015,4,IF($B17=2016,5,IF($B17=2017,6,IF($B17=2018,7,IF($B17=2019,8,IF($B17=2020,9,0))))))),FALSE)</f>
        <v>3.9464685082802008E-2</v>
      </c>
      <c r="J17" s="536">
        <f t="shared" si="0"/>
        <v>3.5123569723693786E-2</v>
      </c>
      <c r="K17" s="549">
        <f>VLOOKUP($A17,EFCO2S!$A$1:$J$44,(IF($B17=2015,4,IF($B17=2016,5,IF($B17=2017,6,IF($B17=2018,7,IF($B17=2019,8,IF($B17=2020,9,0))))))),FALSE)</f>
        <v>50.147957636658056</v>
      </c>
      <c r="L17" s="546">
        <f>VLOOKUP($A17,EFCH4S!$A$1:$J$44,(IF($B17=2015,4,IF($B17=2016,5,IF($B17=2017,6,IF($B17=2018,7,IF($B17=2019,8,IF($B17=2020,9,0))))))),FALSE)</f>
        <v>7.2207285788506471E-3</v>
      </c>
      <c r="M17" s="540">
        <f t="shared" si="1"/>
        <v>4.4085288709811904E-2</v>
      </c>
      <c r="N17" s="108">
        <v>1</v>
      </c>
      <c r="O17" s="108">
        <v>6</v>
      </c>
      <c r="P17" s="109">
        <v>22</v>
      </c>
      <c r="Q17" s="39">
        <f t="shared" si="2"/>
        <v>0.45816913986215591</v>
      </c>
      <c r="R17" s="29">
        <f t="shared" si="2"/>
        <v>2.0820364676249099</v>
      </c>
      <c r="S17" s="29">
        <f t="shared" si="2"/>
        <v>2.784334023777594</v>
      </c>
      <c r="T17" s="29">
        <f t="shared" si="2"/>
        <v>3.5295680220042902E-3</v>
      </c>
      <c r="U17" s="29">
        <f t="shared" si="2"/>
        <v>0.23678811049681203</v>
      </c>
      <c r="V17" s="29">
        <f t="shared" si="2"/>
        <v>0.2107414183421627</v>
      </c>
      <c r="W17" s="29">
        <f t="shared" si="2"/>
        <v>300.88774581994835</v>
      </c>
      <c r="X17" s="29">
        <f t="shared" si="2"/>
        <v>4.3324371473103883E-2</v>
      </c>
      <c r="Y17" s="29">
        <f t="shared" si="2"/>
        <v>0.26451173225887142</v>
      </c>
    </row>
    <row r="18" spans="1:25" s="3" customFormat="1" x14ac:dyDescent="0.25">
      <c r="A18" s="37" t="s">
        <v>157</v>
      </c>
      <c r="B18" s="34">
        <v>2015</v>
      </c>
      <c r="C18" s="25">
        <v>235</v>
      </c>
      <c r="D18" s="134">
        <v>0.38</v>
      </c>
      <c r="E18" s="546">
        <f>VLOOKUP($A18,EFROGS!$A$1:$J$44,(IF($B18=2015,4,IF($B18=2016,5,IF($B18=2017,6,IF($B18=2018,7,IF($B18=2019,8,IF($B18=2020,9,0))))))),FALSE)</f>
        <v>0.12027312265814816</v>
      </c>
      <c r="F18" s="546">
        <f>VLOOKUP($A18,EFCOS!$A$1:$J$44,(IF($B18=2015,4,IF($B18=2016,5,IF($B18=2017,6,IF($B18=2018,7,IF($B18=2019,8,IF($B18=2020,9,0))))))),FALSE)</f>
        <v>0.37726446207654918</v>
      </c>
      <c r="G18" s="546">
        <f>VLOOKUP($A18,EFNOXS!$A$1:$J$44,(IF($B18=2015,4,IF($B18=2016,5,IF($B18=2017,6,IF($B18=2018,7,IF($B18=2019,8,IF($B18=2020,9,0))))))),FALSE)</f>
        <v>0.94745273894088322</v>
      </c>
      <c r="H18" s="546">
        <f>VLOOKUP($A18,EFSOXS!$A$1:$J$44,(IF($B18=2015,4,IF($B18=2016,5,IF($B18=2017,6,IF($B18=2018,7,IF($B18=2019,8,IF($B18=2020,9,0))))))),FALSE)</f>
        <v>1.8739213528134147E-3</v>
      </c>
      <c r="I18" s="546">
        <f>VLOOKUP($A18,EFPMS!$A$1:$J$44,(IF($B18=2015,4,IF($B18=2016,5,IF($B18=2017,6,IF($B18=2018,7,IF($B18=2019,8,IF($B18=2020,9,0))))))),FALSE)</f>
        <v>3.1278738047599536E-2</v>
      </c>
      <c r="J18" s="536">
        <f t="shared" si="0"/>
        <v>2.7838076862363587E-2</v>
      </c>
      <c r="K18" s="549">
        <f>VLOOKUP($A18,EFCO2S!$A$1:$J$44,(IF($B18=2015,4,IF($B18=2016,5,IF($B18=2017,6,IF($B18=2018,7,IF($B18=2019,8,IF($B18=2020,9,0))))))),FALSE)</f>
        <v>166.54539483446186</v>
      </c>
      <c r="L18" s="546">
        <f>VLOOKUP($A18,EFCH4S!$A$1:$J$44,(IF($B18=2015,4,IF($B18=2016,5,IF($B18=2017,6,IF($B18=2018,7,IF($B18=2019,8,IF($B18=2020,9,0))))))),FALSE)</f>
        <v>1.1292325418869483E-2</v>
      </c>
      <c r="M18" s="540">
        <f t="shared" si="1"/>
        <v>9.0008010199383912E-2</v>
      </c>
      <c r="N18" s="108">
        <v>1</v>
      </c>
      <c r="O18" s="108">
        <v>3</v>
      </c>
      <c r="P18" s="136">
        <f>2*22</f>
        <v>44</v>
      </c>
      <c r="Q18" s="39">
        <f t="shared" si="2"/>
        <v>0.36081936797444447</v>
      </c>
      <c r="R18" s="29">
        <f t="shared" si="2"/>
        <v>1.1317933862296474</v>
      </c>
      <c r="S18" s="29">
        <f t="shared" si="2"/>
        <v>2.8423582168226496</v>
      </c>
      <c r="T18" s="29">
        <f t="shared" si="2"/>
        <v>5.6217640584402444E-3</v>
      </c>
      <c r="U18" s="29">
        <f t="shared" si="2"/>
        <v>9.3836214142798607E-2</v>
      </c>
      <c r="V18" s="29">
        <f t="shared" si="2"/>
        <v>8.351423058709076E-2</v>
      </c>
      <c r="W18" s="29">
        <f t="shared" si="2"/>
        <v>499.63618450338561</v>
      </c>
      <c r="X18" s="29">
        <f t="shared" si="2"/>
        <v>3.3876976256608446E-2</v>
      </c>
      <c r="Y18" s="29">
        <f t="shared" si="2"/>
        <v>0.27002403059815172</v>
      </c>
    </row>
    <row r="19" spans="1:25" s="3" customFormat="1" x14ac:dyDescent="0.25">
      <c r="A19" s="19" t="s">
        <v>38</v>
      </c>
      <c r="B19" s="34"/>
      <c r="C19" s="25"/>
      <c r="D19" s="13"/>
      <c r="E19" s="26"/>
      <c r="F19" s="26"/>
      <c r="G19" s="26"/>
      <c r="H19" s="26"/>
      <c r="I19" s="26"/>
      <c r="J19" s="27"/>
      <c r="K19" s="28"/>
      <c r="L19" s="26"/>
      <c r="M19" s="38"/>
      <c r="N19" s="135"/>
      <c r="O19" s="135"/>
      <c r="P19" s="136"/>
      <c r="Q19" s="138">
        <f>SUM(Q8:Q18)</f>
        <v>8.7365442279683521</v>
      </c>
      <c r="R19" s="138">
        <f t="shared" ref="R19:Y19" si="3">SUM(R8:R18)</f>
        <v>33.714327834867717</v>
      </c>
      <c r="S19" s="138">
        <f t="shared" si="3"/>
        <v>70.796255961942961</v>
      </c>
      <c r="T19" s="138">
        <f t="shared" si="3"/>
        <v>0.11826561210164473</v>
      </c>
      <c r="U19" s="138">
        <f t="shared" si="3"/>
        <v>2.6938110047324551</v>
      </c>
      <c r="V19" s="138">
        <f t="shared" si="3"/>
        <v>2.3974917942118847</v>
      </c>
      <c r="W19" s="138">
        <f t="shared" si="3"/>
        <v>11217.780752872781</v>
      </c>
      <c r="X19" s="138">
        <f t="shared" si="3"/>
        <v>0.82129079910964153</v>
      </c>
      <c r="Y19" s="138">
        <f t="shared" si="3"/>
        <v>6.7256443163845825</v>
      </c>
    </row>
    <row r="20" spans="1:25" s="3" customFormat="1" x14ac:dyDescent="0.25">
      <c r="A20" s="27"/>
      <c r="B20" s="34"/>
      <c r="C20" s="25"/>
      <c r="D20" s="13"/>
      <c r="E20" s="26"/>
      <c r="F20" s="26"/>
      <c r="G20" s="26"/>
      <c r="H20" s="26"/>
      <c r="I20" s="26"/>
      <c r="J20" s="27"/>
      <c r="K20" s="28"/>
      <c r="L20" s="26"/>
      <c r="M20" s="38"/>
      <c r="N20" s="135"/>
      <c r="O20" s="135"/>
      <c r="P20" s="136"/>
      <c r="Q20" s="39"/>
      <c r="R20" s="29"/>
      <c r="S20" s="29"/>
      <c r="T20" s="29"/>
      <c r="U20" s="29"/>
      <c r="V20" s="29"/>
      <c r="W20" s="29"/>
      <c r="X20" s="29"/>
      <c r="Y20" s="29"/>
    </row>
    <row r="21" spans="1:25" s="3" customFormat="1" x14ac:dyDescent="0.25">
      <c r="A21" s="19" t="s">
        <v>268</v>
      </c>
      <c r="B21" s="34">
        <v>2015</v>
      </c>
      <c r="C21" s="25"/>
      <c r="D21" s="13"/>
      <c r="E21" s="26"/>
      <c r="F21" s="26"/>
      <c r="G21" s="26"/>
      <c r="H21" s="26"/>
      <c r="I21" s="26"/>
      <c r="J21" s="27"/>
      <c r="K21" s="28"/>
      <c r="L21" s="26"/>
      <c r="M21" s="38"/>
      <c r="N21" s="135"/>
      <c r="O21" s="135"/>
      <c r="P21" s="136"/>
      <c r="Q21" s="39"/>
      <c r="R21" s="29"/>
      <c r="S21" s="29"/>
      <c r="T21" s="29"/>
      <c r="U21" s="29"/>
      <c r="V21" s="29"/>
      <c r="W21" s="29"/>
      <c r="X21" s="29"/>
      <c r="Y21" s="29"/>
    </row>
    <row r="22" spans="1:25" s="3" customFormat="1" x14ac:dyDescent="0.25">
      <c r="A22" s="37" t="s">
        <v>157</v>
      </c>
      <c r="B22" s="34">
        <v>2015</v>
      </c>
      <c r="C22" s="25">
        <v>235</v>
      </c>
      <c r="D22" s="134">
        <v>0.38</v>
      </c>
      <c r="E22" s="546">
        <f>VLOOKUP($A22,EFROGS!$A$1:$J$44,(IF($B22=2015,4,IF($B22=2016,5,IF($B22=2017,6,IF($B22=2018,7,IF($B22=2019,8,IF($B22=2020,9,0))))))),FALSE)</f>
        <v>0.12027312265814816</v>
      </c>
      <c r="F22" s="546">
        <f>VLOOKUP($A22,EFCOS!$A$1:$J$44,(IF($B22=2015,4,IF($B22=2016,5,IF($B22=2017,6,IF($B22=2018,7,IF($B22=2019,8,IF($B22=2020,9,0))))))),FALSE)</f>
        <v>0.37726446207654918</v>
      </c>
      <c r="G22" s="546">
        <f>VLOOKUP($A22,EFNOXS!$A$1:$J$44,(IF($B22=2015,4,IF($B22=2016,5,IF($B22=2017,6,IF($B22=2018,7,IF($B22=2019,8,IF($B22=2020,9,0))))))),FALSE)</f>
        <v>0.94745273894088322</v>
      </c>
      <c r="H22" s="546">
        <f>VLOOKUP($A22,EFSOXS!$A$1:$J$44,(IF($B22=2015,4,IF($B22=2016,5,IF($B22=2017,6,IF($B22=2018,7,IF($B22=2019,8,IF($B22=2020,9,0))))))),FALSE)</f>
        <v>1.8739213528134147E-3</v>
      </c>
      <c r="I22" s="546">
        <f>VLOOKUP($A22,EFPMS!$A$1:$J$44,(IF($B22=2015,4,IF($B22=2016,5,IF($B22=2017,6,IF($B22=2018,7,IF($B22=2019,8,IF($B22=2020,9,0))))))),FALSE)</f>
        <v>3.1278738047599536E-2</v>
      </c>
      <c r="J22" s="536">
        <f t="shared" ref="J22:J25" si="4">0.89*I22</f>
        <v>2.7838076862363587E-2</v>
      </c>
      <c r="K22" s="549">
        <f>VLOOKUP($A22,EFCO2S!$A$1:$J$44,(IF($B22=2015,4,IF($B22=2016,5,IF($B22=2017,6,IF($B22=2018,7,IF($B22=2019,8,IF($B22=2020,9,0))))))),FALSE)</f>
        <v>166.54539483446186</v>
      </c>
      <c r="L22" s="546">
        <f>VLOOKUP($A22,EFCH4S!$A$1:$J$44,(IF($B22=2015,4,IF($B22=2016,5,IF($B22=2017,6,IF($B22=2018,7,IF($B22=2019,8,IF($B22=2020,9,0))))))),FALSE)</f>
        <v>1.1292325418869483E-2</v>
      </c>
      <c r="M22" s="540">
        <f t="shared" ref="M22:M25" si="5">0.095*G22</f>
        <v>9.0008010199383912E-2</v>
      </c>
      <c r="N22" s="108">
        <v>1</v>
      </c>
      <c r="O22" s="108">
        <v>3</v>
      </c>
      <c r="P22" s="136">
        <f t="shared" ref="P22:P25" si="6">2*22</f>
        <v>44</v>
      </c>
      <c r="Q22" s="39">
        <f t="shared" ref="Q22:Y25" si="7">(E22*$N22*$O22)</f>
        <v>0.36081936797444447</v>
      </c>
      <c r="R22" s="29">
        <f t="shared" si="7"/>
        <v>1.1317933862296474</v>
      </c>
      <c r="S22" s="29">
        <f t="shared" si="7"/>
        <v>2.8423582168226496</v>
      </c>
      <c r="T22" s="29">
        <f t="shared" si="7"/>
        <v>5.6217640584402444E-3</v>
      </c>
      <c r="U22" s="29">
        <f t="shared" si="7"/>
        <v>9.3836214142798607E-2</v>
      </c>
      <c r="V22" s="29">
        <f t="shared" si="7"/>
        <v>8.351423058709076E-2</v>
      </c>
      <c r="W22" s="29">
        <f t="shared" si="7"/>
        <v>499.63618450338561</v>
      </c>
      <c r="X22" s="29">
        <f t="shared" si="7"/>
        <v>3.3876976256608446E-2</v>
      </c>
      <c r="Y22" s="29">
        <f t="shared" si="7"/>
        <v>0.27002403059815172</v>
      </c>
    </row>
    <row r="23" spans="1:25" s="3" customFormat="1" x14ac:dyDescent="0.25">
      <c r="A23" s="27" t="s">
        <v>155</v>
      </c>
      <c r="B23" s="34">
        <v>2015</v>
      </c>
      <c r="C23" s="134">
        <v>82</v>
      </c>
      <c r="D23" s="134">
        <v>0.5</v>
      </c>
      <c r="E23" s="546">
        <f>VLOOKUP($A23,EFROGS!$A$1:$J$44,(IF($B23=2015,4,IF($B23=2016,5,IF($B23=2017,6,IF($B23=2018,7,IF($B23=2019,8,IF($B23=2020,9,0))))))),FALSE)</f>
        <v>3.6309327217992599E-2</v>
      </c>
      <c r="F23" s="546">
        <f>VLOOKUP($A23,EFCOS!$A$1:$J$44,(IF($B23=2015,4,IF($B23=2016,5,IF($B23=2017,6,IF($B23=2018,7,IF($B23=2019,8,IF($B23=2020,9,0))))))),FALSE)</f>
        <v>0.46093801457747435</v>
      </c>
      <c r="G23" s="546">
        <f>VLOOKUP($A23,EFNOXS!$A$1:$J$44,(IF($B23=2015,4,IF($B23=2016,5,IF($B23=2017,6,IF($B23=2018,7,IF($B23=2019,8,IF($B23=2020,9,0))))))),FALSE)</f>
        <v>0.36619894798559588</v>
      </c>
      <c r="H23" s="546">
        <f>VLOOKUP($A23,EFSOXS!$A$1:$J$44,(IF($B23=2015,4,IF($B23=2016,5,IF($B23=2017,6,IF($B23=2018,7,IF($B23=2019,8,IF($B23=2020,9,0))))))),FALSE)</f>
        <v>9.0467796015684726E-4</v>
      </c>
      <c r="I23" s="546">
        <f>VLOOKUP($A23,EFPMS!$A$1:$J$44,(IF($B23=2015,4,IF($B23=2016,5,IF($B23=2017,6,IF($B23=2018,7,IF($B23=2019,8,IF($B23=2020,9,0))))))),FALSE)</f>
        <v>1.5314374699910852E-2</v>
      </c>
      <c r="J23" s="536">
        <f t="shared" si="4"/>
        <v>1.3629793482920658E-2</v>
      </c>
      <c r="K23" s="549">
        <f>VLOOKUP($A23,EFCO2S!$A$1:$J$44,(IF($B23=2015,4,IF($B23=2016,5,IF($B23=2017,6,IF($B23=2018,7,IF($B23=2019,8,IF($B23=2020,9,0))))))),FALSE)</f>
        <v>77.121767330485099</v>
      </c>
      <c r="L23" s="546">
        <f>VLOOKUP($A23,EFCH4S!$A$1:$J$44,(IF($B23=2015,4,IF($B23=2016,5,IF($B23=2017,6,IF($B23=2018,7,IF($B23=2019,8,IF($B23=2020,9,0))))))),FALSE)</f>
        <v>3.3884664579035585E-3</v>
      </c>
      <c r="M23" s="540">
        <f t="shared" si="5"/>
        <v>3.4788900058631611E-2</v>
      </c>
      <c r="N23" s="108">
        <v>2</v>
      </c>
      <c r="O23" s="108">
        <v>6</v>
      </c>
      <c r="P23" s="136">
        <f t="shared" si="6"/>
        <v>44</v>
      </c>
      <c r="Q23" s="39">
        <f t="shared" si="7"/>
        <v>0.43571192661591118</v>
      </c>
      <c r="R23" s="29">
        <f t="shared" si="7"/>
        <v>5.531256174929692</v>
      </c>
      <c r="S23" s="29">
        <f t="shared" si="7"/>
        <v>4.3943873758271508</v>
      </c>
      <c r="T23" s="29">
        <f t="shared" si="7"/>
        <v>1.0856135521882167E-2</v>
      </c>
      <c r="U23" s="29">
        <f t="shared" si="7"/>
        <v>0.18377249639893023</v>
      </c>
      <c r="V23" s="29">
        <f t="shared" si="7"/>
        <v>0.1635575217950479</v>
      </c>
      <c r="W23" s="29">
        <f t="shared" si="7"/>
        <v>925.46120796582113</v>
      </c>
      <c r="X23" s="29">
        <f t="shared" si="7"/>
        <v>4.0661597494842702E-2</v>
      </c>
      <c r="Y23" s="29">
        <f t="shared" si="7"/>
        <v>0.41746680070357933</v>
      </c>
    </row>
    <row r="24" spans="1:25" s="3" customFormat="1" x14ac:dyDescent="0.25">
      <c r="A24" s="37" t="s">
        <v>62</v>
      </c>
      <c r="B24" s="34">
        <v>2015</v>
      </c>
      <c r="C24" s="25">
        <v>85</v>
      </c>
      <c r="D24" s="134">
        <v>0.36</v>
      </c>
      <c r="E24" s="546">
        <f>VLOOKUP($A24,EFROGS!$A$1:$J$44,(IF($B24=2015,4,IF($B24=2016,5,IF($B24=2017,6,IF($B24=2018,7,IF($B24=2019,8,IF($B24=2020,9,0))))))),FALSE)</f>
        <v>7.9801484832556724E-2</v>
      </c>
      <c r="F24" s="546">
        <f>VLOOKUP($A24,EFCOS!$A$1:$J$44,(IF($B24=2015,4,IF($B24=2016,5,IF($B24=2017,6,IF($B24=2018,7,IF($B24=2019,8,IF($B24=2020,9,0))))))),FALSE)</f>
        <v>0.40100742191945721</v>
      </c>
      <c r="G24" s="546">
        <f>VLOOKUP($A24,EFNOXS!$A$1:$J$44,(IF($B24=2015,4,IF($B24=2016,5,IF($B24=2017,6,IF($B24=2018,7,IF($B24=2019,8,IF($B24=2020,9,0))))))),FALSE)</f>
        <v>0.50491905800089187</v>
      </c>
      <c r="H24" s="546">
        <f>VLOOKUP($A24,EFSOXS!$A$1:$J$44,(IF($B24=2015,4,IF($B24=2016,5,IF($B24=2017,6,IF($B24=2018,7,IF($B24=2019,8,IF($B24=2020,9,0))))))),FALSE)</f>
        <v>6.9108572612879135E-4</v>
      </c>
      <c r="I24" s="546">
        <f>VLOOKUP($A24,EFPMS!$A$1:$J$44,(IF($B24=2015,4,IF($B24=2016,5,IF($B24=2017,6,IF($B24=2018,7,IF($B24=2019,8,IF($B24=2020,9,0))))))),FALSE)</f>
        <v>4.0955217982968535E-2</v>
      </c>
      <c r="J24" s="536">
        <f t="shared" si="4"/>
        <v>3.6450144004841999E-2</v>
      </c>
      <c r="K24" s="549">
        <f>VLOOKUP($A24,EFCO2S!$A$1:$J$44,(IF($B24=2015,4,IF($B24=2016,5,IF($B24=2017,6,IF($B24=2018,7,IF($B24=2019,8,IF($B24=2020,9,0))))))),FALSE)</f>
        <v>58.913512015277149</v>
      </c>
      <c r="L24" s="546">
        <f>VLOOKUP($A24,EFCH4S!$A$1:$J$44,(IF($B24=2015,4,IF($B24=2016,5,IF($B24=2017,6,IF($B24=2018,7,IF($B24=2019,8,IF($B24=2020,9,0))))))),FALSE)</f>
        <v>7.5344751889799754E-3</v>
      </c>
      <c r="M24" s="540">
        <f t="shared" si="5"/>
        <v>4.7967310510084731E-2</v>
      </c>
      <c r="N24" s="108">
        <v>1</v>
      </c>
      <c r="O24" s="108">
        <v>4</v>
      </c>
      <c r="P24" s="136">
        <f t="shared" si="6"/>
        <v>44</v>
      </c>
      <c r="Q24" s="39">
        <f t="shared" si="7"/>
        <v>0.3192059393302269</v>
      </c>
      <c r="R24" s="29">
        <f t="shared" si="7"/>
        <v>1.6040296876778288</v>
      </c>
      <c r="S24" s="29">
        <f t="shared" si="7"/>
        <v>2.0196762320035675</v>
      </c>
      <c r="T24" s="29">
        <f t="shared" si="7"/>
        <v>2.7643429045151654E-3</v>
      </c>
      <c r="U24" s="29">
        <f t="shared" si="7"/>
        <v>0.16382087193187414</v>
      </c>
      <c r="V24" s="29">
        <f t="shared" si="7"/>
        <v>0.14580057601936799</v>
      </c>
      <c r="W24" s="29">
        <f t="shared" si="7"/>
        <v>235.6540480611086</v>
      </c>
      <c r="X24" s="29">
        <f t="shared" si="7"/>
        <v>3.0137900755919902E-2</v>
      </c>
      <c r="Y24" s="29">
        <f t="shared" si="7"/>
        <v>0.19186924204033892</v>
      </c>
    </row>
    <row r="25" spans="1:25" s="3" customFormat="1" x14ac:dyDescent="0.25">
      <c r="A25" s="37" t="s">
        <v>61</v>
      </c>
      <c r="B25" s="34">
        <v>2015</v>
      </c>
      <c r="C25" s="25">
        <v>235</v>
      </c>
      <c r="D25" s="134">
        <v>0.38</v>
      </c>
      <c r="E25" s="546">
        <f>VLOOKUP($A25,EFROGS!$A$1:$J$44,(IF($B25=2015,4,IF($B25=2016,5,IF($B25=2017,6,IF($B25=2018,7,IF($B25=2019,8,IF($B25=2020,9,0))))))),FALSE)</f>
        <v>0.12027312265814816</v>
      </c>
      <c r="F25" s="546">
        <f>VLOOKUP($A25,EFCOS!$A$1:$J$44,(IF($B25=2015,4,IF($B25=2016,5,IF($B25=2017,6,IF($B25=2018,7,IF($B25=2019,8,IF($B25=2020,9,0))))))),FALSE)</f>
        <v>0.37726446207654918</v>
      </c>
      <c r="G25" s="546">
        <f>VLOOKUP($A25,EFNOXS!$A$1:$J$44,(IF($B25=2015,4,IF($B25=2016,5,IF($B25=2017,6,IF($B25=2018,7,IF($B25=2019,8,IF($B25=2020,9,0))))))),FALSE)</f>
        <v>0.94745273894088322</v>
      </c>
      <c r="H25" s="546">
        <f>VLOOKUP($A25,EFSOXS!$A$1:$J$44,(IF($B25=2015,4,IF($B25=2016,5,IF($B25=2017,6,IF($B25=2018,7,IF($B25=2019,8,IF($B25=2020,9,0))))))),FALSE)</f>
        <v>1.8739213528134147E-3</v>
      </c>
      <c r="I25" s="546">
        <f>VLOOKUP($A25,EFPMS!$A$1:$J$44,(IF($B25=2015,4,IF($B25=2016,5,IF($B25=2017,6,IF($B25=2018,7,IF($B25=2019,8,IF($B25=2020,9,0))))))),FALSE)</f>
        <v>3.1278738047599536E-2</v>
      </c>
      <c r="J25" s="536">
        <f t="shared" si="4"/>
        <v>2.7838076862363587E-2</v>
      </c>
      <c r="K25" s="549">
        <f>VLOOKUP($A25,EFCO2S!$A$1:$J$44,(IF($B25=2015,4,IF($B25=2016,5,IF($B25=2017,6,IF($B25=2018,7,IF($B25=2019,8,IF($B25=2020,9,0))))))),FALSE)</f>
        <v>166.54539483446186</v>
      </c>
      <c r="L25" s="546">
        <f>VLOOKUP($A25,EFCH4S!$A$1:$J$44,(IF($B25=2015,4,IF($B25=2016,5,IF($B25=2017,6,IF($B25=2018,7,IF($B25=2019,8,IF($B25=2020,9,0))))))),FALSE)</f>
        <v>1.1292325418869483E-2</v>
      </c>
      <c r="M25" s="540">
        <f t="shared" si="5"/>
        <v>9.0008010199383912E-2</v>
      </c>
      <c r="N25" s="108">
        <v>2</v>
      </c>
      <c r="O25" s="108">
        <v>3</v>
      </c>
      <c r="P25" s="136">
        <f t="shared" si="6"/>
        <v>44</v>
      </c>
      <c r="Q25" s="39">
        <f t="shared" si="7"/>
        <v>0.72163873594888894</v>
      </c>
      <c r="R25" s="29">
        <f t="shared" si="7"/>
        <v>2.2635867724592948</v>
      </c>
      <c r="S25" s="29">
        <f t="shared" si="7"/>
        <v>5.6847164336452991</v>
      </c>
      <c r="T25" s="29">
        <f t="shared" si="7"/>
        <v>1.1243528116880489E-2</v>
      </c>
      <c r="U25" s="29">
        <f t="shared" si="7"/>
        <v>0.18767242828559721</v>
      </c>
      <c r="V25" s="29">
        <f t="shared" si="7"/>
        <v>0.16702846117418152</v>
      </c>
      <c r="W25" s="29">
        <f t="shared" si="7"/>
        <v>999.27236900677121</v>
      </c>
      <c r="X25" s="29">
        <f t="shared" si="7"/>
        <v>6.7753952513216892E-2</v>
      </c>
      <c r="Y25" s="29">
        <f t="shared" si="7"/>
        <v>0.54004806119630344</v>
      </c>
    </row>
    <row r="26" spans="1:25" s="3" customFormat="1" x14ac:dyDescent="0.25">
      <c r="A26" s="19" t="s">
        <v>38</v>
      </c>
      <c r="B26" s="34"/>
      <c r="C26" s="25"/>
      <c r="D26" s="13"/>
      <c r="E26" s="26"/>
      <c r="F26" s="26"/>
      <c r="G26" s="26"/>
      <c r="H26" s="26"/>
      <c r="I26" s="26"/>
      <c r="J26" s="27"/>
      <c r="K26" s="28"/>
      <c r="L26" s="26"/>
      <c r="M26" s="38"/>
      <c r="N26" s="135"/>
      <c r="O26" s="135"/>
      <c r="P26" s="136"/>
      <c r="Q26" s="138">
        <f>SUM(Q22:Q25)</f>
        <v>1.8373759698694716</v>
      </c>
      <c r="R26" s="138">
        <f t="shared" ref="R26:Y26" si="8">SUM(R22:R25)</f>
        <v>10.530666021296463</v>
      </c>
      <c r="S26" s="138">
        <f t="shared" si="8"/>
        <v>14.941138258298666</v>
      </c>
      <c r="T26" s="138">
        <f t="shared" si="8"/>
        <v>3.0485770601718067E-2</v>
      </c>
      <c r="U26" s="138">
        <f t="shared" si="8"/>
        <v>0.62910201075920025</v>
      </c>
      <c r="V26" s="138">
        <f t="shared" si="8"/>
        <v>0.55990078957568823</v>
      </c>
      <c r="W26" s="138">
        <f t="shared" si="8"/>
        <v>2660.0238095370864</v>
      </c>
      <c r="X26" s="138">
        <f t="shared" si="8"/>
        <v>0.17243042702058795</v>
      </c>
      <c r="Y26" s="138">
        <f t="shared" si="8"/>
        <v>1.4194081345383736</v>
      </c>
    </row>
    <row r="27" spans="1:25" s="3" customFormat="1" x14ac:dyDescent="0.25">
      <c r="A27" s="19" t="s">
        <v>630</v>
      </c>
      <c r="B27" s="34"/>
      <c r="C27" s="25"/>
      <c r="D27" s="13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138">
        <f>Q19+Q26</f>
        <v>10.573920197837824</v>
      </c>
      <c r="R27" s="138">
        <f t="shared" ref="R27:Y27" si="9">R19+R26</f>
        <v>44.244993856164179</v>
      </c>
      <c r="S27" s="138">
        <f t="shared" si="9"/>
        <v>85.737394220241626</v>
      </c>
      <c r="T27" s="138">
        <f t="shared" si="9"/>
        <v>0.1487513827033628</v>
      </c>
      <c r="U27" s="138">
        <f t="shared" si="9"/>
        <v>3.3229130154916553</v>
      </c>
      <c r="V27" s="138">
        <f t="shared" si="9"/>
        <v>2.957392583787573</v>
      </c>
      <c r="W27" s="138">
        <f t="shared" si="9"/>
        <v>13877.804562409867</v>
      </c>
      <c r="X27" s="138">
        <f t="shared" si="9"/>
        <v>0.99372122613022951</v>
      </c>
      <c r="Y27" s="138">
        <f t="shared" si="9"/>
        <v>8.1450524509229556</v>
      </c>
    </row>
    <row r="28" spans="1:25" s="3" customFormat="1" x14ac:dyDescent="0.25">
      <c r="A28" s="27"/>
      <c r="B28" s="34"/>
      <c r="C28" s="25"/>
      <c r="D28" s="13"/>
      <c r="E28" s="26"/>
      <c r="F28" s="26"/>
      <c r="G28" s="26"/>
      <c r="H28" s="26"/>
      <c r="I28" s="26"/>
      <c r="J28" s="27"/>
      <c r="K28" s="28"/>
      <c r="L28" s="26"/>
      <c r="M28" s="38"/>
      <c r="N28" s="135"/>
      <c r="O28" s="135"/>
      <c r="P28" s="136"/>
      <c r="Q28" s="39"/>
      <c r="R28" s="29"/>
      <c r="S28" s="29"/>
      <c r="T28" s="29"/>
      <c r="U28" s="29"/>
      <c r="V28" s="29"/>
      <c r="W28" s="29"/>
      <c r="X28" s="29"/>
      <c r="Y28" s="29"/>
    </row>
    <row r="29" spans="1:25" s="3" customFormat="1" x14ac:dyDescent="0.25">
      <c r="A29" s="19" t="s">
        <v>269</v>
      </c>
      <c r="B29" s="34">
        <v>2016</v>
      </c>
      <c r="C29" s="25"/>
      <c r="D29" s="13"/>
      <c r="E29" s="26"/>
      <c r="F29" s="26"/>
      <c r="G29" s="26"/>
      <c r="H29" s="26"/>
      <c r="I29" s="26"/>
      <c r="J29" s="27"/>
      <c r="K29" s="28"/>
      <c r="L29" s="26"/>
      <c r="M29" s="38"/>
      <c r="N29" s="135"/>
      <c r="O29" s="135"/>
      <c r="P29" s="136"/>
      <c r="Q29" s="39"/>
      <c r="R29" s="29"/>
      <c r="S29" s="29"/>
      <c r="T29" s="29"/>
      <c r="U29" s="29"/>
      <c r="V29" s="29"/>
      <c r="W29" s="29"/>
      <c r="X29" s="29"/>
      <c r="Y29" s="29"/>
    </row>
    <row r="30" spans="1:25" s="3" customFormat="1" x14ac:dyDescent="0.25">
      <c r="A30" s="27" t="s">
        <v>205</v>
      </c>
      <c r="B30" s="34">
        <v>2016</v>
      </c>
      <c r="C30" s="25">
        <v>235</v>
      </c>
      <c r="D30" s="134">
        <v>0.38</v>
      </c>
      <c r="E30" s="546">
        <f>VLOOKUP($A30,EFROGS!$A$1:$J$44,(IF($B30=2015,4,IF($B30=2016,5,IF($B30=2017,6,IF($B30=2018,7,IF($B30=2019,8,IF($B30=2020,9,0))))))),FALSE)</f>
        <v>0.10888615948643803</v>
      </c>
      <c r="F30" s="546">
        <f>VLOOKUP($A30,EFCOS!$A$1:$J$44,(IF($B30=2015,4,IF($B30=2016,5,IF($B30=2017,6,IF($B30=2018,7,IF($B30=2019,8,IF($B30=2020,9,0))))))),FALSE)</f>
        <v>0.37192102764732693</v>
      </c>
      <c r="G30" s="546">
        <f>VLOOKUP($A30,EFNOXS!$A$1:$J$44,(IF($B30=2015,4,IF($B30=2016,5,IF($B30=2017,6,IF($B30=2018,7,IF($B30=2019,8,IF($B30=2020,9,0))))))),FALSE)</f>
        <v>0.78693926319648355</v>
      </c>
      <c r="H30" s="546">
        <f>VLOOKUP($A30,EFSOXS!$A$1:$J$44,(IF($B30=2015,4,IF($B30=2016,5,IF($B30=2017,6,IF($B30=2018,7,IF($B30=2019,8,IF($B30=2020,9,0))))))),FALSE)</f>
        <v>1.8739217498104396E-3</v>
      </c>
      <c r="I30" s="546">
        <f>VLOOKUP($A30,EFPMS!$A$1:$J$44,(IF($B30=2015,4,IF($B30=2016,5,IF($B30=2017,6,IF($B30=2018,7,IF($B30=2019,8,IF($B30=2020,9,0))))))),FALSE)</f>
        <v>2.6432845298835113E-2</v>
      </c>
      <c r="J30" s="536">
        <f t="shared" ref="J30:J33" si="10">0.89*I30</f>
        <v>2.3525232315963252E-2</v>
      </c>
      <c r="K30" s="549">
        <f>VLOOKUP($A30,EFCO2S!$A$1:$J$44,(IF($B30=2015,4,IF($B30=2016,5,IF($B30=2017,6,IF($B30=2018,7,IF($B30=2019,8,IF($B30=2020,9,0))))))),FALSE)</f>
        <v>166.54541562452522</v>
      </c>
      <c r="L30" s="546">
        <f>VLOOKUP($A30,EFCH4S!$A$1:$J$44,(IF($B30=2015,4,IF($B30=2016,5,IF($B30=2017,6,IF($B30=2018,7,IF($B30=2019,8,IF($B30=2020,9,0))))))),FALSE)</f>
        <v>1.063993297769634E-2</v>
      </c>
      <c r="M30" s="540">
        <f t="shared" ref="M30:M33" si="11">0.095*G30</f>
        <v>7.4759230003665939E-2</v>
      </c>
      <c r="N30" s="135">
        <v>1</v>
      </c>
      <c r="O30" s="135">
        <v>2</v>
      </c>
      <c r="P30" s="109">
        <f t="shared" ref="P30:P33" si="12">5*22</f>
        <v>110</v>
      </c>
      <c r="Q30" s="39">
        <f t="shared" ref="Q30:Y33" si="13">(E30*$N30*$O30)</f>
        <v>0.21777231897287605</v>
      </c>
      <c r="R30" s="29">
        <f t="shared" si="13"/>
        <v>0.74384205529465386</v>
      </c>
      <c r="S30" s="29">
        <f t="shared" si="13"/>
        <v>1.5738785263929671</v>
      </c>
      <c r="T30" s="29">
        <f t="shared" si="13"/>
        <v>3.7478434996208792E-3</v>
      </c>
      <c r="U30" s="29">
        <f t="shared" si="13"/>
        <v>5.2865690597670226E-2</v>
      </c>
      <c r="V30" s="29">
        <f t="shared" si="13"/>
        <v>4.7050464631926504E-2</v>
      </c>
      <c r="W30" s="29">
        <f t="shared" si="13"/>
        <v>333.09083124905044</v>
      </c>
      <c r="X30" s="29">
        <f t="shared" si="13"/>
        <v>2.127986595539268E-2</v>
      </c>
      <c r="Y30" s="29">
        <f t="shared" si="13"/>
        <v>0.14951846000733188</v>
      </c>
    </row>
    <row r="31" spans="1:25" s="3" customFormat="1" x14ac:dyDescent="0.25">
      <c r="A31" s="27" t="s">
        <v>202</v>
      </c>
      <c r="B31" s="34">
        <v>2016</v>
      </c>
      <c r="C31" s="25">
        <v>399</v>
      </c>
      <c r="D31" s="134">
        <v>0.28999999999999998</v>
      </c>
      <c r="E31" s="546">
        <f>VLOOKUP($A31,EFROGS!$A$1:$J$44,(IF($B31=2015,4,IF($B31=2016,5,IF($B31=2017,6,IF($B31=2018,7,IF($B31=2019,8,IF($B31=2020,9,0))))))),FALSE)</f>
        <v>0.1228188382407441</v>
      </c>
      <c r="F31" s="546">
        <f>VLOOKUP($A31,EFCOS!$A$1:$J$44,(IF($B31=2015,4,IF($B31=2016,5,IF($B31=2017,6,IF($B31=2018,7,IF($B31=2019,8,IF($B31=2020,9,0))))))),FALSE)</f>
        <v>0.45492412964990703</v>
      </c>
      <c r="G31" s="546">
        <f>VLOOKUP($A31,EFNOXS!$A$1:$J$44,(IF($B31=2015,4,IF($B31=2016,5,IF($B31=2017,6,IF($B31=2018,7,IF($B31=2019,8,IF($B31=2020,9,0))))))),FALSE)</f>
        <v>0.97275799069431301</v>
      </c>
      <c r="H31" s="546">
        <f>VLOOKUP($A31,EFSOXS!$A$1:$J$44,(IF($B31=2015,4,IF($B31=2016,5,IF($B31=2017,6,IF($B31=2018,7,IF($B31=2019,8,IF($B31=2020,9,0))))))),FALSE)</f>
        <v>1.7677532588218458E-3</v>
      </c>
      <c r="I31" s="546">
        <f>VLOOKUP($A31,EFPMS!$A$1:$J$44,(IF($B31=2015,4,IF($B31=2016,5,IF($B31=2017,6,IF($B31=2018,7,IF($B31=2019,8,IF($B31=2020,9,0))))))),FALSE)</f>
        <v>3.5216325713369134E-2</v>
      </c>
      <c r="J31" s="536">
        <f t="shared" si="10"/>
        <v>3.134252988489853E-2</v>
      </c>
      <c r="K31" s="549">
        <f>VLOOKUP($A31,EFCO2S!$A$1:$J$44,(IF($B31=2015,4,IF($B31=2016,5,IF($B31=2017,6,IF($B31=2018,7,IF($B31=2019,8,IF($B31=2020,9,0))))))),FALSE)</f>
        <v>180.10130637401463</v>
      </c>
      <c r="L31" s="546">
        <f>VLOOKUP($A31,EFCH4S!$A$1:$J$44,(IF($B31=2015,4,IF($B31=2016,5,IF($B31=2017,6,IF($B31=2018,7,IF($B31=2019,8,IF($B31=2020,9,0))))))),FALSE)</f>
        <v>1.1955016897318338E-2</v>
      </c>
      <c r="M31" s="540">
        <f t="shared" si="11"/>
        <v>9.2412009115959731E-2</v>
      </c>
      <c r="N31" s="108">
        <v>1</v>
      </c>
      <c r="O31" s="108">
        <v>3</v>
      </c>
      <c r="P31" s="109">
        <f t="shared" si="12"/>
        <v>110</v>
      </c>
      <c r="Q31" s="39">
        <f t="shared" si="13"/>
        <v>0.36845651472223229</v>
      </c>
      <c r="R31" s="29">
        <f t="shared" si="13"/>
        <v>1.3647723889497212</v>
      </c>
      <c r="S31" s="29">
        <f t="shared" si="13"/>
        <v>2.9182739720829391</v>
      </c>
      <c r="T31" s="29">
        <f t="shared" si="13"/>
        <v>5.3032597764655371E-3</v>
      </c>
      <c r="U31" s="29">
        <f t="shared" si="13"/>
        <v>0.1056489771401074</v>
      </c>
      <c r="V31" s="29">
        <f t="shared" si="13"/>
        <v>9.4027589654695598E-2</v>
      </c>
      <c r="W31" s="29">
        <f t="shared" si="13"/>
        <v>540.30391912204391</v>
      </c>
      <c r="X31" s="29">
        <f t="shared" si="13"/>
        <v>3.5865050691955017E-2</v>
      </c>
      <c r="Y31" s="29">
        <f t="shared" si="13"/>
        <v>0.27723602734787922</v>
      </c>
    </row>
    <row r="32" spans="1:25" s="3" customFormat="1" x14ac:dyDescent="0.25">
      <c r="A32" s="27" t="s">
        <v>163</v>
      </c>
      <c r="B32" s="34">
        <v>2016</v>
      </c>
      <c r="C32" s="25">
        <v>75</v>
      </c>
      <c r="D32" s="134">
        <v>0.31</v>
      </c>
      <c r="E32" s="546">
        <f>VLOOKUP($A32,EFROGS!$A$1:$J$44,(IF($B32=2015,4,IF($B32=2016,5,IF($B32=2017,6,IF($B32=2018,7,IF($B32=2019,8,IF($B32=2020,9,0))))))),FALSE)</f>
        <v>3.7848085547672369E-2</v>
      </c>
      <c r="F32" s="546">
        <f>VLOOKUP($A32,EFCOS!$A$1:$J$44,(IF($B32=2015,4,IF($B32=2016,5,IF($B32=2017,6,IF($B32=2018,7,IF($B32=2019,8,IF($B32=2020,9,0))))))),FALSE)</f>
        <v>0.23095739347567587</v>
      </c>
      <c r="G32" s="546">
        <f>VLOOKUP($A32,EFNOXS!$A$1:$J$44,(IF($B32=2015,4,IF($B32=2016,5,IF($B32=2017,6,IF($B32=2018,7,IF($B32=2019,8,IF($B32=2020,9,0))))))),FALSE)</f>
        <v>0.27347169152642881</v>
      </c>
      <c r="H32" s="546">
        <f>VLOOKUP($A32,EFSOXS!$A$1:$J$44,(IF($B32=2015,4,IF($B32=2016,5,IF($B32=2017,6,IF($B32=2018,7,IF($B32=2019,8,IF($B32=2020,9,0))))))),FALSE)</f>
        <v>4.4660184460307463E-4</v>
      </c>
      <c r="I32" s="546">
        <f>VLOOKUP($A32,EFPMS!$A$1:$J$44,(IF($B32=2015,4,IF($B32=2016,5,IF($B32=2017,6,IF($B32=2018,7,IF($B32=2019,8,IF($B32=2020,9,0))))))),FALSE)</f>
        <v>1.9787803716078484E-2</v>
      </c>
      <c r="J32" s="536">
        <f t="shared" si="10"/>
        <v>1.7611145307309853E-2</v>
      </c>
      <c r="K32" s="549">
        <f>VLOOKUP($A32,EFCO2S!$A$1:$J$44,(IF($B32=2015,4,IF($B32=2016,5,IF($B32=2017,6,IF($B32=2018,7,IF($B32=2019,8,IF($B32=2020,9,0))))))),FALSE)</f>
        <v>38.071823208441309</v>
      </c>
      <c r="L32" s="546">
        <f>VLOOKUP($A32,EFCH4S!$A$1:$J$44,(IF($B32=2015,4,IF($B32=2016,5,IF($B32=2017,6,IF($B32=2018,7,IF($B32=2019,8,IF($B32=2020,9,0))))))),FALSE)</f>
        <v>3.7224725625345937E-3</v>
      </c>
      <c r="M32" s="540">
        <f t="shared" si="11"/>
        <v>2.5979810695010735E-2</v>
      </c>
      <c r="N32" s="108">
        <v>2</v>
      </c>
      <c r="O32" s="108">
        <v>6</v>
      </c>
      <c r="P32" s="109">
        <f t="shared" si="12"/>
        <v>110</v>
      </c>
      <c r="Q32" s="39">
        <f t="shared" si="13"/>
        <v>0.45417702657206843</v>
      </c>
      <c r="R32" s="29">
        <f t="shared" si="13"/>
        <v>2.7714887217081103</v>
      </c>
      <c r="S32" s="29">
        <f t="shared" si="13"/>
        <v>3.2816602983171457</v>
      </c>
      <c r="T32" s="29">
        <f t="shared" si="13"/>
        <v>5.3592221352368958E-3</v>
      </c>
      <c r="U32" s="29">
        <f t="shared" si="13"/>
        <v>0.23745364459294183</v>
      </c>
      <c r="V32" s="29">
        <f t="shared" si="13"/>
        <v>0.21133374368771823</v>
      </c>
      <c r="W32" s="29">
        <f t="shared" si="13"/>
        <v>456.86187850129568</v>
      </c>
      <c r="X32" s="29">
        <f t="shared" si="13"/>
        <v>4.4669670750415127E-2</v>
      </c>
      <c r="Y32" s="29">
        <f t="shared" si="13"/>
        <v>0.31175772834012883</v>
      </c>
    </row>
    <row r="33" spans="1:25" s="3" customFormat="1" x14ac:dyDescent="0.25">
      <c r="A33" s="27" t="s">
        <v>192</v>
      </c>
      <c r="B33" s="34">
        <v>2016</v>
      </c>
      <c r="C33" s="25">
        <v>45</v>
      </c>
      <c r="D33" s="25">
        <v>1</v>
      </c>
      <c r="E33" s="546">
        <f>VLOOKUP($A33,EFROGS!$A$1:$J$44,(IF($B33=2015,4,IF($B33=2016,5,IF($B33=2017,6,IF($B33=2018,7,IF($B33=2019,8,IF($B33=2020,9,0))))))),FALSE)</f>
        <v>6.0031826185753062E-2</v>
      </c>
      <c r="F33" s="546">
        <f>VLOOKUP($A33,EFCOS!$A$1:$J$44,(IF($B33=2015,4,IF($B33=2016,5,IF($B33=2017,6,IF($B33=2018,7,IF($B33=2019,8,IF($B33=2020,9,0))))))),FALSE)</f>
        <v>0.24597366704095389</v>
      </c>
      <c r="G33" s="546">
        <f>VLOOKUP($A33,EFNOXS!$A$1:$J$44,(IF($B33=2015,4,IF($B33=2016,5,IF($B33=2017,6,IF($B33=2018,7,IF($B33=2019,8,IF($B33=2020,9,0))))))),FALSE)</f>
        <v>0.21311283631353706</v>
      </c>
      <c r="H33" s="546">
        <f>VLOOKUP($A33,EFSOXS!$A$1:$J$44,(IF($B33=2015,4,IF($B33=2016,5,IF($B33=2017,6,IF($B33=2018,7,IF($B33=2019,8,IF($B33=2020,9,0))))))),FALSE)</f>
        <v>2.8791175201714529E-4</v>
      </c>
      <c r="I33" s="546">
        <f>VLOOKUP($A33,EFPMS!$A$1:$J$44,(IF($B33=2015,4,IF($B33=2016,5,IF($B33=2017,6,IF($B33=2018,7,IF($B33=2019,8,IF($B33=2020,9,0))))))),FALSE)</f>
        <v>1.5037193593767375E-2</v>
      </c>
      <c r="J33" s="536">
        <f t="shared" si="10"/>
        <v>1.3383102298452963E-2</v>
      </c>
      <c r="K33" s="549">
        <f>VLOOKUP($A33,EFCO2S!$A$1:$J$44,(IF($B33=2015,4,IF($B33=2016,5,IF($B33=2017,6,IF($B33=2018,7,IF($B33=2019,8,IF($B33=2020,9,0))))))),FALSE)</f>
        <v>22.271256112007169</v>
      </c>
      <c r="L33" s="546">
        <f>VLOOKUP($A33,EFCH4S!$A$1:$J$44,(IF($B33=2015,4,IF($B33=2016,5,IF($B33=2017,6,IF($B33=2018,7,IF($B33=2019,8,IF($B33=2020,9,0))))))),FALSE)</f>
        <v>6.0184173846369749E-3</v>
      </c>
      <c r="M33" s="540">
        <f t="shared" si="11"/>
        <v>2.024571944978602E-2</v>
      </c>
      <c r="N33" s="135">
        <v>3</v>
      </c>
      <c r="O33" s="135">
        <v>8</v>
      </c>
      <c r="P33" s="109">
        <f t="shared" si="12"/>
        <v>110</v>
      </c>
      <c r="Q33" s="39">
        <f t="shared" si="13"/>
        <v>1.4407638284580735</v>
      </c>
      <c r="R33" s="29">
        <f t="shared" si="13"/>
        <v>5.903368008982893</v>
      </c>
      <c r="S33" s="29">
        <f t="shared" si="13"/>
        <v>5.1147080715248894</v>
      </c>
      <c r="T33" s="29">
        <f t="shared" si="13"/>
        <v>6.9098820484114875E-3</v>
      </c>
      <c r="U33" s="29">
        <f t="shared" si="13"/>
        <v>0.360892646250417</v>
      </c>
      <c r="V33" s="29">
        <f t="shared" si="13"/>
        <v>0.3211944551628711</v>
      </c>
      <c r="W33" s="29">
        <f t="shared" si="13"/>
        <v>534.51014668817209</v>
      </c>
      <c r="X33" s="29">
        <f t="shared" si="13"/>
        <v>0.14444201723128741</v>
      </c>
      <c r="Y33" s="29">
        <f t="shared" si="13"/>
        <v>0.48589726679486445</v>
      </c>
    </row>
    <row r="34" spans="1:25" s="3" customFormat="1" x14ac:dyDescent="0.25">
      <c r="A34" s="19" t="s">
        <v>38</v>
      </c>
      <c r="B34" s="34"/>
      <c r="C34" s="25"/>
      <c r="D34" s="20"/>
      <c r="E34" s="26"/>
      <c r="F34" s="26"/>
      <c r="G34" s="26"/>
      <c r="H34" s="26"/>
      <c r="I34" s="26"/>
      <c r="J34" s="27"/>
      <c r="K34" s="28"/>
      <c r="L34" s="26"/>
      <c r="M34" s="38"/>
      <c r="N34" s="135"/>
      <c r="O34" s="135"/>
      <c r="P34" s="136"/>
      <c r="Q34" s="138">
        <f>SUM(Q30:Q33)</f>
        <v>2.4811696887252506</v>
      </c>
      <c r="R34" s="138">
        <f t="shared" ref="R34:Y34" si="14">SUM(R30:R33)</f>
        <v>10.783471174935379</v>
      </c>
      <c r="S34" s="138">
        <f t="shared" si="14"/>
        <v>12.888520868317942</v>
      </c>
      <c r="T34" s="138">
        <f t="shared" si="14"/>
        <v>2.13202074597348E-2</v>
      </c>
      <c r="U34" s="138">
        <f t="shared" si="14"/>
        <v>0.75686095858113644</v>
      </c>
      <c r="V34" s="138">
        <f t="shared" si="14"/>
        <v>0.67360625313721134</v>
      </c>
      <c r="W34" s="138">
        <f t="shared" si="14"/>
        <v>1864.7667755605621</v>
      </c>
      <c r="X34" s="138">
        <f t="shared" si="14"/>
        <v>0.24625660462905025</v>
      </c>
      <c r="Y34" s="138">
        <f t="shared" si="14"/>
        <v>1.2244094824902043</v>
      </c>
    </row>
    <row r="35" spans="1:25" s="3" customFormat="1" x14ac:dyDescent="0.25">
      <c r="A35" s="19" t="s">
        <v>631</v>
      </c>
      <c r="B35" s="34"/>
      <c r="C35" s="25"/>
      <c r="D35" s="20"/>
      <c r="E35" s="26"/>
      <c r="F35" s="26"/>
      <c r="G35" s="26"/>
      <c r="H35" s="26"/>
      <c r="I35" s="26"/>
      <c r="J35" s="27"/>
      <c r="K35" s="28"/>
      <c r="L35" s="26"/>
      <c r="M35" s="38"/>
      <c r="N35" s="135"/>
      <c r="O35" s="135"/>
      <c r="P35" s="136"/>
      <c r="Q35" s="138">
        <f>Q34</f>
        <v>2.4811696887252506</v>
      </c>
      <c r="R35" s="138">
        <f t="shared" ref="R35:Y35" si="15">R34</f>
        <v>10.783471174935379</v>
      </c>
      <c r="S35" s="138">
        <f t="shared" si="15"/>
        <v>12.888520868317942</v>
      </c>
      <c r="T35" s="138">
        <f t="shared" si="15"/>
        <v>2.13202074597348E-2</v>
      </c>
      <c r="U35" s="138">
        <f t="shared" si="15"/>
        <v>0.75686095858113644</v>
      </c>
      <c r="V35" s="138">
        <f t="shared" si="15"/>
        <v>0.67360625313721134</v>
      </c>
      <c r="W35" s="138">
        <f t="shared" si="15"/>
        <v>1864.7667755605621</v>
      </c>
      <c r="X35" s="138">
        <f t="shared" si="15"/>
        <v>0.24625660462905025</v>
      </c>
      <c r="Y35" s="138">
        <f t="shared" si="15"/>
        <v>1.2244094824902043</v>
      </c>
    </row>
    <row r="36" spans="1:25" s="3" customFormat="1" x14ac:dyDescent="0.25">
      <c r="A36" s="27"/>
      <c r="B36" s="34"/>
      <c r="C36" s="25"/>
      <c r="D36" s="20"/>
      <c r="E36" s="26"/>
      <c r="F36" s="26"/>
      <c r="G36" s="26"/>
      <c r="H36" s="26"/>
      <c r="I36" s="26"/>
      <c r="J36" s="27"/>
      <c r="K36" s="28"/>
      <c r="L36" s="26"/>
      <c r="M36" s="38"/>
      <c r="N36" s="135"/>
      <c r="O36" s="135"/>
      <c r="P36" s="136"/>
      <c r="Q36" s="39"/>
      <c r="R36" s="29"/>
      <c r="S36" s="29"/>
      <c r="T36" s="29"/>
      <c r="U36" s="29"/>
      <c r="V36" s="29"/>
      <c r="W36" s="29"/>
      <c r="X36" s="29"/>
      <c r="Y36" s="29"/>
    </row>
    <row r="37" spans="1:25" s="3" customFormat="1" x14ac:dyDescent="0.25">
      <c r="A37" s="19" t="s">
        <v>270</v>
      </c>
      <c r="B37" s="34">
        <v>2018</v>
      </c>
      <c r="C37" s="25"/>
      <c r="D37" s="20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39"/>
      <c r="R37" s="29"/>
      <c r="S37" s="29"/>
      <c r="T37" s="29"/>
      <c r="U37" s="29"/>
      <c r="V37" s="29"/>
      <c r="W37" s="29"/>
      <c r="X37" s="29"/>
      <c r="Y37" s="29"/>
    </row>
    <row r="38" spans="1:25" s="3" customFormat="1" x14ac:dyDescent="0.25">
      <c r="A38" s="27" t="s">
        <v>163</v>
      </c>
      <c r="B38" s="34">
        <v>2018</v>
      </c>
      <c r="C38" s="25">
        <v>75</v>
      </c>
      <c r="D38" s="134">
        <v>0.31</v>
      </c>
      <c r="E38" s="546">
        <f>VLOOKUP($A38,EFROGS!$A$1:$J$44,(IF($B38=2015,4,IF($B38=2016,5,IF($B38=2017,6,IF($B38=2018,7,IF($B38=2019,8,IF($B38=2020,9,0))))))),FALSE)</f>
        <v>2.503304302758573E-2</v>
      </c>
      <c r="F38" s="546">
        <f>VLOOKUP($A38,EFCOS!$A$1:$J$44,(IF($B38=2015,4,IF($B38=2016,5,IF($B38=2017,6,IF($B38=2018,7,IF($B38=2019,8,IF($B38=2020,9,0))))))),FALSE)</f>
        <v>0.21923257911050123</v>
      </c>
      <c r="G38" s="546">
        <f>VLOOKUP($A38,EFNOXS!$A$1:$J$44,(IF($B38=2015,4,IF($B38=2016,5,IF($B38=2017,6,IF($B38=2018,7,IF($B38=2019,8,IF($B38=2020,9,0))))))),FALSE)</f>
        <v>0.18418335618414555</v>
      </c>
      <c r="H38" s="546">
        <f>VLOOKUP($A38,EFSOXS!$A$1:$J$44,(IF($B38=2015,4,IF($B38=2016,5,IF($B38=2017,6,IF($B38=2018,7,IF($B38=2019,8,IF($B38=2020,9,0))))))),FALSE)</f>
        <v>4.466019753080203E-4</v>
      </c>
      <c r="I38" s="546">
        <f>VLOOKUP($A38,EFPMS!$A$1:$J$44,(IF($B38=2015,4,IF($B38=2016,5,IF($B38=2017,6,IF($B38=2018,7,IF($B38=2019,8,IF($B38=2020,9,0))))))),FALSE)</f>
        <v>1.2096076420543793E-2</v>
      </c>
      <c r="J38" s="536">
        <f t="shared" ref="J38:J40" si="16">0.89*I38</f>
        <v>1.0765508014283977E-2</v>
      </c>
      <c r="K38" s="549">
        <f>VLOOKUP($A38,EFCO2S!$A$1:$J$44,(IF($B38=2015,4,IF($B38=2016,5,IF($B38=2017,6,IF($B38=2018,7,IF($B38=2019,8,IF($B38=2020,9,0))))))),FALSE)</f>
        <v>38.071830204285249</v>
      </c>
      <c r="L38" s="546">
        <f>VLOOKUP($A38,EFCH4S!$A$1:$J$44,(IF($B38=2015,4,IF($B38=2016,5,IF($B38=2017,6,IF($B38=2018,7,IF($B38=2019,8,IF($B38=2020,9,0))))))),FALSE)</f>
        <v>2.9492141591912126E-3</v>
      </c>
      <c r="M38" s="540">
        <f t="shared" ref="M38:M40" si="17">0.095*G38</f>
        <v>1.7497418837493828E-2</v>
      </c>
      <c r="N38" s="108">
        <v>2</v>
      </c>
      <c r="O38" s="108">
        <v>6</v>
      </c>
      <c r="P38" s="109">
        <f>3*22</f>
        <v>66</v>
      </c>
      <c r="Q38" s="39">
        <f t="shared" ref="Q38:Y40" si="18">(E38*$N38*$O38)</f>
        <v>0.30039651633102876</v>
      </c>
      <c r="R38" s="29">
        <f t="shared" si="18"/>
        <v>2.6307909493260149</v>
      </c>
      <c r="S38" s="29">
        <f t="shared" si="18"/>
        <v>2.2102002742097469</v>
      </c>
      <c r="T38" s="29">
        <f t="shared" si="18"/>
        <v>5.3592237036962434E-3</v>
      </c>
      <c r="U38" s="29">
        <f t="shared" si="18"/>
        <v>0.14515291704652553</v>
      </c>
      <c r="V38" s="29">
        <f t="shared" si="18"/>
        <v>0.12918609617140772</v>
      </c>
      <c r="W38" s="29">
        <f t="shared" si="18"/>
        <v>456.86196245142298</v>
      </c>
      <c r="X38" s="29">
        <f t="shared" si="18"/>
        <v>3.5390569910294552E-2</v>
      </c>
      <c r="Y38" s="29">
        <f t="shared" si="18"/>
        <v>0.20996902604992596</v>
      </c>
    </row>
    <row r="39" spans="1:25" s="3" customFormat="1" x14ac:dyDescent="0.25">
      <c r="A39" s="27" t="s">
        <v>206</v>
      </c>
      <c r="B39" s="34">
        <v>2018</v>
      </c>
      <c r="C39" s="25">
        <v>300</v>
      </c>
      <c r="D39" s="134">
        <v>0.42</v>
      </c>
      <c r="E39" s="546">
        <f>VLOOKUP($A39,EFROGS!$A$1:$J$44,(IF($B39=2015,4,IF($B39=2016,5,IF($B39=2017,6,IF($B39=2018,7,IF($B39=2019,8,IF($B39=2020,9,0))))))),FALSE)</f>
        <v>9.0225805917190885E-2</v>
      </c>
      <c r="F39" s="546">
        <f>VLOOKUP($A39,EFCOS!$A$1:$J$44,(IF($B39=2015,4,IF($B39=2016,5,IF($B39=2017,6,IF($B39=2018,7,IF($B39=2019,8,IF($B39=2020,9,0))))))),FALSE)</f>
        <v>0.51534614373640708</v>
      </c>
      <c r="G39" s="546">
        <f>VLOOKUP($A39,EFNOXS!$A$1:$J$44,(IF($B39=2015,4,IF($B39=2016,5,IF($B39=2017,6,IF($B39=2018,7,IF($B39=2019,8,IF($B39=2020,9,0))))))),FALSE)</f>
        <v>0.58526223609575434</v>
      </c>
      <c r="H39" s="546">
        <f>VLOOKUP($A39,EFSOXS!$A$1:$J$44,(IF($B39=2015,4,IF($B39=2016,5,IF($B39=2017,6,IF($B39=2018,7,IF($B39=2019,8,IF($B39=2020,9,0))))))),FALSE)</f>
        <v>2.4954338651265763E-3</v>
      </c>
      <c r="I39" s="546">
        <f>VLOOKUP($A39,EFPMS!$A$1:$J$44,(IF($B39=2015,4,IF($B39=2016,5,IF($B39=2017,6,IF($B39=2018,7,IF($B39=2019,8,IF($B39=2020,9,0))))))),FALSE)</f>
        <v>2.0522530022613474E-2</v>
      </c>
      <c r="J39" s="536">
        <f t="shared" si="16"/>
        <v>1.8265051720125991E-2</v>
      </c>
      <c r="K39" s="549">
        <f>VLOOKUP($A39,EFCO2S!$A$1:$J$44,(IF($B39=2015,4,IF($B39=2016,5,IF($B39=2017,6,IF($B39=2018,7,IF($B39=2019,8,IF($B39=2020,9,0))))))),FALSE)</f>
        <v>254.23847108919361</v>
      </c>
      <c r="L39" s="546">
        <f>VLOOKUP($A39,EFCH4S!$A$1:$J$44,(IF($B39=2015,4,IF($B39=2016,5,IF($B39=2017,6,IF($B39=2018,7,IF($B39=2019,8,IF($B39=2020,9,0))))))),FALSE)</f>
        <v>1.0126092850486785E-2</v>
      </c>
      <c r="M39" s="540">
        <f t="shared" si="17"/>
        <v>5.5599912429096662E-2</v>
      </c>
      <c r="N39" s="135">
        <v>2</v>
      </c>
      <c r="O39" s="135">
        <v>6</v>
      </c>
      <c r="P39" s="109">
        <f t="shared" ref="P39:P40" si="19">3*22</f>
        <v>66</v>
      </c>
      <c r="Q39" s="39">
        <f t="shared" si="18"/>
        <v>1.0827096710062907</v>
      </c>
      <c r="R39" s="29">
        <f t="shared" si="18"/>
        <v>6.184153724836885</v>
      </c>
      <c r="S39" s="29">
        <f t="shared" si="18"/>
        <v>7.0231468331490525</v>
      </c>
      <c r="T39" s="29">
        <f t="shared" si="18"/>
        <v>2.9945206381518916E-2</v>
      </c>
      <c r="U39" s="29">
        <f t="shared" si="18"/>
        <v>0.24627036027136168</v>
      </c>
      <c r="V39" s="29">
        <f t="shared" si="18"/>
        <v>0.21918062064151189</v>
      </c>
      <c r="W39" s="29">
        <f t="shared" si="18"/>
        <v>3050.8616530703234</v>
      </c>
      <c r="X39" s="29">
        <f t="shared" si="18"/>
        <v>0.12151311420584142</v>
      </c>
      <c r="Y39" s="29">
        <f t="shared" si="18"/>
        <v>0.66719894914915989</v>
      </c>
    </row>
    <row r="40" spans="1:25" s="3" customFormat="1" x14ac:dyDescent="0.25">
      <c r="A40" s="27" t="s">
        <v>207</v>
      </c>
      <c r="B40" s="34">
        <v>2018</v>
      </c>
      <c r="C40" s="25">
        <v>300</v>
      </c>
      <c r="D40" s="134">
        <v>0.42</v>
      </c>
      <c r="E40" s="546">
        <f>VLOOKUP($A40,EFROGS!$A$1:$J$44,(IF($B40=2015,4,IF($B40=2016,5,IF($B40=2017,6,IF($B40=2018,7,IF($B40=2019,8,IF($B40=2020,9,0))))))),FALSE)</f>
        <v>9.0225805917190885E-2</v>
      </c>
      <c r="F40" s="546">
        <f>VLOOKUP($A40,EFCOS!$A$1:$J$44,(IF($B40=2015,4,IF($B40=2016,5,IF($B40=2017,6,IF($B40=2018,7,IF($B40=2019,8,IF($B40=2020,9,0))))))),FALSE)</f>
        <v>0.51534614373640708</v>
      </c>
      <c r="G40" s="546">
        <f>VLOOKUP($A40,EFNOXS!$A$1:$J$44,(IF($B40=2015,4,IF($B40=2016,5,IF($B40=2017,6,IF($B40=2018,7,IF($B40=2019,8,IF($B40=2020,9,0))))))),FALSE)</f>
        <v>0.58526223609575434</v>
      </c>
      <c r="H40" s="546">
        <f>VLOOKUP($A40,EFSOXS!$A$1:$J$44,(IF($B40=2015,4,IF($B40=2016,5,IF($B40=2017,6,IF($B40=2018,7,IF($B40=2019,8,IF($B40=2020,9,0))))))),FALSE)</f>
        <v>2.4954338651265763E-3</v>
      </c>
      <c r="I40" s="546">
        <f>VLOOKUP($A40,EFPMS!$A$1:$J$44,(IF($B40=2015,4,IF($B40=2016,5,IF($B40=2017,6,IF($B40=2018,7,IF($B40=2019,8,IF($B40=2020,9,0))))))),FALSE)</f>
        <v>2.0522530022613474E-2</v>
      </c>
      <c r="J40" s="536">
        <f t="shared" si="16"/>
        <v>1.8265051720125991E-2</v>
      </c>
      <c r="K40" s="549">
        <f>VLOOKUP($A40,EFCO2S!$A$1:$J$44,(IF($B40=2015,4,IF($B40=2016,5,IF($B40=2017,6,IF($B40=2018,7,IF($B40=2019,8,IF($B40=2020,9,0))))))),FALSE)</f>
        <v>254.23847108919361</v>
      </c>
      <c r="L40" s="546">
        <f>VLOOKUP($A40,EFCH4S!$A$1:$J$44,(IF($B40=2015,4,IF($B40=2016,5,IF($B40=2017,6,IF($B40=2018,7,IF($B40=2019,8,IF($B40=2020,9,0))))))),FALSE)</f>
        <v>1.0126092850486785E-2</v>
      </c>
      <c r="M40" s="540">
        <f t="shared" si="17"/>
        <v>5.5599912429096662E-2</v>
      </c>
      <c r="N40" s="135">
        <v>2</v>
      </c>
      <c r="O40" s="135">
        <v>6</v>
      </c>
      <c r="P40" s="109">
        <f t="shared" si="19"/>
        <v>66</v>
      </c>
      <c r="Q40" s="39">
        <f t="shared" si="18"/>
        <v>1.0827096710062907</v>
      </c>
      <c r="R40" s="29">
        <f t="shared" si="18"/>
        <v>6.184153724836885</v>
      </c>
      <c r="S40" s="29">
        <f t="shared" si="18"/>
        <v>7.0231468331490525</v>
      </c>
      <c r="T40" s="29">
        <f t="shared" si="18"/>
        <v>2.9945206381518916E-2</v>
      </c>
      <c r="U40" s="29">
        <f t="shared" si="18"/>
        <v>0.24627036027136168</v>
      </c>
      <c r="V40" s="29">
        <f t="shared" si="18"/>
        <v>0.21918062064151189</v>
      </c>
      <c r="W40" s="29">
        <f t="shared" si="18"/>
        <v>3050.8616530703234</v>
      </c>
      <c r="X40" s="29">
        <f t="shared" si="18"/>
        <v>0.12151311420584142</v>
      </c>
      <c r="Y40" s="29">
        <f t="shared" si="18"/>
        <v>0.66719894914915989</v>
      </c>
    </row>
    <row r="41" spans="1:25" s="3" customFormat="1" x14ac:dyDescent="0.25">
      <c r="A41" s="19" t="s">
        <v>38</v>
      </c>
      <c r="B41" s="34"/>
      <c r="C41" s="25"/>
      <c r="D41" s="20"/>
      <c r="E41" s="546"/>
      <c r="F41" s="546"/>
      <c r="G41" s="546"/>
      <c r="H41" s="546"/>
      <c r="I41" s="546"/>
      <c r="J41" s="536"/>
      <c r="K41" s="549"/>
      <c r="L41" s="546"/>
      <c r="M41" s="540"/>
      <c r="N41" s="135"/>
      <c r="O41" s="135"/>
      <c r="P41" s="136"/>
      <c r="Q41" s="138">
        <f t="shared" ref="Q41:Y41" si="20">SUM(Q38:Q40)</f>
        <v>2.4658158583436101</v>
      </c>
      <c r="R41" s="138">
        <f t="shared" si="20"/>
        <v>14.999098398999784</v>
      </c>
      <c r="S41" s="138">
        <f t="shared" si="20"/>
        <v>16.256493940507852</v>
      </c>
      <c r="T41" s="138">
        <f t="shared" si="20"/>
        <v>6.5249636466734068E-2</v>
      </c>
      <c r="U41" s="138">
        <f t="shared" si="20"/>
        <v>0.6376936375892488</v>
      </c>
      <c r="V41" s="138">
        <f t="shared" si="20"/>
        <v>0.56754733745443153</v>
      </c>
      <c r="W41" s="138">
        <f t="shared" si="20"/>
        <v>6558.58526859207</v>
      </c>
      <c r="X41" s="138">
        <f t="shared" si="20"/>
        <v>0.27841679832197741</v>
      </c>
      <c r="Y41" s="138">
        <f t="shared" si="20"/>
        <v>1.5443669243482456</v>
      </c>
    </row>
    <row r="42" spans="1:25" s="3" customFormat="1" x14ac:dyDescent="0.25">
      <c r="A42" s="27"/>
      <c r="B42" s="34"/>
      <c r="C42" s="25"/>
      <c r="D42" s="20"/>
      <c r="E42" s="26"/>
      <c r="F42" s="26"/>
      <c r="G42" s="26"/>
      <c r="H42" s="26"/>
      <c r="I42" s="26"/>
      <c r="J42" s="27"/>
      <c r="K42" s="28"/>
      <c r="L42" s="26"/>
      <c r="M42" s="38"/>
      <c r="N42" s="135"/>
      <c r="O42" s="135"/>
      <c r="P42" s="136"/>
      <c r="Q42" s="39"/>
      <c r="R42" s="29"/>
      <c r="S42" s="29"/>
      <c r="T42" s="29"/>
      <c r="U42" s="29"/>
      <c r="V42" s="29"/>
      <c r="W42" s="29"/>
      <c r="X42" s="29"/>
      <c r="Y42" s="29"/>
    </row>
    <row r="43" spans="1:25" s="3" customFormat="1" x14ac:dyDescent="0.25">
      <c r="A43" s="19" t="s">
        <v>271</v>
      </c>
      <c r="B43" s="34">
        <v>2018</v>
      </c>
      <c r="C43" s="25"/>
      <c r="D43" s="20"/>
      <c r="E43" s="26"/>
      <c r="F43" s="26"/>
      <c r="G43" s="26"/>
      <c r="H43" s="26"/>
      <c r="I43" s="26"/>
      <c r="J43" s="27"/>
      <c r="K43" s="28"/>
      <c r="L43" s="26"/>
      <c r="M43" s="38"/>
      <c r="N43" s="135"/>
      <c r="O43" s="135"/>
      <c r="P43" s="136"/>
      <c r="Q43" s="39"/>
      <c r="R43" s="29"/>
      <c r="S43" s="29"/>
      <c r="T43" s="29"/>
      <c r="U43" s="29"/>
      <c r="V43" s="29"/>
      <c r="W43" s="29"/>
      <c r="X43" s="29"/>
      <c r="Y43" s="29"/>
    </row>
    <row r="44" spans="1:25" s="3" customFormat="1" x14ac:dyDescent="0.25">
      <c r="A44" s="27" t="s">
        <v>205</v>
      </c>
      <c r="B44" s="34">
        <v>2018</v>
      </c>
      <c r="C44" s="25">
        <v>235</v>
      </c>
      <c r="D44" s="134">
        <v>0.38</v>
      </c>
      <c r="E44" s="546">
        <f>VLOOKUP($A44,EFROGS!$A$1:$J$44,(IF($B44=2015,4,IF($B44=2016,5,IF($B44=2017,6,IF($B44=2018,7,IF($B44=2019,8,IF($B44=2020,9,0))))))),FALSE)</f>
        <v>8.119224107646289E-2</v>
      </c>
      <c r="F44" s="546">
        <f>VLOOKUP($A44,EFCOS!$A$1:$J$44,(IF($B44=2015,4,IF($B44=2016,5,IF($B44=2017,6,IF($B44=2018,7,IF($B44=2019,8,IF($B44=2020,9,0))))))),FALSE)</f>
        <v>0.37994200133931877</v>
      </c>
      <c r="G44" s="546">
        <f>VLOOKUP($A44,EFNOXS!$A$1:$J$44,(IF($B44=2015,4,IF($B44=2016,5,IF($B44=2017,6,IF($B44=2018,7,IF($B44=2019,8,IF($B44=2020,9,0))))))),FALSE)</f>
        <v>0.48394485675138055</v>
      </c>
      <c r="H44" s="546">
        <f>VLOOKUP($A44,EFSOXS!$A$1:$J$44,(IF($B44=2015,4,IF($B44=2016,5,IF($B44=2017,6,IF($B44=2018,7,IF($B44=2019,8,IF($B44=2020,9,0))))))),FALSE)</f>
        <v>1.873921930245647E-3</v>
      </c>
      <c r="I44" s="546">
        <f>VLOOKUP($A44,EFPMS!$A$1:$J$44,(IF($B44=2015,4,IF($B44=2016,5,IF($B44=2017,6,IF($B44=2018,7,IF($B44=2019,8,IF($B44=2020,9,0))))))),FALSE)</f>
        <v>1.6665559588840455E-2</v>
      </c>
      <c r="J44" s="536">
        <f t="shared" ref="J44:J48" si="21">0.89*I44</f>
        <v>1.4832348034068006E-2</v>
      </c>
      <c r="K44" s="549">
        <f>VLOOKUP($A44,EFCO2S!$A$1:$J$44,(IF($B44=2015,4,IF($B44=2016,5,IF($B44=2017,6,IF($B44=2018,7,IF($B44=2019,8,IF($B44=2020,9,0))))))),FALSE)</f>
        <v>166.54543379579488</v>
      </c>
      <c r="L44" s="546">
        <f>VLOOKUP($A44,EFCH4S!$A$1:$J$44,(IF($B44=2015,4,IF($B44=2016,5,IF($B44=2017,6,IF($B44=2018,7,IF($B44=2019,8,IF($B44=2020,9,0))))))),FALSE)</f>
        <v>9.3996999235005617E-3</v>
      </c>
      <c r="M44" s="540">
        <f t="shared" ref="M44:M48" si="22">0.095*G44</f>
        <v>4.5974761391381153E-2</v>
      </c>
      <c r="N44" s="135">
        <v>1</v>
      </c>
      <c r="O44" s="135">
        <v>2</v>
      </c>
      <c r="P44" s="136">
        <f>4*22</f>
        <v>88</v>
      </c>
      <c r="Q44" s="39">
        <f t="shared" ref="Q44:Y48" si="23">(E44*$N44*$O44)</f>
        <v>0.16238448215292578</v>
      </c>
      <c r="R44" s="29">
        <f t="shared" si="23"/>
        <v>0.75988400267863754</v>
      </c>
      <c r="S44" s="29">
        <f t="shared" si="23"/>
        <v>0.9678897135027611</v>
      </c>
      <c r="T44" s="29">
        <f t="shared" si="23"/>
        <v>3.7478438604912939E-3</v>
      </c>
      <c r="U44" s="29">
        <f t="shared" si="23"/>
        <v>3.3331119177680911E-2</v>
      </c>
      <c r="V44" s="29">
        <f t="shared" si="23"/>
        <v>2.9664696068136012E-2</v>
      </c>
      <c r="W44" s="29">
        <f t="shared" si="23"/>
        <v>333.09086759158976</v>
      </c>
      <c r="X44" s="29">
        <f t="shared" si="23"/>
        <v>1.8799399847001123E-2</v>
      </c>
      <c r="Y44" s="29">
        <f t="shared" si="23"/>
        <v>9.1949522782762305E-2</v>
      </c>
    </row>
    <row r="45" spans="1:25" s="3" customFormat="1" x14ac:dyDescent="0.25">
      <c r="A45" s="27" t="s">
        <v>163</v>
      </c>
      <c r="B45" s="34">
        <v>2018</v>
      </c>
      <c r="C45" s="25">
        <v>75</v>
      </c>
      <c r="D45" s="134">
        <v>0.31</v>
      </c>
      <c r="E45" s="546">
        <f>VLOOKUP($A45,EFROGS!$A$1:$J$44,(IF($B45=2015,4,IF($B45=2016,5,IF($B45=2017,6,IF($B45=2018,7,IF($B45=2019,8,IF($B45=2020,9,0))))))),FALSE)</f>
        <v>2.503304302758573E-2</v>
      </c>
      <c r="F45" s="546">
        <f>VLOOKUP($A45,EFCOS!$A$1:$J$44,(IF($B45=2015,4,IF($B45=2016,5,IF($B45=2017,6,IF($B45=2018,7,IF($B45=2019,8,IF($B45=2020,9,0))))))),FALSE)</f>
        <v>0.21923257911050123</v>
      </c>
      <c r="G45" s="546">
        <f>VLOOKUP($A45,EFNOXS!$A$1:$J$44,(IF($B45=2015,4,IF($B45=2016,5,IF($B45=2017,6,IF($B45=2018,7,IF($B45=2019,8,IF($B45=2020,9,0))))))),FALSE)</f>
        <v>0.18418335618414555</v>
      </c>
      <c r="H45" s="546">
        <f>VLOOKUP($A45,EFSOXS!$A$1:$J$44,(IF($B45=2015,4,IF($B45=2016,5,IF($B45=2017,6,IF($B45=2018,7,IF($B45=2019,8,IF($B45=2020,9,0))))))),FALSE)</f>
        <v>4.466019753080203E-4</v>
      </c>
      <c r="I45" s="546">
        <f>VLOOKUP($A45,EFPMS!$A$1:$J$44,(IF($B45=2015,4,IF($B45=2016,5,IF($B45=2017,6,IF($B45=2018,7,IF($B45=2019,8,IF($B45=2020,9,0))))))),FALSE)</f>
        <v>1.2096076420543793E-2</v>
      </c>
      <c r="J45" s="536">
        <f t="shared" si="21"/>
        <v>1.0765508014283977E-2</v>
      </c>
      <c r="K45" s="549">
        <f>VLOOKUP($A45,EFCO2S!$A$1:$J$44,(IF($B45=2015,4,IF($B45=2016,5,IF($B45=2017,6,IF($B45=2018,7,IF($B45=2019,8,IF($B45=2020,9,0))))))),FALSE)</f>
        <v>38.071830204285249</v>
      </c>
      <c r="L45" s="546">
        <f>VLOOKUP($A45,EFCH4S!$A$1:$J$44,(IF($B45=2015,4,IF($B45=2016,5,IF($B45=2017,6,IF($B45=2018,7,IF($B45=2019,8,IF($B45=2020,9,0))))))),FALSE)</f>
        <v>2.9492141591912126E-3</v>
      </c>
      <c r="M45" s="540">
        <f t="shared" si="22"/>
        <v>1.7497418837493828E-2</v>
      </c>
      <c r="N45" s="108">
        <v>2</v>
      </c>
      <c r="O45" s="108">
        <v>3</v>
      </c>
      <c r="P45" s="136">
        <f t="shared" ref="P45:P48" si="24">4*22</f>
        <v>88</v>
      </c>
      <c r="Q45" s="39">
        <f t="shared" si="23"/>
        <v>0.15019825816551438</v>
      </c>
      <c r="R45" s="29">
        <f t="shared" si="23"/>
        <v>1.3153954746630074</v>
      </c>
      <c r="S45" s="29">
        <f t="shared" si="23"/>
        <v>1.1051001371048734</v>
      </c>
      <c r="T45" s="29">
        <f t="shared" si="23"/>
        <v>2.6796118518481217E-3</v>
      </c>
      <c r="U45" s="29">
        <f t="shared" si="23"/>
        <v>7.2576458523262763E-2</v>
      </c>
      <c r="V45" s="29">
        <f t="shared" si="23"/>
        <v>6.4593048085703861E-2</v>
      </c>
      <c r="W45" s="29">
        <f t="shared" si="23"/>
        <v>228.43098122571149</v>
      </c>
      <c r="X45" s="29">
        <f t="shared" si="23"/>
        <v>1.7695284955147276E-2</v>
      </c>
      <c r="Y45" s="29">
        <f t="shared" si="23"/>
        <v>0.10498451302496298</v>
      </c>
    </row>
    <row r="46" spans="1:25" s="3" customFormat="1" x14ac:dyDescent="0.25">
      <c r="A46" s="27" t="s">
        <v>242</v>
      </c>
      <c r="B46" s="34">
        <v>2018</v>
      </c>
      <c r="C46" s="25">
        <v>25</v>
      </c>
      <c r="D46" s="134">
        <v>1</v>
      </c>
      <c r="E46" s="546">
        <f>VLOOKUP($A46,EFROGS!$A$1:$J$44,(IF($B46=2015,4,IF($B46=2016,5,IF($B46=2017,6,IF($B46=2018,7,IF($B46=2019,8,IF($B46=2020,9,0))))))),FALSE)</f>
        <v>1.5945098772087649E-2</v>
      </c>
      <c r="F46" s="546">
        <f>VLOOKUP($A46,EFCOS!$A$1:$J$44,(IF($B46=2015,4,IF($B46=2016,5,IF($B46=2017,6,IF($B46=2018,7,IF($B46=2019,8,IF($B46=2020,9,0))))))),FALSE)</f>
        <v>0.10588694014040713</v>
      </c>
      <c r="G46" s="546">
        <f>VLOOKUP($A46,EFNOXS!$A$1:$J$44,(IF($B46=2015,4,IF($B46=2016,5,IF($B46=2017,6,IF($B46=2018,7,IF($B46=2019,8,IF($B46=2020,9,0))))))),FALSE)</f>
        <v>0.12840254691102099</v>
      </c>
      <c r="H46" s="546">
        <f>VLOOKUP($A46,EFSOXS!$A$1:$J$44,(IF($B46=2015,4,IF($B46=2016,5,IF($B46=2017,6,IF($B46=2018,7,IF($B46=2019,8,IF($B46=2020,9,0))))))),FALSE)</f>
        <v>1.6770235588901616E-4</v>
      </c>
      <c r="I46" s="546">
        <f>VLOOKUP($A46,EFPMS!$A$1:$J$44,(IF($B46=2015,4,IF($B46=2016,5,IF($B46=2017,6,IF($B46=2018,7,IF($B46=2019,8,IF($B46=2020,9,0))))))),FALSE)</f>
        <v>2.9641300934263879E-3</v>
      </c>
      <c r="J46" s="536">
        <f t="shared" si="21"/>
        <v>2.6380757831494851E-3</v>
      </c>
      <c r="K46" s="549">
        <f>VLOOKUP($A46,EFCO2S!$A$1:$J$44,(IF($B46=2015,4,IF($B46=2016,5,IF($B46=2017,6,IF($B46=2018,7,IF($B46=2019,8,IF($B46=2020,9,0))))))),FALSE)</f>
        <v>13.217291495541826</v>
      </c>
      <c r="L46" s="546">
        <f>VLOOKUP($A46,EFCH4S!$A$1:$J$44,(IF($B46=2015,4,IF($B46=2016,5,IF($B46=2017,6,IF($B46=2018,7,IF($B46=2019,8,IF($B46=2020,9,0))))))),FALSE)</f>
        <v>1.4387011113433123E-3</v>
      </c>
      <c r="M46" s="540">
        <f t="shared" si="22"/>
        <v>1.2198241956546995E-2</v>
      </c>
      <c r="N46" s="135">
        <v>2</v>
      </c>
      <c r="O46" s="135">
        <v>1</v>
      </c>
      <c r="P46" s="136">
        <f t="shared" si="24"/>
        <v>88</v>
      </c>
      <c r="Q46" s="39">
        <f t="shared" si="23"/>
        <v>3.1890197544175297E-2</v>
      </c>
      <c r="R46" s="29">
        <f t="shared" si="23"/>
        <v>0.21177388028081426</v>
      </c>
      <c r="S46" s="29">
        <f t="shared" si="23"/>
        <v>0.25680509382204197</v>
      </c>
      <c r="T46" s="29">
        <f t="shared" si="23"/>
        <v>3.3540471177803232E-4</v>
      </c>
      <c r="U46" s="29">
        <f t="shared" si="23"/>
        <v>5.9282601868527757E-3</v>
      </c>
      <c r="V46" s="29">
        <f t="shared" si="23"/>
        <v>5.2761515662989701E-3</v>
      </c>
      <c r="W46" s="29">
        <f t="shared" si="23"/>
        <v>26.434582991083651</v>
      </c>
      <c r="X46" s="29">
        <f t="shared" si="23"/>
        <v>2.8774022226866246E-3</v>
      </c>
      <c r="Y46" s="29">
        <f t="shared" si="23"/>
        <v>2.4396483913093989E-2</v>
      </c>
    </row>
    <row r="47" spans="1:25" s="3" customFormat="1" x14ac:dyDescent="0.25">
      <c r="A47" s="27" t="s">
        <v>197</v>
      </c>
      <c r="B47" s="34">
        <v>2018</v>
      </c>
      <c r="C47" s="134">
        <v>200</v>
      </c>
      <c r="D47" s="134">
        <v>0.36</v>
      </c>
      <c r="E47" s="546">
        <f>VLOOKUP($A47,EFROGS!$A$1:$J$44,(IF($B47=2015,4,IF($B47=2016,5,IF($B47=2017,6,IF($B47=2018,7,IF($B47=2019,8,IF($B47=2020,9,0))))))),FALSE)</f>
        <v>7.2887346010641285E-2</v>
      </c>
      <c r="F47" s="546">
        <f>VLOOKUP($A47,EFCOS!$A$1:$J$44,(IF($B47=2015,4,IF($B47=2016,5,IF($B47=2017,6,IF($B47=2018,7,IF($B47=2019,8,IF($B47=2020,9,0))))))),FALSE)</f>
        <v>0.33135948621040862</v>
      </c>
      <c r="G47" s="546">
        <f>VLOOKUP($A47,EFNOXS!$A$1:$J$44,(IF($B47=2015,4,IF($B47=2016,5,IF($B47=2017,6,IF($B47=2018,7,IF($B47=2019,8,IF($B47=2020,9,0))))))),FALSE)</f>
        <v>0.51421364396110203</v>
      </c>
      <c r="H47" s="546">
        <f>VLOOKUP($A47,EFSOXS!$A$1:$J$44,(IF($B47=2015,4,IF($B47=2016,5,IF($B47=2017,6,IF($B47=2018,7,IF($B47=2019,8,IF($B47=2020,9,0))))))),FALSE)</f>
        <v>1.6762429502385828E-3</v>
      </c>
      <c r="I47" s="546">
        <f>VLOOKUP($A47,EFPMS!$A$1:$J$44,(IF($B47=2015,4,IF($B47=2016,5,IF($B47=2017,6,IF($B47=2018,7,IF($B47=2019,8,IF($B47=2020,9,0))))))),FALSE)</f>
        <v>1.7760280708673921E-2</v>
      </c>
      <c r="J47" s="536">
        <f t="shared" si="21"/>
        <v>1.5806649830719791E-2</v>
      </c>
      <c r="K47" s="549">
        <f>VLOOKUP($A47,EFCO2S!$A$1:$J$44,(IF($B47=2015,4,IF($B47=2016,5,IF($B47=2017,6,IF($B47=2018,7,IF($B47=2019,8,IF($B47=2020,9,0))))))),FALSE)</f>
        <v>148.97670143852574</v>
      </c>
      <c r="L47" s="546">
        <f>VLOOKUP($A47,EFCH4S!$A$1:$J$44,(IF($B47=2015,4,IF($B47=2016,5,IF($B47=2017,6,IF($B47=2018,7,IF($B47=2019,8,IF($B47=2020,9,0))))))),FALSE)</f>
        <v>8.5356955520187617E-3</v>
      </c>
      <c r="M47" s="540">
        <f t="shared" si="22"/>
        <v>4.8850296176304694E-2</v>
      </c>
      <c r="N47" s="135">
        <v>1</v>
      </c>
      <c r="O47" s="135">
        <v>2</v>
      </c>
      <c r="P47" s="136">
        <f t="shared" si="24"/>
        <v>88</v>
      </c>
      <c r="Q47" s="39">
        <f t="shared" si="23"/>
        <v>0.14577469202128257</v>
      </c>
      <c r="R47" s="29">
        <f t="shared" si="23"/>
        <v>0.66271897242081723</v>
      </c>
      <c r="S47" s="29">
        <f t="shared" si="23"/>
        <v>1.0284272879222041</v>
      </c>
      <c r="T47" s="29">
        <f t="shared" si="23"/>
        <v>3.3524859004771656E-3</v>
      </c>
      <c r="U47" s="29">
        <f t="shared" si="23"/>
        <v>3.5520561417347843E-2</v>
      </c>
      <c r="V47" s="29">
        <f t="shared" si="23"/>
        <v>3.1613299661439581E-2</v>
      </c>
      <c r="W47" s="29">
        <f t="shared" si="23"/>
        <v>297.95340287705147</v>
      </c>
      <c r="X47" s="29">
        <f t="shared" si="23"/>
        <v>1.7071391104037523E-2</v>
      </c>
      <c r="Y47" s="29">
        <f t="shared" si="23"/>
        <v>9.7700592352609389E-2</v>
      </c>
    </row>
    <row r="48" spans="1:25" s="3" customFormat="1" x14ac:dyDescent="0.25">
      <c r="A48" s="27" t="s">
        <v>202</v>
      </c>
      <c r="B48" s="34">
        <v>2018</v>
      </c>
      <c r="C48" s="25">
        <v>399</v>
      </c>
      <c r="D48" s="25">
        <v>0.28999999999999998</v>
      </c>
      <c r="E48" s="546">
        <f>VLOOKUP($A48,EFROGS!$A$1:$J$44,(IF($B48=2015,4,IF($B48=2016,5,IF($B48=2017,6,IF($B48=2018,7,IF($B48=2019,8,IF($B48=2020,9,0))))))),FALSE)</f>
        <v>9.4826505737279188E-2</v>
      </c>
      <c r="F48" s="546">
        <f>VLOOKUP($A48,EFCOS!$A$1:$J$44,(IF($B48=2015,4,IF($B48=2016,5,IF($B48=2017,6,IF($B48=2018,7,IF($B48=2019,8,IF($B48=2020,9,0))))))),FALSE)</f>
        <v>0.45434236467617739</v>
      </c>
      <c r="G48" s="546">
        <f>VLOOKUP($A48,EFNOXS!$A$1:$J$44,(IF($B48=2015,4,IF($B48=2016,5,IF($B48=2017,6,IF($B48=2018,7,IF($B48=2019,8,IF($B48=2020,9,0))))))),FALSE)</f>
        <v>0.63535292909985608</v>
      </c>
      <c r="H48" s="546">
        <f>VLOOKUP($A48,EFSOXS!$A$1:$J$44,(IF($B48=2015,4,IF($B48=2016,5,IF($B48=2017,6,IF($B48=2018,7,IF($B48=2019,8,IF($B48=2020,9,0))))))),FALSE)</f>
        <v>1.7677529466161633E-3</v>
      </c>
      <c r="I48" s="546">
        <f>VLOOKUP($A48,EFPMS!$A$1:$J$44,(IF($B48=2015,4,IF($B48=2016,5,IF($B48=2017,6,IF($B48=2018,7,IF($B48=2019,8,IF($B48=2020,9,0))))))),FALSE)</f>
        <v>2.3360137726921776E-2</v>
      </c>
      <c r="J48" s="536">
        <f t="shared" si="21"/>
        <v>2.0790522576960381E-2</v>
      </c>
      <c r="K48" s="549">
        <f>VLOOKUP($A48,EFCO2S!$A$1:$J$44,(IF($B48=2015,4,IF($B48=2016,5,IF($B48=2017,6,IF($B48=2018,7,IF($B48=2019,8,IF($B48=2020,9,0))))))),FALSE)</f>
        <v>180.10127182932982</v>
      </c>
      <c r="L48" s="546">
        <f>VLOOKUP($A48,EFCH4S!$A$1:$J$44,(IF($B48=2015,4,IF($B48=2016,5,IF($B48=2017,6,IF($B48=2018,7,IF($B48=2019,8,IF($B48=2020,9,0))))))),FALSE)</f>
        <v>1.0841920844072756E-2</v>
      </c>
      <c r="M48" s="540">
        <f t="shared" si="22"/>
        <v>6.035852826448633E-2</v>
      </c>
      <c r="N48" s="108">
        <v>1</v>
      </c>
      <c r="O48" s="108">
        <v>2</v>
      </c>
      <c r="P48" s="136">
        <f t="shared" si="24"/>
        <v>88</v>
      </c>
      <c r="Q48" s="39">
        <f t="shared" si="23"/>
        <v>0.18965301147455838</v>
      </c>
      <c r="R48" s="29">
        <f t="shared" si="23"/>
        <v>0.90868472935235478</v>
      </c>
      <c r="S48" s="29">
        <f t="shared" si="23"/>
        <v>1.2707058581997122</v>
      </c>
      <c r="T48" s="29">
        <f t="shared" si="23"/>
        <v>3.5355058932323266E-3</v>
      </c>
      <c r="U48" s="29">
        <f t="shared" si="23"/>
        <v>4.6720275453843552E-2</v>
      </c>
      <c r="V48" s="29">
        <f t="shared" si="23"/>
        <v>4.1581045153920762E-2</v>
      </c>
      <c r="W48" s="29">
        <f t="shared" si="23"/>
        <v>360.20254365865964</v>
      </c>
      <c r="X48" s="29">
        <f t="shared" si="23"/>
        <v>2.1683841688145512E-2</v>
      </c>
      <c r="Y48" s="29">
        <f t="shared" si="23"/>
        <v>0.12071705652897266</v>
      </c>
    </row>
    <row r="49" spans="1:32" s="3" customFormat="1" x14ac:dyDescent="0.25">
      <c r="A49" s="35" t="s">
        <v>38</v>
      </c>
      <c r="B49" s="181"/>
      <c r="C49" s="182"/>
      <c r="D49" s="179"/>
      <c r="E49" s="183"/>
      <c r="F49" s="183"/>
      <c r="G49" s="183"/>
      <c r="H49" s="183"/>
      <c r="I49" s="183"/>
      <c r="J49" s="162"/>
      <c r="K49" s="184"/>
      <c r="L49" s="183"/>
      <c r="M49" s="185"/>
      <c r="N49" s="135"/>
      <c r="O49" s="135"/>
      <c r="P49" s="136"/>
      <c r="Q49" s="186">
        <f>SUM(Q44:Q48)</f>
        <v>0.6799006413584564</v>
      </c>
      <c r="R49" s="186">
        <f t="shared" ref="R49:Y49" si="25">SUM(R44:R48)</f>
        <v>3.8584570593956311</v>
      </c>
      <c r="S49" s="186">
        <f t="shared" si="25"/>
        <v>4.628928090551593</v>
      </c>
      <c r="T49" s="186">
        <f t="shared" si="25"/>
        <v>1.3650852217826939E-2</v>
      </c>
      <c r="U49" s="186">
        <f t="shared" si="25"/>
        <v>0.19407667475898782</v>
      </c>
      <c r="V49" s="186">
        <f t="shared" si="25"/>
        <v>0.17272824053549918</v>
      </c>
      <c r="W49" s="186">
        <f t="shared" si="25"/>
        <v>1246.112378344096</v>
      </c>
      <c r="X49" s="186">
        <f t="shared" si="25"/>
        <v>7.8127319817018065E-2</v>
      </c>
      <c r="Y49" s="186">
        <f t="shared" si="25"/>
        <v>0.43974816860240129</v>
      </c>
    </row>
    <row r="50" spans="1:32" s="6" customFormat="1" x14ac:dyDescent="0.25">
      <c r="A50" s="187" t="s">
        <v>632</v>
      </c>
      <c r="B50" s="134"/>
      <c r="C50" s="25"/>
      <c r="D50" s="25"/>
      <c r="E50" s="26"/>
      <c r="F50" s="26"/>
      <c r="G50" s="26"/>
      <c r="H50" s="26"/>
      <c r="I50" s="26"/>
      <c r="J50" s="27"/>
      <c r="K50" s="28"/>
      <c r="L50" s="26"/>
      <c r="M50" s="26"/>
      <c r="N50" s="109"/>
      <c r="O50" s="109"/>
      <c r="P50" s="109"/>
      <c r="Q50" s="22">
        <f>Q41+Q49</f>
        <v>3.1457164997020666</v>
      </c>
      <c r="R50" s="22">
        <f t="shared" ref="R50:Y50" si="26">R41+R49</f>
        <v>18.857555458395417</v>
      </c>
      <c r="S50" s="22">
        <f t="shared" si="26"/>
        <v>20.885422031059445</v>
      </c>
      <c r="T50" s="22">
        <f t="shared" si="26"/>
        <v>7.890048868456101E-2</v>
      </c>
      <c r="U50" s="22">
        <f t="shared" si="26"/>
        <v>0.83177031234823662</v>
      </c>
      <c r="V50" s="22">
        <f t="shared" si="26"/>
        <v>0.74027557798993071</v>
      </c>
      <c r="W50" s="22">
        <f t="shared" si="26"/>
        <v>7804.6976469361662</v>
      </c>
      <c r="X50" s="22">
        <f t="shared" si="26"/>
        <v>0.35654411813899545</v>
      </c>
      <c r="Y50" s="22">
        <f t="shared" si="26"/>
        <v>1.9841150929506468</v>
      </c>
      <c r="AF50" s="7"/>
    </row>
    <row r="51" spans="1:32" s="6" customFormat="1" x14ac:dyDescent="0.25">
      <c r="A51"/>
      <c r="B51" s="1"/>
      <c r="C51" s="1"/>
      <c r="D51" s="1"/>
      <c r="E51" s="623" t="s">
        <v>2</v>
      </c>
      <c r="F51" s="623"/>
      <c r="G51" s="623"/>
      <c r="H51" s="623"/>
      <c r="I51" s="623"/>
      <c r="J51" s="623"/>
      <c r="K51" s="623"/>
      <c r="L51" s="623"/>
      <c r="M51"/>
      <c r="N51" s="3"/>
      <c r="O51"/>
      <c r="P51"/>
      <c r="Q51" s="4"/>
      <c r="R51" s="4"/>
      <c r="S51" s="4"/>
      <c r="T51" s="4"/>
      <c r="U51" s="4"/>
      <c r="V51" s="4"/>
      <c r="W51" s="5"/>
      <c r="X51" s="4"/>
      <c r="Y51" s="4"/>
      <c r="AF51" s="7"/>
    </row>
    <row r="52" spans="1:32" s="6" customFormat="1" ht="39.6" x14ac:dyDescent="0.25">
      <c r="A52" s="12" t="s">
        <v>131</v>
      </c>
      <c r="B52" s="13" t="s">
        <v>3</v>
      </c>
      <c r="C52" s="13" t="s">
        <v>4</v>
      </c>
      <c r="D52" s="1"/>
      <c r="E52" s="18" t="s">
        <v>27</v>
      </c>
      <c r="F52" s="18" t="s">
        <v>28</v>
      </c>
      <c r="G52" s="18" t="s">
        <v>29</v>
      </c>
      <c r="H52" s="18" t="s">
        <v>30</v>
      </c>
      <c r="I52" s="18" t="s">
        <v>31</v>
      </c>
      <c r="J52" s="18" t="s">
        <v>32</v>
      </c>
      <c r="K52" s="17" t="s">
        <v>33</v>
      </c>
      <c r="L52" s="18" t="s">
        <v>34</v>
      </c>
      <c r="M52" s="18" t="s">
        <v>35</v>
      </c>
      <c r="N52" s="3"/>
      <c r="O52"/>
      <c r="P52"/>
      <c r="Q52" s="4"/>
      <c r="R52" s="4"/>
      <c r="S52" s="4"/>
      <c r="T52" s="4"/>
      <c r="U52" s="4"/>
      <c r="V52" s="4"/>
      <c r="W52" s="5"/>
      <c r="X52" s="4"/>
      <c r="Y52" s="4"/>
      <c r="AF52" s="7"/>
    </row>
    <row r="53" spans="1:32" s="3" customFormat="1" x14ac:dyDescent="0.25">
      <c r="A53" s="12" t="str">
        <f t="shared" ref="A53:A64" si="27">A7</f>
        <v>Trans: Talega Hub to Talega Substation 230 kV - Site Grading</v>
      </c>
      <c r="B53" s="36"/>
      <c r="C53" s="20"/>
      <c r="D53" s="1"/>
      <c r="E53" s="30"/>
      <c r="F53" s="30"/>
      <c r="G53" s="30"/>
      <c r="H53" s="30"/>
      <c r="I53" s="30"/>
      <c r="J53" s="30"/>
      <c r="K53" s="30"/>
      <c r="L53" s="30"/>
      <c r="M53" s="30"/>
      <c r="O53"/>
      <c r="P53"/>
      <c r="Q53" s="4"/>
      <c r="R53" s="4"/>
      <c r="S53" s="4"/>
      <c r="T53" s="4"/>
      <c r="U53" s="4"/>
      <c r="V53" s="4"/>
      <c r="W53" s="5"/>
      <c r="X53" s="4"/>
      <c r="Y53" s="4"/>
      <c r="Z53" s="6"/>
      <c r="AA53" s="6"/>
      <c r="AB53" s="6"/>
      <c r="AC53" s="6"/>
      <c r="AD53" s="6"/>
      <c r="AE53" s="6"/>
      <c r="AF53" s="7"/>
    </row>
    <row r="54" spans="1:32" s="3" customFormat="1" x14ac:dyDescent="0.25">
      <c r="A54" s="137" t="str">
        <f t="shared" si="27"/>
        <v>Bulldozer</v>
      </c>
      <c r="B54" s="36"/>
      <c r="C54" s="20"/>
      <c r="D54" s="1"/>
      <c r="E54" s="30">
        <f t="shared" ref="E54:E64" si="28">(Q8*$P8)/2000</f>
        <v>9.2617869910108681E-3</v>
      </c>
      <c r="F54" s="30">
        <f t="shared" ref="F54:F64" si="29">(R8*$P8)/2000</f>
        <v>4.0374564049077154E-2</v>
      </c>
      <c r="G54" s="30">
        <f t="shared" ref="G54:G64" si="30">(S8*$P8)/2000</f>
        <v>7.584943460042344E-2</v>
      </c>
      <c r="H54" s="30">
        <f t="shared" ref="H54:H64" si="31">(T8*$P8)/2000</f>
        <v>8.5793738068147028E-5</v>
      </c>
      <c r="I54" s="30">
        <f t="shared" ref="I54:I64" si="32">(U8*$P8)/2000</f>
        <v>3.0961927972900771E-3</v>
      </c>
      <c r="J54" s="30">
        <f t="shared" ref="J54:J64" si="33">(V8*$P8)/2000</f>
        <v>2.755611589588168E-3</v>
      </c>
      <c r="K54" s="30">
        <f t="shared" ref="K54:K64" si="34">(W8*$P8)/2000</f>
        <v>8.7407946011799034</v>
      </c>
      <c r="L54" s="30">
        <f t="shared" ref="L54:L64" si="35">(X8*$P8)/2000</f>
        <v>8.7288777653328367E-4</v>
      </c>
      <c r="M54" s="30">
        <f t="shared" ref="M54:M64" si="36">(Y8*$P8)/2000</f>
        <v>7.2056962870402268E-3</v>
      </c>
      <c r="O54"/>
      <c r="P54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 t="str">
        <f t="shared" si="27"/>
        <v>Road Grader/Blade</v>
      </c>
      <c r="B55" s="36"/>
      <c r="C55" s="20"/>
      <c r="D55" s="1"/>
      <c r="E55" s="30">
        <f t="shared" si="28"/>
        <v>7.0621180352458349E-3</v>
      </c>
      <c r="F55" s="30">
        <f t="shared" si="29"/>
        <v>2.5799002177484355E-2</v>
      </c>
      <c r="G55" s="30">
        <f t="shared" si="30"/>
        <v>5.8561706627873363E-2</v>
      </c>
      <c r="H55" s="30">
        <f t="shared" si="31"/>
        <v>9.9108387937718923E-5</v>
      </c>
      <c r="I55" s="30">
        <f t="shared" si="32"/>
        <v>2.0821473187620479E-3</v>
      </c>
      <c r="J55" s="30">
        <f t="shared" si="33"/>
        <v>1.8531111136982227E-3</v>
      </c>
      <c r="K55" s="30">
        <f t="shared" si="34"/>
        <v>10.097309377985184</v>
      </c>
      <c r="L55" s="30">
        <f t="shared" si="35"/>
        <v>6.6148626245646463E-4</v>
      </c>
      <c r="M55" s="30">
        <f t="shared" si="36"/>
        <v>5.5633621296479691E-3</v>
      </c>
      <c r="O55"/>
      <c r="P55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37" t="str">
        <f t="shared" si="27"/>
        <v>Scraper</v>
      </c>
      <c r="B56" s="36"/>
      <c r="C56" s="20"/>
      <c r="D56" s="1"/>
      <c r="E56" s="30">
        <f t="shared" si="28"/>
        <v>4.5614582855095379E-3</v>
      </c>
      <c r="F56" s="30">
        <f t="shared" si="29"/>
        <v>1.7548068831080562E-2</v>
      </c>
      <c r="G56" s="30">
        <f t="shared" si="30"/>
        <v>3.824158049115902E-2</v>
      </c>
      <c r="H56" s="30">
        <f t="shared" si="31"/>
        <v>5.2056266037396544E-5</v>
      </c>
      <c r="I56" s="30">
        <f t="shared" si="32"/>
        <v>1.4616849842121655E-3</v>
      </c>
      <c r="J56" s="30">
        <f t="shared" si="33"/>
        <v>1.3008996359488271E-3</v>
      </c>
      <c r="K56" s="30">
        <f t="shared" si="34"/>
        <v>5.303569595929372</v>
      </c>
      <c r="L56" s="30">
        <f t="shared" si="35"/>
        <v>4.2917194619399626E-4</v>
      </c>
      <c r="M56" s="30">
        <f t="shared" si="36"/>
        <v>3.6329501466601066E-3</v>
      </c>
      <c r="O56"/>
      <c r="P56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 t="str">
        <f t="shared" si="27"/>
        <v>Compactor</v>
      </c>
      <c r="B57" s="36"/>
      <c r="C57" s="20"/>
      <c r="D57" s="1"/>
      <c r="E57" s="30">
        <f t="shared" si="28"/>
        <v>4.6901184867311286E-3</v>
      </c>
      <c r="F57" s="30">
        <f t="shared" si="29"/>
        <v>1.6141980568879444E-2</v>
      </c>
      <c r="G57" s="30">
        <f t="shared" si="30"/>
        <v>4.6453073965333734E-2</v>
      </c>
      <c r="H57" s="30">
        <f t="shared" si="31"/>
        <v>7.579103395138476E-5</v>
      </c>
      <c r="I57" s="30">
        <f t="shared" si="32"/>
        <v>1.5458054139412506E-3</v>
      </c>
      <c r="J57" s="30">
        <f t="shared" si="33"/>
        <v>1.375766818407713E-3</v>
      </c>
      <c r="K57" s="30">
        <f t="shared" si="34"/>
        <v>6.7359505719796795</v>
      </c>
      <c r="L57" s="30">
        <f t="shared" si="35"/>
        <v>4.3932801885060901E-4</v>
      </c>
      <c r="M57" s="30">
        <f t="shared" si="36"/>
        <v>4.4130420267067053E-3</v>
      </c>
      <c r="O57"/>
      <c r="P57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37" t="str">
        <f t="shared" si="27"/>
        <v>Loader</v>
      </c>
      <c r="B58" s="36"/>
      <c r="C58" s="20"/>
      <c r="D58" s="1"/>
      <c r="E58" s="30">
        <f t="shared" si="28"/>
        <v>1.8896810086504005E-2</v>
      </c>
      <c r="F58" s="30">
        <f t="shared" si="29"/>
        <v>6.1212079272448768E-2</v>
      </c>
      <c r="G58" s="30">
        <f t="shared" si="30"/>
        <v>0.1674606200815297</v>
      </c>
      <c r="H58" s="30">
        <f t="shared" si="31"/>
        <v>2.9501878972221939E-4</v>
      </c>
      <c r="I58" s="30">
        <f t="shared" si="32"/>
        <v>5.6532137289478177E-3</v>
      </c>
      <c r="J58" s="30">
        <f t="shared" si="33"/>
        <v>5.031360218763558E-3</v>
      </c>
      <c r="K58" s="30">
        <f t="shared" si="34"/>
        <v>26.219889438324024</v>
      </c>
      <c r="L58" s="30">
        <f t="shared" si="35"/>
        <v>1.7761939548080401E-3</v>
      </c>
      <c r="M58" s="30">
        <f t="shared" si="36"/>
        <v>1.5908758907745318E-2</v>
      </c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27"/>
        <v>Water Truck</v>
      </c>
      <c r="B59" s="36"/>
      <c r="C59" s="20"/>
      <c r="D59" s="1"/>
      <c r="E59" s="30">
        <f t="shared" si="28"/>
        <v>2.6382679577385191E-2</v>
      </c>
      <c r="F59" s="30">
        <f t="shared" si="29"/>
        <v>8.1560615519274696E-2</v>
      </c>
      <c r="G59" s="30">
        <f t="shared" si="30"/>
        <v>0.20761023748762925</v>
      </c>
      <c r="H59" s="30">
        <f t="shared" si="31"/>
        <v>4.1226269761895131E-4</v>
      </c>
      <c r="I59" s="30">
        <f t="shared" si="32"/>
        <v>6.8730287196782473E-3</v>
      </c>
      <c r="J59" s="30">
        <f t="shared" si="33"/>
        <v>6.1169955605136408E-3</v>
      </c>
      <c r="K59" s="30">
        <f t="shared" si="34"/>
        <v>36.639986863581612</v>
      </c>
      <c r="L59" s="30">
        <f t="shared" si="35"/>
        <v>2.4843115921512867E-3</v>
      </c>
      <c r="M59" s="30">
        <f t="shared" si="36"/>
        <v>1.9722972561324777E-2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27"/>
        <v>Dump/Haul Truck</v>
      </c>
      <c r="B60" s="36"/>
      <c r="C60" s="20"/>
      <c r="D60" s="1"/>
      <c r="E60" s="30">
        <f t="shared" si="28"/>
        <v>1.5876052190875557E-2</v>
      </c>
      <c r="F60" s="30">
        <f t="shared" si="29"/>
        <v>4.9798908994104489E-2</v>
      </c>
      <c r="G60" s="30">
        <f t="shared" si="30"/>
        <v>0.12506376154019658</v>
      </c>
      <c r="H60" s="30">
        <f t="shared" si="31"/>
        <v>2.4735761857137074E-4</v>
      </c>
      <c r="I60" s="30">
        <f t="shared" si="32"/>
        <v>4.1287934222831394E-3</v>
      </c>
      <c r="J60" s="30">
        <f t="shared" si="33"/>
        <v>3.6746261458319935E-3</v>
      </c>
      <c r="K60" s="30">
        <f t="shared" si="34"/>
        <v>21.983992118148965</v>
      </c>
      <c r="L60" s="30">
        <f t="shared" si="35"/>
        <v>1.4905869552907715E-3</v>
      </c>
      <c r="M60" s="30">
        <f t="shared" si="36"/>
        <v>1.1881057346318676E-2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27"/>
        <v>Excavator</v>
      </c>
      <c r="B61" s="36"/>
      <c r="C61" s="20"/>
      <c r="D61" s="1"/>
      <c r="E61" s="30">
        <f t="shared" si="28"/>
        <v>2.0006281061562669E-2</v>
      </c>
      <c r="F61" s="30">
        <f t="shared" si="29"/>
        <v>6.656701307278709E-2</v>
      </c>
      <c r="G61" s="30">
        <f t="shared" si="30"/>
        <v>0.14819356078292895</v>
      </c>
      <c r="H61" s="30">
        <f t="shared" si="31"/>
        <v>3.0283296168872437E-4</v>
      </c>
      <c r="I61" s="30">
        <f t="shared" si="32"/>
        <v>5.2076678157467245E-3</v>
      </c>
      <c r="J61" s="30">
        <f t="shared" si="33"/>
        <v>4.6348243560145842E-3</v>
      </c>
      <c r="K61" s="30">
        <f t="shared" si="34"/>
        <v>30.853063516051677</v>
      </c>
      <c r="L61" s="30">
        <f t="shared" si="35"/>
        <v>1.8780858960794882E-3</v>
      </c>
      <c r="M61" s="30">
        <f t="shared" si="36"/>
        <v>1.407838827437825E-2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27"/>
        <v>Drill Rig</v>
      </c>
      <c r="B62" s="36"/>
      <c r="C62" s="20"/>
      <c r="D62" s="1"/>
      <c r="E62" s="30">
        <f t="shared" si="28"/>
        <v>2.3964155963875117E-3</v>
      </c>
      <c r="F62" s="30">
        <f t="shared" si="29"/>
        <v>3.0421908962113307E-2</v>
      </c>
      <c r="G62" s="30">
        <f t="shared" si="30"/>
        <v>2.4169130567049328E-2</v>
      </c>
      <c r="H62" s="30">
        <f t="shared" si="31"/>
        <v>5.9708745370351918E-5</v>
      </c>
      <c r="I62" s="30">
        <f t="shared" si="32"/>
        <v>1.0107487301941162E-3</v>
      </c>
      <c r="J62" s="30">
        <f t="shared" si="33"/>
        <v>8.9956636987276336E-4</v>
      </c>
      <c r="K62" s="30">
        <f t="shared" si="34"/>
        <v>5.0900366438120166</v>
      </c>
      <c r="L62" s="30">
        <f t="shared" si="35"/>
        <v>2.2363878622163485E-4</v>
      </c>
      <c r="M62" s="30">
        <f t="shared" si="36"/>
        <v>2.2960674038696866E-3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27"/>
        <v>Small Crane</v>
      </c>
      <c r="B63" s="36"/>
      <c r="C63" s="20"/>
      <c r="D63" s="1"/>
      <c r="E63" s="30">
        <f t="shared" si="28"/>
        <v>5.0398605384837153E-3</v>
      </c>
      <c r="F63" s="30">
        <f t="shared" si="29"/>
        <v>2.2902401143874009E-2</v>
      </c>
      <c r="G63" s="30">
        <f t="shared" si="30"/>
        <v>3.0627674261553533E-2</v>
      </c>
      <c r="H63" s="30">
        <f t="shared" si="31"/>
        <v>3.8825248242047193E-5</v>
      </c>
      <c r="I63" s="30">
        <f t="shared" si="32"/>
        <v>2.6046692154649323E-3</v>
      </c>
      <c r="J63" s="30">
        <f t="shared" si="33"/>
        <v>2.31815560176379E-3</v>
      </c>
      <c r="K63" s="30">
        <f t="shared" si="34"/>
        <v>3.3097652040194316</v>
      </c>
      <c r="L63" s="30">
        <f t="shared" si="35"/>
        <v>4.765680862041427E-4</v>
      </c>
      <c r="M63" s="30">
        <f t="shared" si="36"/>
        <v>2.9096290548475856E-3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27"/>
        <v>Concrete Trucks</v>
      </c>
      <c r="B64" s="36"/>
      <c r="C64" s="20"/>
      <c r="D64" s="1"/>
      <c r="E64" s="30">
        <f t="shared" si="28"/>
        <v>7.9380260954377783E-3</v>
      </c>
      <c r="F64" s="30">
        <f t="shared" si="29"/>
        <v>2.4899454497052245E-2</v>
      </c>
      <c r="G64" s="30">
        <f t="shared" si="30"/>
        <v>6.2531880770098289E-2</v>
      </c>
      <c r="H64" s="30">
        <f t="shared" si="31"/>
        <v>1.2367880928568537E-4</v>
      </c>
      <c r="I64" s="30">
        <f t="shared" si="32"/>
        <v>2.0643967111415697E-3</v>
      </c>
      <c r="J64" s="30">
        <f t="shared" si="33"/>
        <v>1.8373130729159967E-3</v>
      </c>
      <c r="K64" s="30">
        <f t="shared" si="34"/>
        <v>10.991996059074483</v>
      </c>
      <c r="L64" s="30">
        <f t="shared" si="35"/>
        <v>7.4529347764538576E-4</v>
      </c>
      <c r="M64" s="30">
        <f t="shared" si="36"/>
        <v>5.9405286731593378E-3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2" t="str">
        <f t="shared" ref="A65" si="37">A19</f>
        <v>Subtotal</v>
      </c>
      <c r="B65" s="36"/>
      <c r="C65" s="20"/>
      <c r="D65" s="1"/>
      <c r="E65" s="24">
        <f>SUM(E54:E64)</f>
        <v>0.12211160694513379</v>
      </c>
      <c r="F65" s="24">
        <f t="shared" ref="F65:M65" si="38">SUM(F54:F64)</f>
        <v>0.43722599708817605</v>
      </c>
      <c r="G65" s="24">
        <f t="shared" si="38"/>
        <v>0.98476266117577527</v>
      </c>
      <c r="H65" s="24">
        <f t="shared" si="38"/>
        <v>1.7924342964939976E-3</v>
      </c>
      <c r="I65" s="24">
        <f t="shared" si="38"/>
        <v>3.5728348857662087E-2</v>
      </c>
      <c r="J65" s="24">
        <f t="shared" si="38"/>
        <v>3.1798230483319256E-2</v>
      </c>
      <c r="K65" s="24">
        <f t="shared" si="38"/>
        <v>165.96635399008639</v>
      </c>
      <c r="L65" s="24">
        <f t="shared" si="38"/>
        <v>1.1477552752435104E-2</v>
      </c>
      <c r="M65" s="24">
        <f t="shared" si="38"/>
        <v>9.3552452811698633E-2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37"/>
      <c r="B66" s="36"/>
      <c r="C66" s="20"/>
      <c r="D66" s="1"/>
      <c r="E66" s="30"/>
      <c r="F66" s="30"/>
      <c r="G66" s="30"/>
      <c r="H66" s="30"/>
      <c r="I66" s="30"/>
      <c r="J66" s="30"/>
      <c r="K66" s="30"/>
      <c r="L66" s="30"/>
      <c r="M66" s="30"/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2" t="str">
        <f t="shared" ref="A67:A72" si="39">A21</f>
        <v>Trans: Talega Hub to Talega Substation 230 kV - Foundation Installations</v>
      </c>
      <c r="B67" s="36"/>
      <c r="C67" s="20"/>
      <c r="D67" s="1"/>
      <c r="E67" s="30"/>
      <c r="F67" s="30"/>
      <c r="G67" s="30"/>
      <c r="H67" s="30"/>
      <c r="I67" s="30"/>
      <c r="J67" s="30"/>
      <c r="K67" s="30"/>
      <c r="L67" s="30"/>
      <c r="M67" s="30"/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37" t="str">
        <f t="shared" si="39"/>
        <v>Concrete Trucks</v>
      </c>
      <c r="B68" s="36"/>
      <c r="C68" s="20"/>
      <c r="D68" s="1"/>
      <c r="E68" s="30">
        <f t="shared" ref="E68:M71" si="40">(Q22*$P22)/2000</f>
        <v>7.9380260954377783E-3</v>
      </c>
      <c r="F68" s="30">
        <f t="shared" si="40"/>
        <v>2.4899454497052245E-2</v>
      </c>
      <c r="G68" s="30">
        <f t="shared" si="40"/>
        <v>6.2531880770098289E-2</v>
      </c>
      <c r="H68" s="30">
        <f t="shared" si="40"/>
        <v>1.2367880928568537E-4</v>
      </c>
      <c r="I68" s="30">
        <f t="shared" si="40"/>
        <v>2.0643967111415697E-3</v>
      </c>
      <c r="J68" s="30">
        <f t="shared" si="40"/>
        <v>1.8373130729159967E-3</v>
      </c>
      <c r="K68" s="30">
        <f t="shared" si="40"/>
        <v>10.991996059074483</v>
      </c>
      <c r="L68" s="30">
        <f t="shared" si="40"/>
        <v>7.4529347764538576E-4</v>
      </c>
      <c r="M68" s="30">
        <f t="shared" si="40"/>
        <v>5.9405286731593378E-3</v>
      </c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39"/>
        <v>Drill Rig</v>
      </c>
      <c r="B69" s="36"/>
      <c r="C69" s="20"/>
      <c r="D69" s="1"/>
      <c r="E69" s="30">
        <f t="shared" si="40"/>
        <v>9.5856623855500468E-3</v>
      </c>
      <c r="F69" s="30">
        <f t="shared" si="40"/>
        <v>0.12168763584845323</v>
      </c>
      <c r="G69" s="30">
        <f t="shared" si="40"/>
        <v>9.6676522268197312E-2</v>
      </c>
      <c r="H69" s="30">
        <f t="shared" si="40"/>
        <v>2.3883498148140767E-4</v>
      </c>
      <c r="I69" s="30">
        <f t="shared" si="40"/>
        <v>4.0429949207764649E-3</v>
      </c>
      <c r="J69" s="30">
        <f t="shared" si="40"/>
        <v>3.5982654794910534E-3</v>
      </c>
      <c r="K69" s="30">
        <f t="shared" si="40"/>
        <v>20.360146575248066</v>
      </c>
      <c r="L69" s="30">
        <f t="shared" si="40"/>
        <v>8.945551448865394E-4</v>
      </c>
      <c r="M69" s="30">
        <f t="shared" si="40"/>
        <v>9.1842696154787462E-3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39"/>
        <v>CAT 416 Rubber Tire Backhoe</v>
      </c>
      <c r="B70" s="36"/>
      <c r="C70" s="20"/>
      <c r="D70" s="1"/>
      <c r="E70" s="30">
        <f t="shared" si="40"/>
        <v>7.0225306652649915E-3</v>
      </c>
      <c r="F70" s="30">
        <f t="shared" si="40"/>
        <v>3.5288653128912238E-2</v>
      </c>
      <c r="G70" s="30">
        <f t="shared" si="40"/>
        <v>4.4432877104078485E-2</v>
      </c>
      <c r="H70" s="30">
        <f t="shared" si="40"/>
        <v>6.0815543899333632E-5</v>
      </c>
      <c r="I70" s="30">
        <f t="shared" si="40"/>
        <v>3.6040591825012309E-3</v>
      </c>
      <c r="J70" s="30">
        <f t="shared" si="40"/>
        <v>3.207612672426096E-3</v>
      </c>
      <c r="K70" s="30">
        <f t="shared" si="40"/>
        <v>5.1843890573443892</v>
      </c>
      <c r="L70" s="30">
        <f t="shared" si="40"/>
        <v>6.6303381663023787E-4</v>
      </c>
      <c r="M70" s="30">
        <f t="shared" si="40"/>
        <v>4.2211233248874557E-3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39"/>
        <v>Dump Trucks</v>
      </c>
      <c r="B71" s="36"/>
      <c r="C71" s="20"/>
      <c r="D71" s="1"/>
      <c r="E71" s="30">
        <f t="shared" si="40"/>
        <v>1.5876052190875557E-2</v>
      </c>
      <c r="F71" s="30">
        <f t="shared" si="40"/>
        <v>4.9798908994104489E-2</v>
      </c>
      <c r="G71" s="30">
        <f t="shared" si="40"/>
        <v>0.12506376154019658</v>
      </c>
      <c r="H71" s="30">
        <f t="shared" si="40"/>
        <v>2.4735761857137074E-4</v>
      </c>
      <c r="I71" s="30">
        <f t="shared" si="40"/>
        <v>4.1287934222831394E-3</v>
      </c>
      <c r="J71" s="30">
        <f t="shared" si="40"/>
        <v>3.6746261458319935E-3</v>
      </c>
      <c r="K71" s="30">
        <f t="shared" si="40"/>
        <v>21.983992118148965</v>
      </c>
      <c r="L71" s="30">
        <f t="shared" si="40"/>
        <v>1.4905869552907715E-3</v>
      </c>
      <c r="M71" s="30">
        <f t="shared" si="40"/>
        <v>1.1881057346318676E-2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2" t="str">
        <f t="shared" si="39"/>
        <v>Subtotal</v>
      </c>
      <c r="B72" s="36"/>
      <c r="C72" s="20"/>
      <c r="D72" s="1"/>
      <c r="E72" s="24">
        <f>SUM(E68:E71)</f>
        <v>4.0422271337128377E-2</v>
      </c>
      <c r="F72" s="24">
        <f t="shared" ref="F72:M72" si="41">SUM(F68:F71)</f>
        <v>0.2316746524685222</v>
      </c>
      <c r="G72" s="24">
        <f t="shared" si="41"/>
        <v>0.32870504168257064</v>
      </c>
      <c r="H72" s="24">
        <f t="shared" si="41"/>
        <v>6.7068695323779749E-4</v>
      </c>
      <c r="I72" s="24">
        <f t="shared" si="41"/>
        <v>1.3840244236702404E-2</v>
      </c>
      <c r="J72" s="24">
        <f t="shared" si="41"/>
        <v>1.2317817370665139E-2</v>
      </c>
      <c r="K72" s="24">
        <f t="shared" si="41"/>
        <v>58.520523809815899</v>
      </c>
      <c r="L72" s="24">
        <f t="shared" si="41"/>
        <v>3.7934693944529346E-3</v>
      </c>
      <c r="M72" s="24">
        <f t="shared" si="41"/>
        <v>3.1226978959844214E-2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">
        <v>634</v>
      </c>
      <c r="B73" s="36"/>
      <c r="C73" s="20"/>
      <c r="D73" s="1"/>
      <c r="E73" s="24">
        <f>E65+E72</f>
        <v>0.16253387828226218</v>
      </c>
      <c r="F73" s="24">
        <f t="shared" ref="F73:M73" si="42">F65+F72</f>
        <v>0.66890064955669826</v>
      </c>
      <c r="G73" s="24">
        <f t="shared" si="42"/>
        <v>1.3134677028583459</v>
      </c>
      <c r="H73" s="24">
        <f t="shared" si="42"/>
        <v>2.4631212497317951E-3</v>
      </c>
      <c r="I73" s="24">
        <f t="shared" si="42"/>
        <v>4.956859309436449E-2</v>
      </c>
      <c r="J73" s="24">
        <f t="shared" si="42"/>
        <v>4.4116047853984396E-2</v>
      </c>
      <c r="K73" s="24">
        <f t="shared" si="42"/>
        <v>224.48687779990229</v>
      </c>
      <c r="L73" s="24">
        <f t="shared" si="42"/>
        <v>1.5271022146888039E-2</v>
      </c>
      <c r="M73" s="24">
        <f t="shared" si="42"/>
        <v>0.12477943177154285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37"/>
      <c r="B74" s="36"/>
      <c r="C74" s="20"/>
      <c r="D74" s="1"/>
      <c r="E74" s="30"/>
      <c r="F74" s="30"/>
      <c r="G74" s="30"/>
      <c r="H74" s="30"/>
      <c r="I74" s="30"/>
      <c r="J74" s="30"/>
      <c r="K74" s="30"/>
      <c r="L74" s="30"/>
      <c r="M74" s="30"/>
      <c r="O74" s="572"/>
      <c r="P74" s="572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2" t="str">
        <f t="shared" ref="A75:A80" si="43">A29</f>
        <v>Trans: Talega Hub to Talega Substation 230 kV - Steel Structure Installations</v>
      </c>
      <c r="B75" s="36"/>
      <c r="C75" s="20"/>
      <c r="D75" s="1"/>
      <c r="E75" s="30"/>
      <c r="F75" s="30"/>
      <c r="G75" s="30"/>
      <c r="H75" s="30"/>
      <c r="I75" s="30"/>
      <c r="J75" s="30"/>
      <c r="K75" s="30"/>
      <c r="L75" s="30"/>
      <c r="M75" s="30"/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37" t="str">
        <f t="shared" si="43"/>
        <v>2-ton Flatbed Truck</v>
      </c>
      <c r="B76" s="36"/>
      <c r="C76" s="20"/>
      <c r="D76" s="1"/>
      <c r="E76" s="30">
        <f t="shared" ref="E76:M79" si="44">(Q30*$P30)/2000</f>
        <v>1.1977477543508183E-2</v>
      </c>
      <c r="F76" s="30">
        <f t="shared" si="44"/>
        <v>4.0911313041205967E-2</v>
      </c>
      <c r="G76" s="30">
        <f t="shared" si="44"/>
        <v>8.6563318951613177E-2</v>
      </c>
      <c r="H76" s="30">
        <f t="shared" si="44"/>
        <v>2.0613139247914835E-4</v>
      </c>
      <c r="I76" s="30">
        <f t="shared" si="44"/>
        <v>2.9076129828718624E-3</v>
      </c>
      <c r="J76" s="30">
        <f t="shared" si="44"/>
        <v>2.5877755547559578E-3</v>
      </c>
      <c r="K76" s="30">
        <f t="shared" si="44"/>
        <v>18.319995718697772</v>
      </c>
      <c r="L76" s="30">
        <f t="shared" si="44"/>
        <v>1.1703926275465975E-3</v>
      </c>
      <c r="M76" s="30">
        <f t="shared" si="44"/>
        <v>8.2235153004032533E-3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43"/>
        <v>Crane</v>
      </c>
      <c r="B77" s="36"/>
      <c r="C77" s="20"/>
      <c r="D77" s="1"/>
      <c r="E77" s="30">
        <f t="shared" si="44"/>
        <v>2.0265108309722776E-2</v>
      </c>
      <c r="F77" s="30">
        <f t="shared" si="44"/>
        <v>7.5062481392234662E-2</v>
      </c>
      <c r="G77" s="30">
        <f t="shared" si="44"/>
        <v>0.16050506846456164</v>
      </c>
      <c r="H77" s="30">
        <f t="shared" si="44"/>
        <v>2.9167928770560455E-4</v>
      </c>
      <c r="I77" s="30">
        <f t="shared" si="44"/>
        <v>5.8106937427059068E-3</v>
      </c>
      <c r="J77" s="30">
        <f t="shared" si="44"/>
        <v>5.1715174310082582E-3</v>
      </c>
      <c r="K77" s="30">
        <f t="shared" si="44"/>
        <v>29.716715551712415</v>
      </c>
      <c r="L77" s="30">
        <f t="shared" si="44"/>
        <v>1.972577788057526E-3</v>
      </c>
      <c r="M77" s="30">
        <f t="shared" si="44"/>
        <v>1.5247981504133357E-2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43"/>
        <v>Manlift</v>
      </c>
      <c r="B78" s="36"/>
      <c r="C78" s="20"/>
      <c r="D78" s="1"/>
      <c r="E78" s="30">
        <f t="shared" si="44"/>
        <v>2.4979736461463762E-2</v>
      </c>
      <c r="F78" s="30">
        <f t="shared" si="44"/>
        <v>0.15243187969394606</v>
      </c>
      <c r="G78" s="30">
        <f t="shared" si="44"/>
        <v>0.18049131640744301</v>
      </c>
      <c r="H78" s="30">
        <f t="shared" si="44"/>
        <v>2.9475721743802926E-4</v>
      </c>
      <c r="I78" s="30">
        <f t="shared" si="44"/>
        <v>1.3059950452611801E-2</v>
      </c>
      <c r="J78" s="30">
        <f t="shared" si="44"/>
        <v>1.1623355902824503E-2</v>
      </c>
      <c r="K78" s="30">
        <f t="shared" si="44"/>
        <v>25.127403317571261</v>
      </c>
      <c r="L78" s="30">
        <f t="shared" si="44"/>
        <v>2.456831891272832E-3</v>
      </c>
      <c r="M78" s="30">
        <f t="shared" si="44"/>
        <v>1.7146675058707084E-2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43"/>
        <v>Air Compressor</v>
      </c>
      <c r="B79" s="36"/>
      <c r="C79" s="20"/>
      <c r="D79" s="1"/>
      <c r="E79" s="30">
        <f t="shared" si="44"/>
        <v>7.9242010565194032E-2</v>
      </c>
      <c r="F79" s="30">
        <f t="shared" si="44"/>
        <v>0.32468524049405917</v>
      </c>
      <c r="G79" s="30">
        <f t="shared" si="44"/>
        <v>0.2813089439338689</v>
      </c>
      <c r="H79" s="30">
        <f t="shared" si="44"/>
        <v>3.8004351266263179E-4</v>
      </c>
      <c r="I79" s="30">
        <f t="shared" si="44"/>
        <v>1.9849095543772937E-2</v>
      </c>
      <c r="J79" s="30">
        <f t="shared" si="44"/>
        <v>1.7665695033957908E-2</v>
      </c>
      <c r="K79" s="30">
        <f t="shared" si="44"/>
        <v>29.398058067849465</v>
      </c>
      <c r="L79" s="30">
        <f t="shared" si="44"/>
        <v>7.9443109477208076E-3</v>
      </c>
      <c r="M79" s="30">
        <f t="shared" si="44"/>
        <v>2.6724349673717545E-2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2" t="str">
        <f t="shared" si="43"/>
        <v>Subtotal</v>
      </c>
      <c r="B80" s="36"/>
      <c r="C80" s="20"/>
      <c r="D80" s="1"/>
      <c r="E80" s="24">
        <f>SUM(E76:E79)</f>
        <v>0.13646433287988874</v>
      </c>
      <c r="F80" s="24">
        <f t="shared" ref="F80:M80" si="45">SUM(F76:F79)</f>
        <v>0.59309091462144581</v>
      </c>
      <c r="G80" s="24">
        <f t="shared" si="45"/>
        <v>0.70886864775748681</v>
      </c>
      <c r="H80" s="24">
        <f t="shared" si="45"/>
        <v>1.172611410285414E-3</v>
      </c>
      <c r="I80" s="24">
        <f t="shared" si="45"/>
        <v>4.162735272196251E-2</v>
      </c>
      <c r="J80" s="24">
        <f t="shared" si="45"/>
        <v>3.7048343922546627E-2</v>
      </c>
      <c r="K80" s="24">
        <f t="shared" si="45"/>
        <v>102.56217265583091</v>
      </c>
      <c r="L80" s="24">
        <f t="shared" si="45"/>
        <v>1.3544113254597763E-2</v>
      </c>
      <c r="M80" s="24">
        <f t="shared" si="45"/>
        <v>6.7342521536961242E-2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2" t="s">
        <v>635</v>
      </c>
      <c r="B81" s="36"/>
      <c r="C81" s="20"/>
      <c r="D81" s="1"/>
      <c r="E81" s="24">
        <f>E80</f>
        <v>0.13646433287988874</v>
      </c>
      <c r="F81" s="24">
        <f t="shared" ref="F81:M81" si="46">F80</f>
        <v>0.59309091462144581</v>
      </c>
      <c r="G81" s="24">
        <f t="shared" si="46"/>
        <v>0.70886864775748681</v>
      </c>
      <c r="H81" s="24">
        <f t="shared" si="46"/>
        <v>1.172611410285414E-3</v>
      </c>
      <c r="I81" s="24">
        <f t="shared" si="46"/>
        <v>4.162735272196251E-2</v>
      </c>
      <c r="J81" s="24">
        <f t="shared" si="46"/>
        <v>3.7048343922546627E-2</v>
      </c>
      <c r="K81" s="24">
        <f t="shared" si="46"/>
        <v>102.56217265583091</v>
      </c>
      <c r="L81" s="24">
        <f t="shared" si="46"/>
        <v>1.3544113254597763E-2</v>
      </c>
      <c r="M81" s="24">
        <f t="shared" si="46"/>
        <v>6.7342521536961242E-2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37"/>
      <c r="B82" s="36"/>
      <c r="C82" s="20"/>
      <c r="D82" s="1"/>
      <c r="E82" s="30"/>
      <c r="F82" s="30"/>
      <c r="G82" s="30"/>
      <c r="H82" s="30"/>
      <c r="I82" s="30"/>
      <c r="J82" s="30"/>
      <c r="K82" s="30"/>
      <c r="L82" s="30"/>
      <c r="M82" s="30"/>
      <c r="O82" s="572"/>
      <c r="P82" s="57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2" t="str">
        <f>A37</f>
        <v>Trans: Talega Hub to Talega Substation 230 kV - Cable/Conductor Pulling and Tensioning</v>
      </c>
      <c r="B83" s="36"/>
      <c r="C83" s="20"/>
      <c r="D83" s="1"/>
      <c r="E83" s="30"/>
      <c r="F83" s="30"/>
      <c r="G83" s="30"/>
      <c r="H83" s="30"/>
      <c r="I83" s="30"/>
      <c r="J83" s="30"/>
      <c r="K83" s="30"/>
      <c r="L83" s="30"/>
      <c r="M83" s="30"/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37" t="str">
        <f>A38</f>
        <v>Manlift</v>
      </c>
      <c r="B84" s="36"/>
      <c r="C84" s="20"/>
      <c r="D84" s="1"/>
      <c r="E84" s="30">
        <f t="shared" ref="E84:M86" si="47">(Q38*$P38)/2000</f>
        <v>9.9130850389239494E-3</v>
      </c>
      <c r="F84" s="30">
        <f t="shared" si="47"/>
        <v>8.6816101327758494E-2</v>
      </c>
      <c r="G84" s="30">
        <f t="shared" si="47"/>
        <v>7.2936609048921644E-2</v>
      </c>
      <c r="H84" s="30">
        <f t="shared" si="47"/>
        <v>1.7685438222197602E-4</v>
      </c>
      <c r="I84" s="30">
        <f t="shared" si="47"/>
        <v>4.7900462625353425E-3</v>
      </c>
      <c r="J84" s="30">
        <f t="shared" si="47"/>
        <v>4.2631411736564545E-3</v>
      </c>
      <c r="K84" s="30">
        <f t="shared" si="47"/>
        <v>15.076444760896958</v>
      </c>
      <c r="L84" s="30">
        <f t="shared" si="47"/>
        <v>1.1678888070397202E-3</v>
      </c>
      <c r="M84" s="30">
        <f t="shared" si="47"/>
        <v>6.9289778596475565E-3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>A39</f>
        <v>Puller and Tensioner</v>
      </c>
      <c r="B85" s="36"/>
      <c r="C85" s="20"/>
      <c r="D85" s="1"/>
      <c r="E85" s="30">
        <f t="shared" si="47"/>
        <v>3.572941914320759E-2</v>
      </c>
      <c r="F85" s="30">
        <f t="shared" si="47"/>
        <v>0.20407707291961719</v>
      </c>
      <c r="G85" s="30">
        <f t="shared" si="47"/>
        <v>0.23176384549391874</v>
      </c>
      <c r="H85" s="30">
        <f t="shared" si="47"/>
        <v>9.8819181059012413E-4</v>
      </c>
      <c r="I85" s="30">
        <f t="shared" si="47"/>
        <v>8.1269218889549362E-3</v>
      </c>
      <c r="J85" s="30">
        <f t="shared" si="47"/>
        <v>7.2329604811698931E-3</v>
      </c>
      <c r="K85" s="30">
        <f t="shared" si="47"/>
        <v>100.67843455132068</v>
      </c>
      <c r="L85" s="30">
        <f t="shared" si="47"/>
        <v>4.0099327687927663E-3</v>
      </c>
      <c r="M85" s="30">
        <f t="shared" si="47"/>
        <v>2.2017565321922276E-2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>A40</f>
        <v>Reel Trailer</v>
      </c>
      <c r="B86" s="36"/>
      <c r="C86" s="20"/>
      <c r="D86" s="1"/>
      <c r="E86" s="30">
        <f t="shared" si="47"/>
        <v>3.572941914320759E-2</v>
      </c>
      <c r="F86" s="30">
        <f t="shared" si="47"/>
        <v>0.20407707291961719</v>
      </c>
      <c r="G86" s="30">
        <f t="shared" si="47"/>
        <v>0.23176384549391874</v>
      </c>
      <c r="H86" s="30">
        <f t="shared" si="47"/>
        <v>9.8819181059012413E-4</v>
      </c>
      <c r="I86" s="30">
        <f t="shared" si="47"/>
        <v>8.1269218889549362E-3</v>
      </c>
      <c r="J86" s="30">
        <f t="shared" si="47"/>
        <v>7.2329604811698931E-3</v>
      </c>
      <c r="K86" s="30">
        <f t="shared" si="47"/>
        <v>100.67843455132068</v>
      </c>
      <c r="L86" s="30">
        <f t="shared" si="47"/>
        <v>4.0099327687927663E-3</v>
      </c>
      <c r="M86" s="30">
        <f t="shared" si="47"/>
        <v>2.2017565321922276E-2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2" t="str">
        <f>A41</f>
        <v>Subtotal</v>
      </c>
      <c r="B87" s="36"/>
      <c r="C87" s="20"/>
      <c r="D87" s="1"/>
      <c r="E87" s="24">
        <f t="shared" ref="E87:M87" si="48">SUM(E84:E86)</f>
        <v>8.1371923325339129E-2</v>
      </c>
      <c r="F87" s="24">
        <f t="shared" si="48"/>
        <v>0.49497024716699289</v>
      </c>
      <c r="G87" s="24">
        <f t="shared" si="48"/>
        <v>0.53646430003675916</v>
      </c>
      <c r="H87" s="24">
        <f t="shared" si="48"/>
        <v>2.1532380034022243E-3</v>
      </c>
      <c r="I87" s="24">
        <f t="shared" si="48"/>
        <v>2.1043890040445216E-2</v>
      </c>
      <c r="J87" s="24">
        <f t="shared" si="48"/>
        <v>1.872906213599624E-2</v>
      </c>
      <c r="K87" s="24">
        <f t="shared" si="48"/>
        <v>216.43331386353833</v>
      </c>
      <c r="L87" s="24">
        <f t="shared" si="48"/>
        <v>9.187754344625253E-3</v>
      </c>
      <c r="M87" s="24">
        <f t="shared" si="48"/>
        <v>5.096410850349211E-2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37"/>
      <c r="B88" s="36"/>
      <c r="C88" s="20"/>
      <c r="D88" s="1"/>
      <c r="E88" s="30"/>
      <c r="F88" s="30"/>
      <c r="G88" s="30"/>
      <c r="H88" s="30"/>
      <c r="I88" s="30"/>
      <c r="J88" s="30"/>
      <c r="K88" s="30"/>
      <c r="L88" s="30"/>
      <c r="M88" s="30"/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2" t="str">
        <f t="shared" ref="A89:A95" si="49">A43</f>
        <v>Trans: Talega Hub to Talega Substation 230 kV - Removal of Wood Pole Structures</v>
      </c>
      <c r="B89" s="36"/>
      <c r="C89" s="20"/>
      <c r="D89" s="1"/>
      <c r="E89" s="30"/>
      <c r="F89" s="30"/>
      <c r="G89" s="30"/>
      <c r="H89" s="30"/>
      <c r="I89" s="30"/>
      <c r="J89" s="30"/>
      <c r="K89" s="30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37" t="str">
        <f t="shared" si="49"/>
        <v>2-ton Flatbed Truck</v>
      </c>
      <c r="B90" s="36"/>
      <c r="C90" s="20"/>
      <c r="D90" s="1"/>
      <c r="E90" s="30">
        <f t="shared" ref="E90:M94" si="50">(Q44*$P44)/2000</f>
        <v>7.1449172147287337E-3</v>
      </c>
      <c r="F90" s="30">
        <f t="shared" si="50"/>
        <v>3.3434896117860047E-2</v>
      </c>
      <c r="G90" s="30">
        <f t="shared" si="50"/>
        <v>4.2587147394121484E-2</v>
      </c>
      <c r="H90" s="30">
        <f t="shared" si="50"/>
        <v>1.6490512986161692E-4</v>
      </c>
      <c r="I90" s="30">
        <f t="shared" si="50"/>
        <v>1.46656924381796E-3</v>
      </c>
      <c r="J90" s="30">
        <f t="shared" si="50"/>
        <v>1.3052466269979845E-3</v>
      </c>
      <c r="K90" s="30">
        <f t="shared" si="50"/>
        <v>14.65599817402995</v>
      </c>
      <c r="L90" s="30">
        <f t="shared" si="50"/>
        <v>8.2717359326804944E-4</v>
      </c>
      <c r="M90" s="30">
        <f t="shared" si="50"/>
        <v>4.045779002441542E-3</v>
      </c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49"/>
        <v>Manlift</v>
      </c>
      <c r="B91" s="36"/>
      <c r="C91" s="20"/>
      <c r="D91" s="1"/>
      <c r="E91" s="30">
        <f t="shared" si="50"/>
        <v>6.6087233592826327E-3</v>
      </c>
      <c r="F91" s="30">
        <f t="shared" si="50"/>
        <v>5.7877400885172327E-2</v>
      </c>
      <c r="G91" s="30">
        <f t="shared" si="50"/>
        <v>4.8624406032614434E-2</v>
      </c>
      <c r="H91" s="30">
        <f t="shared" si="50"/>
        <v>1.1790292148131735E-4</v>
      </c>
      <c r="I91" s="30">
        <f t="shared" si="50"/>
        <v>3.1933641750235618E-3</v>
      </c>
      <c r="J91" s="30">
        <f t="shared" si="50"/>
        <v>2.8420941157709699E-3</v>
      </c>
      <c r="K91" s="30">
        <f t="shared" si="50"/>
        <v>10.050963173931306</v>
      </c>
      <c r="L91" s="30">
        <f t="shared" si="50"/>
        <v>7.7859253802648007E-4</v>
      </c>
      <c r="M91" s="30">
        <f t="shared" si="50"/>
        <v>4.6193185730983716E-3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49"/>
        <v>Chainsaw</v>
      </c>
      <c r="B92" s="36"/>
      <c r="C92" s="20"/>
      <c r="D92" s="1"/>
      <c r="E92" s="30">
        <f t="shared" si="50"/>
        <v>1.403168691943713E-3</v>
      </c>
      <c r="F92" s="30">
        <f t="shared" si="50"/>
        <v>9.3180507323558266E-3</v>
      </c>
      <c r="G92" s="30">
        <f t="shared" si="50"/>
        <v>1.1299424128169847E-2</v>
      </c>
      <c r="H92" s="30">
        <f t="shared" si="50"/>
        <v>1.4757807318233421E-5</v>
      </c>
      <c r="I92" s="30">
        <f t="shared" si="50"/>
        <v>2.608434482215221E-4</v>
      </c>
      <c r="J92" s="30">
        <f t="shared" si="50"/>
        <v>2.3215066891715469E-4</v>
      </c>
      <c r="K92" s="30">
        <f t="shared" si="50"/>
        <v>1.1631216516076806</v>
      </c>
      <c r="L92" s="30">
        <f t="shared" si="50"/>
        <v>1.2660569779821148E-4</v>
      </c>
      <c r="M92" s="30">
        <f t="shared" si="50"/>
        <v>1.0734452921761354E-3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49"/>
        <v>Loader</v>
      </c>
      <c r="B93" s="36"/>
      <c r="C93" s="20"/>
      <c r="D93" s="1"/>
      <c r="E93" s="30">
        <f t="shared" si="50"/>
        <v>6.4140864489364334E-3</v>
      </c>
      <c r="F93" s="30">
        <f t="shared" si="50"/>
        <v>2.915963478651596E-2</v>
      </c>
      <c r="G93" s="30">
        <f t="shared" si="50"/>
        <v>4.5250800668576979E-2</v>
      </c>
      <c r="H93" s="30">
        <f t="shared" si="50"/>
        <v>1.4750937962099527E-4</v>
      </c>
      <c r="I93" s="30">
        <f t="shared" si="50"/>
        <v>1.562904702363305E-3</v>
      </c>
      <c r="J93" s="30">
        <f t="shared" si="50"/>
        <v>1.3909851851033417E-3</v>
      </c>
      <c r="K93" s="30">
        <f t="shared" si="50"/>
        <v>13.109949726590264</v>
      </c>
      <c r="L93" s="30">
        <f t="shared" si="50"/>
        <v>7.5114120857765101E-4</v>
      </c>
      <c r="M93" s="30">
        <f t="shared" si="50"/>
        <v>4.2988260635148127E-3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49"/>
        <v>Crane</v>
      </c>
      <c r="B94" s="36"/>
      <c r="C94" s="20"/>
      <c r="D94" s="1"/>
      <c r="E94" s="30">
        <f t="shared" si="50"/>
        <v>8.3447325048805684E-3</v>
      </c>
      <c r="F94" s="30">
        <f t="shared" si="50"/>
        <v>3.9982128091503609E-2</v>
      </c>
      <c r="G94" s="30">
        <f t="shared" si="50"/>
        <v>5.5911057760787336E-2</v>
      </c>
      <c r="H94" s="30">
        <f t="shared" si="50"/>
        <v>1.5556225930222237E-4</v>
      </c>
      <c r="I94" s="30">
        <f t="shared" si="50"/>
        <v>2.0556921199691163E-3</v>
      </c>
      <c r="J94" s="30">
        <f t="shared" si="50"/>
        <v>1.8295659867725135E-3</v>
      </c>
      <c r="K94" s="30">
        <f t="shared" si="50"/>
        <v>15.848911920981024</v>
      </c>
      <c r="L94" s="30">
        <f t="shared" si="50"/>
        <v>9.5408903427840258E-4</v>
      </c>
      <c r="M94" s="30">
        <f t="shared" si="50"/>
        <v>5.3115504872747969E-3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2" t="str">
        <f t="shared" si="49"/>
        <v>Subtotal</v>
      </c>
      <c r="B95" s="36"/>
      <c r="C95" s="20"/>
      <c r="D95" s="1"/>
      <c r="E95" s="24">
        <f>SUM(E90:E94)</f>
        <v>2.9915628219772082E-2</v>
      </c>
      <c r="F95" s="24">
        <f t="shared" ref="F95:M95" si="51">SUM(F90:F94)</f>
        <v>0.16977211061340777</v>
      </c>
      <c r="G95" s="24">
        <f t="shared" si="51"/>
        <v>0.20367283598427008</v>
      </c>
      <c r="H95" s="24">
        <f t="shared" si="51"/>
        <v>6.0063749758438537E-4</v>
      </c>
      <c r="I95" s="24">
        <f t="shared" si="51"/>
        <v>8.5393736893954655E-3</v>
      </c>
      <c r="J95" s="24">
        <f t="shared" si="51"/>
        <v>7.6000425835619639E-3</v>
      </c>
      <c r="K95" s="24">
        <f t="shared" si="51"/>
        <v>54.828944647140226</v>
      </c>
      <c r="L95" s="24">
        <f t="shared" si="51"/>
        <v>3.4376020719487947E-3</v>
      </c>
      <c r="M95" s="24">
        <f t="shared" si="51"/>
        <v>1.934891941850566E-2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x14ac:dyDescent="0.25">
      <c r="A96" s="19" t="s">
        <v>636</v>
      </c>
      <c r="B96" s="158"/>
      <c r="C96" s="158"/>
      <c r="E96" s="22">
        <f>E87+E95</f>
        <v>0.11128755154511122</v>
      </c>
      <c r="F96" s="22">
        <f t="shared" ref="F96:M96" si="52">F87+F95</f>
        <v>0.66474235778040069</v>
      </c>
      <c r="G96" s="22">
        <f t="shared" si="52"/>
        <v>0.74013713602102926</v>
      </c>
      <c r="H96" s="22">
        <f t="shared" si="52"/>
        <v>2.7538755009866096E-3</v>
      </c>
      <c r="I96" s="22">
        <f t="shared" si="52"/>
        <v>2.9583263729840679E-2</v>
      </c>
      <c r="J96" s="22">
        <f t="shared" si="52"/>
        <v>2.6329104719558204E-2</v>
      </c>
      <c r="K96" s="22">
        <f t="shared" si="52"/>
        <v>271.26225851067858</v>
      </c>
      <c r="L96" s="22">
        <f t="shared" si="52"/>
        <v>1.2625356416574047E-2</v>
      </c>
      <c r="M96" s="22">
        <f t="shared" si="52"/>
        <v>7.031302792199777E-2</v>
      </c>
    </row>
  </sheetData>
  <mergeCells count="3">
    <mergeCell ref="E3:L3"/>
    <mergeCell ref="Q3:X3"/>
    <mergeCell ref="E51:L51"/>
  </mergeCells>
  <pageMargins left="0.75" right="0.75" top="1" bottom="1" header="0.5" footer="0.5"/>
  <pageSetup scale="40" orientation="landscape" r:id="rId1"/>
  <headerFooter alignWithMargins="0">
    <oddHeader xml:space="preserve">&amp;CTable A-6
Construction Heavy Equipment Emissions
South Orange County Reliability Project
Transmission Segment 4: Talega Hub to Talega Substation 230kV
</oddHeader>
    <oddFooter>&amp;CA-6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90"/>
  <sheetViews>
    <sheetView topLeftCell="A46" zoomScale="75" zoomScaleNormal="75" workbookViewId="0">
      <selection activeCell="A90" sqref="A90"/>
    </sheetView>
  </sheetViews>
  <sheetFormatPr defaultRowHeight="13.2" x14ac:dyDescent="0.25"/>
  <cols>
    <col min="1" max="1" width="71.554687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619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52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272</v>
      </c>
      <c r="B7" s="34">
        <v>2017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201</v>
      </c>
      <c r="B8" s="34">
        <v>2017</v>
      </c>
      <c r="C8" s="25">
        <v>300</v>
      </c>
      <c r="D8" s="134">
        <v>0.38</v>
      </c>
      <c r="E8" s="546">
        <f>VLOOKUP($A8,EFROGS!$A$1:$J$44,(IF($B8=2015,4,IF($B8=2016,5,IF($B8=2017,6,IF($B8=2018,7,IF($B8=2019,8,IF($B8=2020,9,0))))))),FALSE)</f>
        <v>0.12026232442156529</v>
      </c>
      <c r="F8" s="546">
        <f>VLOOKUP($A8,EFCOS!$A$1:$J$44,(IF($B8=2015,4,IF($B8=2016,5,IF($B8=2017,6,IF($B8=2018,7,IF($B8=2019,8,IF($B8=2020,9,0))))))),FALSE)</f>
        <v>0.491521125488383</v>
      </c>
      <c r="G8" s="546">
        <f>VLOOKUP($A8,EFNOXS!$A$1:$J$44,(IF($B8=2015,4,IF($B8=2016,5,IF($B8=2017,6,IF($B8=2018,7,IF($B8=2019,8,IF($B8=2020,9,0))))))),FALSE)</f>
        <v>0.73411802534607107</v>
      </c>
      <c r="H8" s="546">
        <f>VLOOKUP($A8,EFSOXS!$A$1:$J$44,(IF($B8=2015,4,IF($B8=2016,5,IF($B8=2017,6,IF($B8=2018,7,IF($B8=2019,8,IF($B8=2020,9,0))))))),FALSE)</f>
        <v>2.2941882966723329E-3</v>
      </c>
      <c r="I8" s="546">
        <f>VLOOKUP($A8,EFPMS!$A$1:$J$44,(IF($B8=2015,4,IF($B8=2016,5,IF($B8=2017,6,IF($B8=2018,7,IF($B8=2019,8,IF($B8=2020,9,0))))))),FALSE)</f>
        <v>2.6581291294641821E-2</v>
      </c>
      <c r="J8" s="536">
        <f t="shared" ref="J8:J12" si="0">0.89*I8</f>
        <v>2.365734925223122E-2</v>
      </c>
      <c r="K8" s="549">
        <f>VLOOKUP($A8,EFCO2S!$A$1:$J$44,(IF($B8=2015,4,IF($B8=2016,5,IF($B8=2017,6,IF($B8=2018,7,IF($B8=2019,8,IF($B8=2020,9,0))))))),FALSE)</f>
        <v>233.73535169013226</v>
      </c>
      <c r="L8" s="546">
        <f>VLOOKUP($A8,EFCH4S!$A$1:$J$44,(IF($B8=2015,4,IF($B8=2016,5,IF($B8=2017,6,IF($B8=2018,7,IF($B8=2019,8,IF($B8=2020,9,0))))))),FALSE)</f>
        <v>1.2770166630775929E-2</v>
      </c>
      <c r="M8" s="540">
        <f t="shared" ref="M8:M12" si="1">0.095*G8</f>
        <v>6.9741212407876757E-2</v>
      </c>
      <c r="N8" s="135">
        <v>1</v>
      </c>
      <c r="O8" s="135">
        <v>4</v>
      </c>
      <c r="P8" s="109">
        <v>22</v>
      </c>
      <c r="Q8" s="39">
        <f t="shared" ref="Q8" si="2">(E8*$N8*$O8)</f>
        <v>0.48104929768626115</v>
      </c>
      <c r="R8" s="29">
        <f t="shared" ref="R8" si="3">(F8*$N8*$O8)</f>
        <v>1.966084501953532</v>
      </c>
      <c r="S8" s="29">
        <f t="shared" ref="S8" si="4">(G8*$N8*$O8)</f>
        <v>2.9364721013842843</v>
      </c>
      <c r="T8" s="29">
        <f t="shared" ref="T8" si="5">(H8*$N8*$O8)</f>
        <v>9.1767531866893317E-3</v>
      </c>
      <c r="U8" s="29">
        <f t="shared" ref="U8" si="6">(I8*$N8*$O8)</f>
        <v>0.10632516517856729</v>
      </c>
      <c r="V8" s="29">
        <f t="shared" ref="V8" si="7">(J8*$N8*$O8)</f>
        <v>9.4629397008924879E-2</v>
      </c>
      <c r="W8" s="29">
        <f t="shared" ref="W8" si="8">(K8*$N8*$O8)</f>
        <v>934.94140676052905</v>
      </c>
      <c r="X8" s="29">
        <f t="shared" ref="X8" si="9">(L8*$N8*$O8)</f>
        <v>5.1080666523103717E-2</v>
      </c>
      <c r="Y8" s="29">
        <f t="shared" ref="Y8" si="10">(M8*$N8*$O8)</f>
        <v>0.27896484963150703</v>
      </c>
    </row>
    <row r="9" spans="1:25" s="3" customFormat="1" x14ac:dyDescent="0.25">
      <c r="A9" s="27" t="s">
        <v>196</v>
      </c>
      <c r="B9" s="34">
        <v>2017</v>
      </c>
      <c r="C9" s="25">
        <v>250</v>
      </c>
      <c r="D9" s="134">
        <v>0.38</v>
      </c>
      <c r="E9" s="546">
        <f>VLOOKUP($A9,EFROGS!$A$1:$J$44,(IF($B9=2015,4,IF($B9=2016,5,IF($B9=2017,6,IF($B9=2018,7,IF($B9=2019,8,IF($B9=2020,9,0))))))),FALSE)</f>
        <v>8.4660598997014863E-2</v>
      </c>
      <c r="F9" s="546">
        <f>VLOOKUP($A9,EFCOS!$A$1:$J$44,(IF($B9=2015,4,IF($B9=2016,5,IF($B9=2017,6,IF($B9=2018,7,IF($B9=2019,8,IF($B9=2020,9,0))))))),FALSE)</f>
        <v>0.36219012553465224</v>
      </c>
      <c r="G9" s="546">
        <f>VLOOKUP($A9,EFNOXS!$A$1:$J$44,(IF($B9=2015,4,IF($B9=2016,5,IF($B9=2017,6,IF($B9=2018,7,IF($B9=2019,8,IF($B9=2020,9,0))))))),FALSE)</f>
        <v>0.73535107265427568</v>
      </c>
      <c r="H9" s="546">
        <f>VLOOKUP($A9,EFSOXS!$A$1:$J$44,(IF($B9=2015,4,IF($B9=2016,5,IF($B9=2017,6,IF($B9=2018,7,IF($B9=2019,8,IF($B9=2020,9,0))))))),FALSE)</f>
        <v>1.7225228533016813E-3</v>
      </c>
      <c r="I9" s="546">
        <f>VLOOKUP($A9,EFPMS!$A$1:$J$44,(IF($B9=2015,4,IF($B9=2016,5,IF($B9=2017,6,IF($B9=2018,7,IF($B9=2019,8,IF($B9=2020,9,0))))))),FALSE)</f>
        <v>2.47861712058868E-2</v>
      </c>
      <c r="J9" s="536">
        <f t="shared" si="0"/>
        <v>2.2059692373239251E-2</v>
      </c>
      <c r="K9" s="549">
        <f>VLOOKUP($A9,EFCO2S!$A$1:$J$44,(IF($B9=2015,4,IF($B9=2016,5,IF($B9=2017,6,IF($B9=2018,7,IF($B9=2019,8,IF($B9=2020,9,0))))))),FALSE)</f>
        <v>153.08978374428989</v>
      </c>
      <c r="L9" s="546">
        <f>VLOOKUP($A9,EFCH4S!$A$1:$J$44,(IF($B9=2015,4,IF($B9=2016,5,IF($B9=2017,6,IF($B9=2018,7,IF($B9=2019,8,IF($B9=2020,9,0))))))),FALSE)</f>
        <v>8.8870914540412384E-3</v>
      </c>
      <c r="M9" s="540">
        <f t="shared" si="1"/>
        <v>6.9858351902156196E-2</v>
      </c>
      <c r="N9" s="135">
        <v>1</v>
      </c>
      <c r="O9" s="135">
        <v>4</v>
      </c>
      <c r="P9" s="109">
        <v>22</v>
      </c>
      <c r="Q9" s="39">
        <f t="shared" ref="Q9:Y12" si="11">(E9*$N9*$O9)</f>
        <v>0.33864239598805945</v>
      </c>
      <c r="R9" s="29">
        <f t="shared" si="11"/>
        <v>1.448760502138609</v>
      </c>
      <c r="S9" s="29">
        <f t="shared" si="11"/>
        <v>2.9414042906171027</v>
      </c>
      <c r="T9" s="29">
        <f t="shared" si="11"/>
        <v>6.890091413206725E-3</v>
      </c>
      <c r="U9" s="29">
        <f t="shared" si="11"/>
        <v>9.9144684823547199E-2</v>
      </c>
      <c r="V9" s="29">
        <f t="shared" si="11"/>
        <v>8.8238769492957003E-2</v>
      </c>
      <c r="W9" s="29">
        <f t="shared" si="11"/>
        <v>612.35913497715956</v>
      </c>
      <c r="X9" s="29">
        <f t="shared" si="11"/>
        <v>3.5548365816164954E-2</v>
      </c>
      <c r="Y9" s="29">
        <f t="shared" si="11"/>
        <v>0.27943340760862478</v>
      </c>
    </row>
    <row r="10" spans="1:25" s="3" customFormat="1" x14ac:dyDescent="0.25">
      <c r="A10" s="27" t="s">
        <v>197</v>
      </c>
      <c r="B10" s="34">
        <v>2017</v>
      </c>
      <c r="C10" s="134">
        <v>200</v>
      </c>
      <c r="D10" s="134">
        <v>0.36</v>
      </c>
      <c r="E10" s="546">
        <f>VLOOKUP($A10,EFROGS!$A$1:$J$44,(IF($B10=2015,4,IF($B10=2016,5,IF($B10=2017,6,IF($B10=2018,7,IF($B10=2019,8,IF($B10=2020,9,0))))))),FALSE)</f>
        <v>8.4406642295059356E-2</v>
      </c>
      <c r="F10" s="546">
        <f>VLOOKUP($A10,EFCOS!$A$1:$J$44,(IF($B10=2015,4,IF($B10=2016,5,IF($B10=2017,6,IF($B10=2018,7,IF($B10=2019,8,IF($B10=2020,9,0))))))),FALSE)</f>
        <v>0.33307907265202508</v>
      </c>
      <c r="G10" s="546">
        <f>VLOOKUP($A10,EFNOXS!$A$1:$J$44,(IF($B10=2015,4,IF($B10=2016,5,IF($B10=2017,6,IF($B10=2018,7,IF($B10=2019,8,IF($B10=2020,9,0))))))),FALSE)</f>
        <v>0.64825897359369522</v>
      </c>
      <c r="H10" s="546">
        <f>VLOOKUP($A10,EFSOXS!$A$1:$J$44,(IF($B10=2015,4,IF($B10=2016,5,IF($B10=2017,6,IF($B10=2018,7,IF($B10=2019,8,IF($B10=2020,9,0))))))),FALSE)</f>
        <v>1.6762431040541262E-3</v>
      </c>
      <c r="I10" s="546">
        <f>VLOOKUP($A10,EFPMS!$A$1:$J$44,(IF($B10=2015,4,IF($B10=2016,5,IF($B10=2017,6,IF($B10=2018,7,IF($B10=2019,8,IF($B10=2020,9,0))))))),FALSE)</f>
        <v>2.2210315689099164E-2</v>
      </c>
      <c r="J10" s="536">
        <f t="shared" si="0"/>
        <v>1.9767180963298256E-2</v>
      </c>
      <c r="K10" s="549">
        <f>VLOOKUP($A10,EFCO2S!$A$1:$J$44,(IF($B10=2015,4,IF($B10=2016,5,IF($B10=2017,6,IF($B10=2018,7,IF($B10=2019,8,IF($B10=2020,9,0))))))),FALSE)</f>
        <v>148.97664558315503</v>
      </c>
      <c r="L10" s="546">
        <f>VLOOKUP($A10,EFCH4S!$A$1:$J$44,(IF($B10=2015,4,IF($B10=2016,5,IF($B10=2017,6,IF($B10=2018,7,IF($B10=2019,8,IF($B10=2020,9,0))))))),FALSE)</f>
        <v>9.0185753542049527E-3</v>
      </c>
      <c r="M10" s="540">
        <f t="shared" si="1"/>
        <v>6.1584602491401047E-2</v>
      </c>
      <c r="N10" s="135">
        <v>1</v>
      </c>
      <c r="O10" s="135">
        <v>8</v>
      </c>
      <c r="P10" s="109">
        <v>22</v>
      </c>
      <c r="Q10" s="39">
        <f t="shared" si="11"/>
        <v>0.67525313836047485</v>
      </c>
      <c r="R10" s="29">
        <f t="shared" si="11"/>
        <v>2.6646325812162006</v>
      </c>
      <c r="S10" s="29">
        <f t="shared" si="11"/>
        <v>5.1860717887495618</v>
      </c>
      <c r="T10" s="29">
        <f t="shared" si="11"/>
        <v>1.340994483243301E-2</v>
      </c>
      <c r="U10" s="29">
        <f t="shared" si="11"/>
        <v>0.17768252551279332</v>
      </c>
      <c r="V10" s="29">
        <f t="shared" si="11"/>
        <v>0.15813744770638605</v>
      </c>
      <c r="W10" s="29">
        <f t="shared" si="11"/>
        <v>1191.8131646652403</v>
      </c>
      <c r="X10" s="29">
        <f t="shared" si="11"/>
        <v>7.2148602833639622E-2</v>
      </c>
      <c r="Y10" s="29">
        <f t="shared" si="11"/>
        <v>0.49267681993120838</v>
      </c>
    </row>
    <row r="11" spans="1:25" s="3" customFormat="1" x14ac:dyDescent="0.25">
      <c r="A11" s="27" t="s">
        <v>199</v>
      </c>
      <c r="B11" s="34">
        <v>2017</v>
      </c>
      <c r="C11" s="25">
        <v>175</v>
      </c>
      <c r="D11" s="134">
        <v>0.38</v>
      </c>
      <c r="E11" s="546">
        <f>VLOOKUP($A11,EFROGS!$A$1:$J$44,(IF($B11=2015,4,IF($B11=2016,5,IF($B11=2017,6,IF($B11=2018,7,IF($B11=2019,8,IF($B11=2020,9,0))))))),FALSE)</f>
        <v>9.2806998677456537E-2</v>
      </c>
      <c r="F11" s="546">
        <f>VLOOKUP($A11,EFCOS!$A$1:$J$44,(IF($B11=2015,4,IF($B11=2016,5,IF($B11=2017,6,IF($B11=2018,7,IF($B11=2019,8,IF($B11=2020,9,0))))))),FALSE)</f>
        <v>0.35317864819658679</v>
      </c>
      <c r="G11" s="546">
        <f>VLOOKUP($A11,EFNOXS!$A$1:$J$44,(IF($B11=2015,4,IF($B11=2016,5,IF($B11=2017,6,IF($B11=2018,7,IF($B11=2019,8,IF($B11=2020,9,0))))))),FALSE)</f>
        <v>0.61881284265398218</v>
      </c>
      <c r="H11" s="546">
        <f>VLOOKUP($A11,EFSOXS!$A$1:$J$44,(IF($B11=2015,4,IF($B11=2016,5,IF($B11=2017,6,IF($B11=2018,7,IF($B11=2019,8,IF($B11=2020,9,0))))))),FALSE)</f>
        <v>1.8739208211501423E-3</v>
      </c>
      <c r="I11" s="546">
        <f>VLOOKUP($A11,EFPMS!$A$1:$J$44,(IF($B11=2015,4,IF($B11=2016,5,IF($B11=2017,6,IF($B11=2018,7,IF($B11=2019,8,IF($B11=2020,9,0))))))),FALSE)</f>
        <v>2.0951407107446925E-2</v>
      </c>
      <c r="J11" s="536">
        <f t="shared" si="0"/>
        <v>1.8646752325627763E-2</v>
      </c>
      <c r="K11" s="549">
        <f>VLOOKUP($A11,EFCO2S!$A$1:$J$44,(IF($B11=2015,4,IF($B11=2016,5,IF($B11=2017,6,IF($B11=2018,7,IF($B11=2019,8,IF($B11=2020,9,0))))))),FALSE)</f>
        <v>166.54536773790227</v>
      </c>
      <c r="L11" s="546">
        <f>VLOOKUP($A11,EFCH4S!$A$1:$J$44,(IF($B11=2015,4,IF($B11=2016,5,IF($B11=2017,6,IF($B11=2018,7,IF($B11=2019,8,IF($B11=2020,9,0))))))),FALSE)</f>
        <v>1.0004303079381925E-2</v>
      </c>
      <c r="M11" s="540">
        <f t="shared" si="1"/>
        <v>5.878722005212831E-2</v>
      </c>
      <c r="N11" s="135">
        <v>1</v>
      </c>
      <c r="O11" s="135">
        <v>5</v>
      </c>
      <c r="P11" s="109">
        <v>22</v>
      </c>
      <c r="Q11" s="39">
        <f t="shared" si="11"/>
        <v>0.46403499338728271</v>
      </c>
      <c r="R11" s="29">
        <f t="shared" si="11"/>
        <v>1.765893240982934</v>
      </c>
      <c r="S11" s="29">
        <f t="shared" si="11"/>
        <v>3.094064213269911</v>
      </c>
      <c r="T11" s="29">
        <f t="shared" si="11"/>
        <v>9.3696041057507121E-3</v>
      </c>
      <c r="U11" s="29">
        <f t="shared" si="11"/>
        <v>0.10475703553723462</v>
      </c>
      <c r="V11" s="29">
        <f t="shared" si="11"/>
        <v>9.3233761628138817E-2</v>
      </c>
      <c r="W11" s="29">
        <f t="shared" si="11"/>
        <v>832.7268386895114</v>
      </c>
      <c r="X11" s="29">
        <f t="shared" si="11"/>
        <v>5.0021515396909626E-2</v>
      </c>
      <c r="Y11" s="29">
        <f t="shared" si="11"/>
        <v>0.29393610026064154</v>
      </c>
    </row>
    <row r="12" spans="1:25" s="3" customFormat="1" x14ac:dyDescent="0.25">
      <c r="A12" s="27" t="s">
        <v>200</v>
      </c>
      <c r="B12" s="34">
        <v>2017</v>
      </c>
      <c r="C12" s="25">
        <v>235</v>
      </c>
      <c r="D12" s="134">
        <v>0.38</v>
      </c>
      <c r="E12" s="546">
        <f>VLOOKUP($A12,EFROGS!$A$1:$J$44,(IF($B12=2015,4,IF($B12=2016,5,IF($B12=2017,6,IF($B12=2018,7,IF($B12=2019,8,IF($B12=2020,9,0))))))),FALSE)</f>
        <v>9.421440608486395E-2</v>
      </c>
      <c r="F12" s="546">
        <f>VLOOKUP($A12,EFCOS!$A$1:$J$44,(IF($B12=2015,4,IF($B12=2016,5,IF($B12=2017,6,IF($B12=2018,7,IF($B12=2019,8,IF($B12=2020,9,0))))))),FALSE)</f>
        <v>0.37529505031298893</v>
      </c>
      <c r="G12" s="546">
        <f>VLOOKUP($A12,EFNOXS!$A$1:$J$44,(IF($B12=2015,4,IF($B12=2016,5,IF($B12=2017,6,IF($B12=2018,7,IF($B12=2019,8,IF($B12=2020,9,0))))))),FALSE)</f>
        <v>0.6218287156698552</v>
      </c>
      <c r="H12" s="546">
        <f>VLOOKUP($A12,EFSOXS!$A$1:$J$44,(IF($B12=2015,4,IF($B12=2016,5,IF($B12=2017,6,IF($B12=2018,7,IF($B12=2019,8,IF($B12=2020,9,0))))))),FALSE)</f>
        <v>1.8739208211501423E-3</v>
      </c>
      <c r="I12" s="546">
        <f>VLOOKUP($A12,EFPMS!$A$1:$J$44,(IF($B12=2015,4,IF($B12=2016,5,IF($B12=2017,6,IF($B12=2018,7,IF($B12=2019,8,IF($B12=2020,9,0))))))),FALSE)</f>
        <v>2.1102200758240576E-2</v>
      </c>
      <c r="J12" s="536">
        <f t="shared" si="0"/>
        <v>1.8780958674834113E-2</v>
      </c>
      <c r="K12" s="549">
        <f>VLOOKUP($A12,EFCO2S!$A$1:$J$44,(IF($B12=2015,4,IF($B12=2016,5,IF($B12=2017,6,IF($B12=2018,7,IF($B12=2019,8,IF($B12=2020,9,0))))))),FALSE)</f>
        <v>166.54536773790227</v>
      </c>
      <c r="L12" s="546">
        <f>VLOOKUP($A12,EFCH4S!$A$1:$J$44,(IF($B12=2015,4,IF($B12=2016,5,IF($B12=2017,6,IF($B12=2018,7,IF($B12=2019,8,IF($B12=2020,9,0))))))),FALSE)</f>
        <v>1.0004303079381925E-2</v>
      </c>
      <c r="M12" s="540">
        <f t="shared" si="1"/>
        <v>5.9073727988636242E-2</v>
      </c>
      <c r="N12" s="135">
        <v>1</v>
      </c>
      <c r="O12" s="135">
        <v>8</v>
      </c>
      <c r="P12" s="109">
        <v>22</v>
      </c>
      <c r="Q12" s="39">
        <f t="shared" si="11"/>
        <v>0.7537152486789116</v>
      </c>
      <c r="R12" s="29">
        <f t="shared" si="11"/>
        <v>3.0023604025039115</v>
      </c>
      <c r="S12" s="29">
        <f t="shared" si="11"/>
        <v>4.9746297253588416</v>
      </c>
      <c r="T12" s="29">
        <f t="shared" si="11"/>
        <v>1.4991366569201138E-2</v>
      </c>
      <c r="U12" s="29">
        <f t="shared" si="11"/>
        <v>0.16881760606592461</v>
      </c>
      <c r="V12" s="29">
        <f t="shared" si="11"/>
        <v>0.1502476693986729</v>
      </c>
      <c r="W12" s="29">
        <f t="shared" si="11"/>
        <v>1332.3629419032181</v>
      </c>
      <c r="X12" s="29">
        <f t="shared" si="11"/>
        <v>8.0034424635055404E-2</v>
      </c>
      <c r="Y12" s="29">
        <f t="shared" si="11"/>
        <v>0.47258982390908993</v>
      </c>
    </row>
    <row r="13" spans="1:25" s="3" customFormat="1" x14ac:dyDescent="0.25">
      <c r="A13" s="19" t="s">
        <v>38</v>
      </c>
      <c r="B13" s="34"/>
      <c r="C13" s="25"/>
      <c r="D13" s="134"/>
      <c r="E13" s="26"/>
      <c r="F13" s="26"/>
      <c r="G13" s="26"/>
      <c r="H13" s="26"/>
      <c r="I13" s="26"/>
      <c r="J13" s="27"/>
      <c r="K13" s="28"/>
      <c r="L13" s="26"/>
      <c r="M13" s="38"/>
      <c r="N13" s="135"/>
      <c r="O13" s="135"/>
      <c r="P13" s="136"/>
      <c r="Q13" s="138">
        <f t="shared" ref="Q13:Y13" si="12">SUM(Q8:Q12)</f>
        <v>2.7126950741009899</v>
      </c>
      <c r="R13" s="138">
        <f t="shared" si="12"/>
        <v>10.847731228795187</v>
      </c>
      <c r="S13" s="138">
        <f t="shared" si="12"/>
        <v>19.132642119379703</v>
      </c>
      <c r="T13" s="138">
        <f t="shared" si="12"/>
        <v>5.3837760107280912E-2</v>
      </c>
      <c r="U13" s="138">
        <f t="shared" si="12"/>
        <v>0.65672701711806702</v>
      </c>
      <c r="V13" s="138">
        <f t="shared" si="12"/>
        <v>0.58448704523507966</v>
      </c>
      <c r="W13" s="138">
        <f t="shared" si="12"/>
        <v>4904.2034869956587</v>
      </c>
      <c r="X13" s="138">
        <f t="shared" si="12"/>
        <v>0.28883357520487329</v>
      </c>
      <c r="Y13" s="138">
        <f t="shared" si="12"/>
        <v>1.8176010013410717</v>
      </c>
    </row>
    <row r="14" spans="1:25" s="3" customFormat="1" x14ac:dyDescent="0.25">
      <c r="A14" s="27"/>
      <c r="B14" s="34"/>
      <c r="C14" s="25"/>
      <c r="D14" s="134"/>
      <c r="E14" s="26"/>
      <c r="F14" s="26"/>
      <c r="G14" s="26"/>
      <c r="H14" s="26"/>
      <c r="I14" s="26"/>
      <c r="J14" s="27"/>
      <c r="K14" s="28"/>
      <c r="L14" s="26"/>
      <c r="M14" s="38"/>
      <c r="N14" s="135"/>
      <c r="O14" s="135"/>
      <c r="P14" s="136"/>
      <c r="Q14" s="39"/>
      <c r="R14" s="29"/>
      <c r="S14" s="29"/>
      <c r="T14" s="29"/>
      <c r="U14" s="29"/>
      <c r="V14" s="29"/>
      <c r="W14" s="29"/>
      <c r="X14" s="29"/>
      <c r="Y14" s="29"/>
    </row>
    <row r="15" spans="1:25" s="3" customFormat="1" x14ac:dyDescent="0.25">
      <c r="A15" s="19" t="s">
        <v>273</v>
      </c>
      <c r="B15" s="34">
        <v>2017</v>
      </c>
      <c r="C15" s="25"/>
      <c r="D15" s="134"/>
      <c r="E15" s="26"/>
      <c r="F15" s="26"/>
      <c r="G15" s="26"/>
      <c r="H15" s="26"/>
      <c r="I15" s="26"/>
      <c r="J15" s="27"/>
      <c r="K15" s="28"/>
      <c r="L15" s="26"/>
      <c r="M15" s="38"/>
      <c r="N15" s="135"/>
      <c r="O15" s="135"/>
      <c r="P15" s="136"/>
      <c r="Q15" s="39"/>
      <c r="R15" s="29"/>
      <c r="S15" s="29"/>
      <c r="T15" s="29"/>
      <c r="U15" s="29"/>
      <c r="V15" s="29"/>
      <c r="W15" s="29"/>
      <c r="X15" s="29"/>
      <c r="Y15" s="29"/>
    </row>
    <row r="16" spans="1:25" s="3" customFormat="1" x14ac:dyDescent="0.25">
      <c r="A16" s="37" t="s">
        <v>61</v>
      </c>
      <c r="B16" s="34">
        <v>2017</v>
      </c>
      <c r="C16" s="25">
        <v>235</v>
      </c>
      <c r="D16" s="134">
        <v>0.38</v>
      </c>
      <c r="E16" s="546">
        <f>VLOOKUP($A16,EFROGS!$A$1:$J$44,(IF($B16=2015,4,IF($B16=2016,5,IF($B16=2017,6,IF($B16=2018,7,IF($B16=2019,8,IF($B16=2020,9,0))))))),FALSE)</f>
        <v>9.421440608486395E-2</v>
      </c>
      <c r="F16" s="546">
        <f>VLOOKUP($A16,EFCOS!$A$1:$J$44,(IF($B16=2015,4,IF($B16=2016,5,IF($B16=2017,6,IF($B16=2018,7,IF($B16=2019,8,IF($B16=2020,9,0))))))),FALSE)</f>
        <v>0.37529505031298893</v>
      </c>
      <c r="G16" s="546">
        <f>VLOOKUP($A16,EFNOXS!$A$1:$J$44,(IF($B16=2015,4,IF($B16=2016,5,IF($B16=2017,6,IF($B16=2018,7,IF($B16=2019,8,IF($B16=2020,9,0))))))),FALSE)</f>
        <v>0.6218287156698552</v>
      </c>
      <c r="H16" s="546">
        <f>VLOOKUP($A16,EFSOXS!$A$1:$J$44,(IF($B16=2015,4,IF($B16=2016,5,IF($B16=2017,6,IF($B16=2018,7,IF($B16=2019,8,IF($B16=2020,9,0))))))),FALSE)</f>
        <v>1.8739208211501423E-3</v>
      </c>
      <c r="I16" s="546">
        <f>VLOOKUP($A16,EFPMS!$A$1:$J$44,(IF($B16=2015,4,IF($B16=2016,5,IF($B16=2017,6,IF($B16=2018,7,IF($B16=2019,8,IF($B16=2020,9,0))))))),FALSE)</f>
        <v>2.1102200758240576E-2</v>
      </c>
      <c r="J16" s="536">
        <f t="shared" ref="J16:J21" si="13">0.89*I16</f>
        <v>1.8780958674834113E-2</v>
      </c>
      <c r="K16" s="549">
        <f>VLOOKUP($A16,EFCO2S!$A$1:$J$44,(IF($B16=2015,4,IF($B16=2016,5,IF($B16=2017,6,IF($B16=2018,7,IF($B16=2019,8,IF($B16=2020,9,0))))))),FALSE)</f>
        <v>166.54536773790227</v>
      </c>
      <c r="L16" s="546">
        <f>VLOOKUP($A16,EFCH4S!$A$1:$J$44,(IF($B16=2015,4,IF($B16=2016,5,IF($B16=2017,6,IF($B16=2018,7,IF($B16=2019,8,IF($B16=2020,9,0))))))),FALSE)</f>
        <v>1.0004303079381925E-2</v>
      </c>
      <c r="M16" s="540">
        <f t="shared" ref="M16:M21" si="14">0.095*G16</f>
        <v>5.9073727988636242E-2</v>
      </c>
      <c r="N16" s="108">
        <v>2</v>
      </c>
      <c r="O16" s="108">
        <v>4</v>
      </c>
      <c r="P16" s="109">
        <f>3*22</f>
        <v>66</v>
      </c>
      <c r="Q16" s="39">
        <f t="shared" ref="Q16:Y21" si="15">(E16*$N16*$O16)</f>
        <v>0.7537152486789116</v>
      </c>
      <c r="R16" s="29">
        <f t="shared" si="15"/>
        <v>3.0023604025039115</v>
      </c>
      <c r="S16" s="29">
        <f t="shared" si="15"/>
        <v>4.9746297253588416</v>
      </c>
      <c r="T16" s="29">
        <f t="shared" si="15"/>
        <v>1.4991366569201138E-2</v>
      </c>
      <c r="U16" s="29">
        <f t="shared" si="15"/>
        <v>0.16881760606592461</v>
      </c>
      <c r="V16" s="29">
        <f t="shared" si="15"/>
        <v>0.1502476693986729</v>
      </c>
      <c r="W16" s="29">
        <f t="shared" si="15"/>
        <v>1332.3629419032181</v>
      </c>
      <c r="X16" s="29">
        <f t="shared" si="15"/>
        <v>8.0034424635055404E-2</v>
      </c>
      <c r="Y16" s="29">
        <f t="shared" si="15"/>
        <v>0.47258982390908993</v>
      </c>
    </row>
    <row r="17" spans="1:25" s="3" customFormat="1" x14ac:dyDescent="0.25">
      <c r="A17" s="27" t="s">
        <v>202</v>
      </c>
      <c r="B17" s="34">
        <v>2017</v>
      </c>
      <c r="C17" s="25">
        <v>399</v>
      </c>
      <c r="D17" s="134">
        <v>0.28999999999999998</v>
      </c>
      <c r="E17" s="546">
        <f>VLOOKUP($A17,EFROGS!$A$1:$J$44,(IF($B17=2015,4,IF($B17=2016,5,IF($B17=2017,6,IF($B17=2018,7,IF($B17=2019,8,IF($B17=2020,9,0))))))),FALSE)</f>
        <v>0.10810494153261915</v>
      </c>
      <c r="F17" s="546">
        <f>VLOOKUP($A17,EFCOS!$A$1:$J$44,(IF($B17=2015,4,IF($B17=2016,5,IF($B17=2017,6,IF($B17=2018,7,IF($B17=2019,8,IF($B17=2020,9,0))))))),FALSE)</f>
        <v>0.45165133700519433</v>
      </c>
      <c r="G17" s="546">
        <f>VLOOKUP($A17,EFNOXS!$A$1:$J$44,(IF($B17=2015,4,IF($B17=2016,5,IF($B17=2017,6,IF($B17=2018,7,IF($B17=2019,8,IF($B17=2020,9,0))))))),FALSE)</f>
        <v>0.7915966097530136</v>
      </c>
      <c r="H17" s="546">
        <f>VLOOKUP($A17,EFSOXS!$A$1:$J$44,(IF($B17=2015,4,IF($B17=2016,5,IF($B17=2017,6,IF($B17=2018,7,IF($B17=2019,8,IF($B17=2020,9,0))))))),FALSE)</f>
        <v>1.7677528907548289E-3</v>
      </c>
      <c r="I17" s="546">
        <f>VLOOKUP($A17,EFPMS!$A$1:$J$44,(IF($B17=2015,4,IF($B17=2016,5,IF($B17=2017,6,IF($B17=2018,7,IF($B17=2019,8,IF($B17=2020,9,0))))))),FALSE)</f>
        <v>2.8846164608865917E-2</v>
      </c>
      <c r="J17" s="536">
        <f t="shared" si="13"/>
        <v>2.5673086501890666E-2</v>
      </c>
      <c r="K17" s="549">
        <f>VLOOKUP($A17,EFCO2S!$A$1:$J$44,(IF($B17=2015,4,IF($B17=2016,5,IF($B17=2017,6,IF($B17=2018,7,IF($B17=2019,8,IF($B17=2020,9,0))))))),FALSE)</f>
        <v>180.101275871506</v>
      </c>
      <c r="L17" s="546">
        <f>VLOOKUP($A17,EFCH4S!$A$1:$J$44,(IF($B17=2015,4,IF($B17=2016,5,IF($B17=2017,6,IF($B17=2018,7,IF($B17=2019,8,IF($B17=2020,9,0))))))),FALSE)</f>
        <v>1.1387086879682689E-2</v>
      </c>
      <c r="M17" s="540">
        <f t="shared" si="14"/>
        <v>7.5201677926536287E-2</v>
      </c>
      <c r="N17" s="108">
        <v>1</v>
      </c>
      <c r="O17" s="108">
        <v>2</v>
      </c>
      <c r="P17" s="109">
        <f t="shared" ref="P17:P21" si="16">3*22</f>
        <v>66</v>
      </c>
      <c r="Q17" s="39">
        <f t="shared" si="15"/>
        <v>0.21620988306523831</v>
      </c>
      <c r="R17" s="29">
        <f t="shared" si="15"/>
        <v>0.90330267401038866</v>
      </c>
      <c r="S17" s="29">
        <f t="shared" si="15"/>
        <v>1.5831932195060272</v>
      </c>
      <c r="T17" s="29">
        <f t="shared" si="15"/>
        <v>3.5355057815096578E-3</v>
      </c>
      <c r="U17" s="29">
        <f t="shared" si="15"/>
        <v>5.7692329217731833E-2</v>
      </c>
      <c r="V17" s="29">
        <f t="shared" si="15"/>
        <v>5.1346173003781331E-2</v>
      </c>
      <c r="W17" s="29">
        <f t="shared" si="15"/>
        <v>360.20255174301201</v>
      </c>
      <c r="X17" s="29">
        <f t="shared" si="15"/>
        <v>2.2774173759365378E-2</v>
      </c>
      <c r="Y17" s="29">
        <f t="shared" si="15"/>
        <v>0.15040335585307257</v>
      </c>
    </row>
    <row r="18" spans="1:25" s="3" customFormat="1" x14ac:dyDescent="0.25">
      <c r="A18" s="27" t="s">
        <v>201</v>
      </c>
      <c r="B18" s="34">
        <v>2017</v>
      </c>
      <c r="C18" s="25">
        <v>300</v>
      </c>
      <c r="D18" s="134">
        <v>0.38</v>
      </c>
      <c r="E18" s="546">
        <f>VLOOKUP($A18,EFROGS!$A$1:$J$44,(IF($B18=2015,4,IF($B18=2016,5,IF($B18=2017,6,IF($B18=2018,7,IF($B18=2019,8,IF($B18=2020,9,0))))))),FALSE)</f>
        <v>0.12026232442156529</v>
      </c>
      <c r="F18" s="546">
        <f>VLOOKUP($A18,EFCOS!$A$1:$J$44,(IF($B18=2015,4,IF($B18=2016,5,IF($B18=2017,6,IF($B18=2018,7,IF($B18=2019,8,IF($B18=2020,9,0))))))),FALSE)</f>
        <v>0.491521125488383</v>
      </c>
      <c r="G18" s="546">
        <f>VLOOKUP($A18,EFNOXS!$A$1:$J$44,(IF($B18=2015,4,IF($B18=2016,5,IF($B18=2017,6,IF($B18=2018,7,IF($B18=2019,8,IF($B18=2020,9,0))))))),FALSE)</f>
        <v>0.73411802534607107</v>
      </c>
      <c r="H18" s="546">
        <f>VLOOKUP($A18,EFSOXS!$A$1:$J$44,(IF($B18=2015,4,IF($B18=2016,5,IF($B18=2017,6,IF($B18=2018,7,IF($B18=2019,8,IF($B18=2020,9,0))))))),FALSE)</f>
        <v>2.2941882966723329E-3</v>
      </c>
      <c r="I18" s="546">
        <f>VLOOKUP($A18,EFPMS!$A$1:$J$44,(IF($B18=2015,4,IF($B18=2016,5,IF($B18=2017,6,IF($B18=2018,7,IF($B18=2019,8,IF($B18=2020,9,0))))))),FALSE)</f>
        <v>2.6581291294641821E-2</v>
      </c>
      <c r="J18" s="536">
        <f t="shared" si="13"/>
        <v>2.365734925223122E-2</v>
      </c>
      <c r="K18" s="549">
        <f>VLOOKUP($A18,EFCO2S!$A$1:$J$44,(IF($B18=2015,4,IF($B18=2016,5,IF($B18=2017,6,IF($B18=2018,7,IF($B18=2019,8,IF($B18=2020,9,0))))))),FALSE)</f>
        <v>233.73535169013226</v>
      </c>
      <c r="L18" s="546">
        <f>VLOOKUP($A18,EFCH4S!$A$1:$J$44,(IF($B18=2015,4,IF($B18=2016,5,IF($B18=2017,6,IF($B18=2018,7,IF($B18=2019,8,IF($B18=2020,9,0))))))),FALSE)</f>
        <v>1.2770166630775929E-2</v>
      </c>
      <c r="M18" s="540">
        <f t="shared" si="14"/>
        <v>6.9741212407876757E-2</v>
      </c>
      <c r="N18" s="135">
        <v>2</v>
      </c>
      <c r="O18" s="135">
        <v>8</v>
      </c>
      <c r="P18" s="109">
        <f t="shared" si="16"/>
        <v>66</v>
      </c>
      <c r="Q18" s="39">
        <f t="shared" si="15"/>
        <v>1.9241971907450446</v>
      </c>
      <c r="R18" s="29">
        <f t="shared" si="15"/>
        <v>7.8643380078141281</v>
      </c>
      <c r="S18" s="29">
        <f t="shared" si="15"/>
        <v>11.745888405537137</v>
      </c>
      <c r="T18" s="29">
        <f t="shared" si="15"/>
        <v>3.6707012746757327E-2</v>
      </c>
      <c r="U18" s="29">
        <f t="shared" si="15"/>
        <v>0.42530066071426914</v>
      </c>
      <c r="V18" s="29">
        <f t="shared" si="15"/>
        <v>0.37851758803569951</v>
      </c>
      <c r="W18" s="29">
        <f t="shared" si="15"/>
        <v>3739.7656270421162</v>
      </c>
      <c r="X18" s="29">
        <f t="shared" si="15"/>
        <v>0.20432266609241487</v>
      </c>
      <c r="Y18" s="29">
        <f t="shared" si="15"/>
        <v>1.1158593985260281</v>
      </c>
    </row>
    <row r="19" spans="1:25" s="3" customFormat="1" x14ac:dyDescent="0.25">
      <c r="A19" s="37" t="s">
        <v>62</v>
      </c>
      <c r="B19" s="34">
        <v>2017</v>
      </c>
      <c r="C19" s="25">
        <v>85</v>
      </c>
      <c r="D19" s="134">
        <v>0.38</v>
      </c>
      <c r="E19" s="546">
        <f>VLOOKUP($A19,EFROGS!$A$1:$J$44,(IF($B19=2015,4,IF($B19=2016,5,IF($B19=2017,6,IF($B19=2018,7,IF($B19=2019,8,IF($B19=2020,9,0))))))),FALSE)</f>
        <v>5.901623608284385E-2</v>
      </c>
      <c r="F19" s="546">
        <f>VLOOKUP($A19,EFCOS!$A$1:$J$44,(IF($B19=2015,4,IF($B19=2016,5,IF($B19=2017,6,IF($B19=2018,7,IF($B19=2019,8,IF($B19=2020,9,0))))))),FALSE)</f>
        <v>0.37296505549448378</v>
      </c>
      <c r="G19" s="546">
        <f>VLOOKUP($A19,EFNOXS!$A$1:$J$44,(IF($B19=2015,4,IF($B19=2016,5,IF($B19=2017,6,IF($B19=2018,7,IF($B19=2019,8,IF($B19=2020,9,0))))))),FALSE)</f>
        <v>0.36080865524220801</v>
      </c>
      <c r="H19" s="546">
        <f>VLOOKUP($A19,EFSOXS!$A$1:$J$44,(IF($B19=2015,4,IF($B19=2016,5,IF($B19=2017,6,IF($B19=2018,7,IF($B19=2019,8,IF($B19=2020,9,0))))))),FALSE)</f>
        <v>6.9108569734204601E-4</v>
      </c>
      <c r="I19" s="546">
        <f>VLOOKUP($A19,EFPMS!$A$1:$J$44,(IF($B19=2015,4,IF($B19=2016,5,IF($B19=2017,6,IF($B19=2018,7,IF($B19=2019,8,IF($B19=2020,9,0))))))),FALSE)</f>
        <v>2.7850368199284443E-2</v>
      </c>
      <c r="J19" s="536">
        <f t="shared" si="13"/>
        <v>2.4786827697363154E-2</v>
      </c>
      <c r="K19" s="549">
        <f>VLOOKUP($A19,EFCO2S!$A$1:$J$44,(IF($B19=2015,4,IF($B19=2016,5,IF($B19=2017,6,IF($B19=2018,7,IF($B19=2019,8,IF($B19=2020,9,0))))))),FALSE)</f>
        <v>58.91351479134542</v>
      </c>
      <c r="L19" s="546">
        <f>VLOOKUP($A19,EFCH4S!$A$1:$J$44,(IF($B19=2015,4,IF($B19=2016,5,IF($B19=2017,6,IF($B19=2018,7,IF($B19=2019,8,IF($B19=2020,9,0))))))),FALSE)</f>
        <v>6.4431355607304829E-3</v>
      </c>
      <c r="M19" s="540">
        <f t="shared" si="14"/>
        <v>3.4276822248009764E-2</v>
      </c>
      <c r="N19" s="108">
        <v>2</v>
      </c>
      <c r="O19" s="108">
        <v>8</v>
      </c>
      <c r="P19" s="109">
        <f t="shared" si="16"/>
        <v>66</v>
      </c>
      <c r="Q19" s="39">
        <f t="shared" si="15"/>
        <v>0.94425977732550159</v>
      </c>
      <c r="R19" s="29">
        <f t="shared" si="15"/>
        <v>5.9674408879117404</v>
      </c>
      <c r="S19" s="29">
        <f t="shared" si="15"/>
        <v>5.7729384838753282</v>
      </c>
      <c r="T19" s="29">
        <f t="shared" si="15"/>
        <v>1.1057371157472736E-2</v>
      </c>
      <c r="U19" s="29">
        <f t="shared" si="15"/>
        <v>0.4456058911885511</v>
      </c>
      <c r="V19" s="29">
        <f t="shared" si="15"/>
        <v>0.39658924315781047</v>
      </c>
      <c r="W19" s="29">
        <f t="shared" si="15"/>
        <v>942.61623666152673</v>
      </c>
      <c r="X19" s="29">
        <f t="shared" si="15"/>
        <v>0.10309016897168773</v>
      </c>
      <c r="Y19" s="29">
        <f t="shared" si="15"/>
        <v>0.54842915596815622</v>
      </c>
    </row>
    <row r="20" spans="1:25" s="3" customFormat="1" x14ac:dyDescent="0.25">
      <c r="A20" s="37" t="s">
        <v>157</v>
      </c>
      <c r="B20" s="34">
        <v>2017</v>
      </c>
      <c r="C20" s="25">
        <v>235</v>
      </c>
      <c r="D20" s="134">
        <v>0.38</v>
      </c>
      <c r="E20" s="546">
        <f>VLOOKUP($A20,EFROGS!$A$1:$J$44,(IF($B20=2015,4,IF($B20=2016,5,IF($B20=2017,6,IF($B20=2018,7,IF($B20=2019,8,IF($B20=2020,9,0))))))),FALSE)</f>
        <v>9.421440608486395E-2</v>
      </c>
      <c r="F20" s="546">
        <f>VLOOKUP($A20,EFCOS!$A$1:$J$44,(IF($B20=2015,4,IF($B20=2016,5,IF($B20=2017,6,IF($B20=2018,7,IF($B20=2019,8,IF($B20=2020,9,0))))))),FALSE)</f>
        <v>0.37529505031298893</v>
      </c>
      <c r="G20" s="546">
        <f>VLOOKUP($A20,EFNOXS!$A$1:$J$44,(IF($B20=2015,4,IF($B20=2016,5,IF($B20=2017,6,IF($B20=2018,7,IF($B20=2019,8,IF($B20=2020,9,0))))))),FALSE)</f>
        <v>0.6218287156698552</v>
      </c>
      <c r="H20" s="546">
        <f>VLOOKUP($A20,EFSOXS!$A$1:$J$44,(IF($B20=2015,4,IF($B20=2016,5,IF($B20=2017,6,IF($B20=2018,7,IF($B20=2019,8,IF($B20=2020,9,0))))))),FALSE)</f>
        <v>1.8739208211501423E-3</v>
      </c>
      <c r="I20" s="546">
        <f>VLOOKUP($A20,EFPMS!$A$1:$J$44,(IF($B20=2015,4,IF($B20=2016,5,IF($B20=2017,6,IF($B20=2018,7,IF($B20=2019,8,IF($B20=2020,9,0))))))),FALSE)</f>
        <v>2.1102200758240576E-2</v>
      </c>
      <c r="J20" s="536">
        <f t="shared" si="13"/>
        <v>1.8780958674834113E-2</v>
      </c>
      <c r="K20" s="549">
        <f>VLOOKUP($A20,EFCO2S!$A$1:$J$44,(IF($B20=2015,4,IF($B20=2016,5,IF($B20=2017,6,IF($B20=2018,7,IF($B20=2019,8,IF($B20=2020,9,0))))))),FALSE)</f>
        <v>166.54536773790227</v>
      </c>
      <c r="L20" s="546">
        <f>VLOOKUP($A20,EFCH4S!$A$1:$J$44,(IF($B20=2015,4,IF($B20=2016,5,IF($B20=2017,6,IF($B20=2018,7,IF($B20=2019,8,IF($B20=2020,9,0))))))),FALSE)</f>
        <v>1.0004303079381925E-2</v>
      </c>
      <c r="M20" s="540">
        <f t="shared" si="14"/>
        <v>5.9073727988636242E-2</v>
      </c>
      <c r="N20" s="108">
        <v>2</v>
      </c>
      <c r="O20" s="108">
        <v>2</v>
      </c>
      <c r="P20" s="109">
        <f t="shared" si="16"/>
        <v>66</v>
      </c>
      <c r="Q20" s="39">
        <f t="shared" si="15"/>
        <v>0.3768576243394558</v>
      </c>
      <c r="R20" s="29">
        <f t="shared" si="15"/>
        <v>1.5011802012519557</v>
      </c>
      <c r="S20" s="29">
        <f t="shared" si="15"/>
        <v>2.4873148626794208</v>
      </c>
      <c r="T20" s="29">
        <f t="shared" si="15"/>
        <v>7.4956832846005692E-3</v>
      </c>
      <c r="U20" s="29">
        <f t="shared" si="15"/>
        <v>8.4408803032962304E-2</v>
      </c>
      <c r="V20" s="29">
        <f t="shared" si="15"/>
        <v>7.512383469933645E-2</v>
      </c>
      <c r="W20" s="29">
        <f t="shared" si="15"/>
        <v>666.18147095160907</v>
      </c>
      <c r="X20" s="29">
        <f t="shared" si="15"/>
        <v>4.0017212317527702E-2</v>
      </c>
      <c r="Y20" s="29">
        <f t="shared" si="15"/>
        <v>0.23629491195454497</v>
      </c>
    </row>
    <row r="21" spans="1:25" s="3" customFormat="1" x14ac:dyDescent="0.25">
      <c r="A21" s="27" t="s">
        <v>196</v>
      </c>
      <c r="B21" s="34">
        <v>2017</v>
      </c>
      <c r="C21" s="25">
        <v>250</v>
      </c>
      <c r="D21" s="134">
        <v>0.38</v>
      </c>
      <c r="E21" s="546">
        <f>VLOOKUP($A21,EFROGS!$A$1:$J$44,(IF($B21=2015,4,IF($B21=2016,5,IF($B21=2017,6,IF($B21=2018,7,IF($B21=2019,8,IF($B21=2020,9,0))))))),FALSE)</f>
        <v>8.4660598997014863E-2</v>
      </c>
      <c r="F21" s="546">
        <f>VLOOKUP($A21,EFCOS!$A$1:$J$44,(IF($B21=2015,4,IF($B21=2016,5,IF($B21=2017,6,IF($B21=2018,7,IF($B21=2019,8,IF($B21=2020,9,0))))))),FALSE)</f>
        <v>0.36219012553465224</v>
      </c>
      <c r="G21" s="546">
        <f>VLOOKUP($A21,EFNOXS!$A$1:$J$44,(IF($B21=2015,4,IF($B21=2016,5,IF($B21=2017,6,IF($B21=2018,7,IF($B21=2019,8,IF($B21=2020,9,0))))))),FALSE)</f>
        <v>0.73535107265427568</v>
      </c>
      <c r="H21" s="546">
        <f>VLOOKUP($A21,EFSOXS!$A$1:$J$44,(IF($B21=2015,4,IF($B21=2016,5,IF($B21=2017,6,IF($B21=2018,7,IF($B21=2019,8,IF($B21=2020,9,0))))))),FALSE)</f>
        <v>1.7225228533016813E-3</v>
      </c>
      <c r="I21" s="546">
        <f>VLOOKUP($A21,EFPMS!$A$1:$J$44,(IF($B21=2015,4,IF($B21=2016,5,IF($B21=2017,6,IF($B21=2018,7,IF($B21=2019,8,IF($B21=2020,9,0))))))),FALSE)</f>
        <v>2.47861712058868E-2</v>
      </c>
      <c r="J21" s="536">
        <f t="shared" si="13"/>
        <v>2.2059692373239251E-2</v>
      </c>
      <c r="K21" s="549">
        <f>VLOOKUP($A21,EFCO2S!$A$1:$J$44,(IF($B21=2015,4,IF($B21=2016,5,IF($B21=2017,6,IF($B21=2018,7,IF($B21=2019,8,IF($B21=2020,9,0))))))),FALSE)</f>
        <v>153.08978374428989</v>
      </c>
      <c r="L21" s="546">
        <f>VLOOKUP($A21,EFCH4S!$A$1:$J$44,(IF($B21=2015,4,IF($B21=2016,5,IF($B21=2017,6,IF($B21=2018,7,IF($B21=2019,8,IF($B21=2020,9,0))))))),FALSE)</f>
        <v>8.8870914540412384E-3</v>
      </c>
      <c r="M21" s="540">
        <f t="shared" si="14"/>
        <v>6.9858351902156196E-2</v>
      </c>
      <c r="N21" s="135">
        <v>1</v>
      </c>
      <c r="O21" s="135">
        <v>2</v>
      </c>
      <c r="P21" s="109">
        <f t="shared" si="16"/>
        <v>66</v>
      </c>
      <c r="Q21" s="39">
        <f t="shared" si="15"/>
        <v>0.16932119799402973</v>
      </c>
      <c r="R21" s="29">
        <f t="shared" si="15"/>
        <v>0.72438025106930448</v>
      </c>
      <c r="S21" s="29">
        <f t="shared" si="15"/>
        <v>1.4707021453085514</v>
      </c>
      <c r="T21" s="29">
        <f t="shared" si="15"/>
        <v>3.4450457066033625E-3</v>
      </c>
      <c r="U21" s="29">
        <f t="shared" si="15"/>
        <v>4.95723424117736E-2</v>
      </c>
      <c r="V21" s="29">
        <f t="shared" si="15"/>
        <v>4.4119384746478502E-2</v>
      </c>
      <c r="W21" s="29">
        <f t="shared" si="15"/>
        <v>306.17956748857978</v>
      </c>
      <c r="X21" s="29">
        <f t="shared" si="15"/>
        <v>1.7774182908082477E-2</v>
      </c>
      <c r="Y21" s="29">
        <f t="shared" si="15"/>
        <v>0.13971670380431239</v>
      </c>
    </row>
    <row r="22" spans="1:25" s="3" customFormat="1" x14ac:dyDescent="0.25">
      <c r="A22" s="19" t="s">
        <v>38</v>
      </c>
      <c r="B22" s="34"/>
      <c r="C22" s="25"/>
      <c r="D22" s="134"/>
      <c r="E22" s="26"/>
      <c r="F22" s="26"/>
      <c r="G22" s="26"/>
      <c r="H22" s="26"/>
      <c r="I22" s="26"/>
      <c r="J22" s="27"/>
      <c r="K22" s="28"/>
      <c r="L22" s="26"/>
      <c r="M22" s="38"/>
      <c r="N22" s="135"/>
      <c r="O22" s="135"/>
      <c r="P22" s="136"/>
      <c r="Q22" s="138">
        <f t="shared" ref="Q22:Y22" si="17">SUM(Q16:Q21)</f>
        <v>4.3845609221481823</v>
      </c>
      <c r="R22" s="138">
        <f t="shared" si="17"/>
        <v>19.963002424561431</v>
      </c>
      <c r="S22" s="138">
        <f t="shared" si="17"/>
        <v>28.034666842265302</v>
      </c>
      <c r="T22" s="138">
        <f t="shared" si="17"/>
        <v>7.7231985246144802E-2</v>
      </c>
      <c r="U22" s="138">
        <f t="shared" si="17"/>
        <v>1.2313976326312126</v>
      </c>
      <c r="V22" s="138">
        <f t="shared" si="17"/>
        <v>1.0959438930417791</v>
      </c>
      <c r="W22" s="138">
        <f t="shared" si="17"/>
        <v>7347.3083957900617</v>
      </c>
      <c r="X22" s="138">
        <f t="shared" si="17"/>
        <v>0.46801282868413352</v>
      </c>
      <c r="Y22" s="138">
        <f t="shared" si="17"/>
        <v>2.6632933500152043</v>
      </c>
    </row>
    <row r="23" spans="1:25" s="3" customFormat="1" x14ac:dyDescent="0.25">
      <c r="A23" s="27"/>
      <c r="B23" s="34"/>
      <c r="C23" s="25"/>
      <c r="D23" s="134"/>
      <c r="E23" s="26"/>
      <c r="F23" s="26"/>
      <c r="G23" s="26"/>
      <c r="H23" s="26"/>
      <c r="I23" s="26"/>
      <c r="J23" s="27"/>
      <c r="K23" s="28"/>
      <c r="L23" s="26"/>
      <c r="M23" s="38"/>
      <c r="N23" s="135"/>
      <c r="O23" s="135"/>
      <c r="P23" s="136"/>
      <c r="Q23" s="39"/>
      <c r="R23" s="29"/>
      <c r="S23" s="29"/>
      <c r="T23" s="29"/>
      <c r="U23" s="29"/>
      <c r="V23" s="29"/>
      <c r="W23" s="29"/>
      <c r="X23" s="29"/>
      <c r="Y23" s="29"/>
    </row>
    <row r="24" spans="1:25" s="3" customFormat="1" x14ac:dyDescent="0.25">
      <c r="A24" s="19" t="s">
        <v>274</v>
      </c>
      <c r="B24" s="34">
        <v>2017</v>
      </c>
      <c r="C24" s="25"/>
      <c r="D24" s="134"/>
      <c r="E24" s="26"/>
      <c r="F24" s="26"/>
      <c r="G24" s="26"/>
      <c r="H24" s="26"/>
      <c r="I24" s="26"/>
      <c r="J24" s="27"/>
      <c r="K24" s="28"/>
      <c r="L24" s="26"/>
      <c r="M24" s="38"/>
      <c r="N24" s="135"/>
      <c r="O24" s="135"/>
      <c r="P24" s="136"/>
      <c r="Q24" s="39"/>
      <c r="R24" s="29"/>
      <c r="S24" s="29"/>
      <c r="T24" s="29"/>
      <c r="U24" s="29"/>
      <c r="V24" s="29"/>
      <c r="W24" s="29"/>
      <c r="X24" s="29"/>
      <c r="Y24" s="29"/>
    </row>
    <row r="25" spans="1:25" s="3" customFormat="1" x14ac:dyDescent="0.25">
      <c r="A25" s="27" t="s">
        <v>205</v>
      </c>
      <c r="B25" s="34">
        <v>2017</v>
      </c>
      <c r="C25" s="25">
        <v>235</v>
      </c>
      <c r="D25" s="134">
        <v>0.38</v>
      </c>
      <c r="E25" s="546">
        <f>VLOOKUP($A25,EFROGS!$A$1:$J$44,(IF($B25=2015,4,IF($B25=2016,5,IF($B25=2017,6,IF($B25=2018,7,IF($B25=2019,8,IF($B25=2020,9,0))))))),FALSE)</f>
        <v>9.421440608486395E-2</v>
      </c>
      <c r="F25" s="546">
        <f>VLOOKUP($A25,EFCOS!$A$1:$J$44,(IF($B25=2015,4,IF($B25=2016,5,IF($B25=2017,6,IF($B25=2018,7,IF($B25=2019,8,IF($B25=2020,9,0))))))),FALSE)</f>
        <v>0.37529505031298893</v>
      </c>
      <c r="G25" s="546">
        <f>VLOOKUP($A25,EFNOXS!$A$1:$J$44,(IF($B25=2015,4,IF($B25=2016,5,IF($B25=2017,6,IF($B25=2018,7,IF($B25=2019,8,IF($B25=2020,9,0))))))),FALSE)</f>
        <v>0.6218287156698552</v>
      </c>
      <c r="H25" s="546">
        <f>VLOOKUP($A25,EFSOXS!$A$1:$J$44,(IF($B25=2015,4,IF($B25=2016,5,IF($B25=2017,6,IF($B25=2018,7,IF($B25=2019,8,IF($B25=2020,9,0))))))),FALSE)</f>
        <v>1.8739208211501423E-3</v>
      </c>
      <c r="I25" s="546">
        <f>VLOOKUP($A25,EFPMS!$A$1:$J$44,(IF($B25=2015,4,IF($B25=2016,5,IF($B25=2017,6,IF($B25=2018,7,IF($B25=2019,8,IF($B25=2020,9,0))))))),FALSE)</f>
        <v>2.1102200758240576E-2</v>
      </c>
      <c r="J25" s="536">
        <f t="shared" ref="J25:J28" si="18">0.89*I25</f>
        <v>1.8780958674834113E-2</v>
      </c>
      <c r="K25" s="549">
        <f>VLOOKUP($A25,EFCO2S!$A$1:$J$44,(IF($B25=2015,4,IF($B25=2016,5,IF($B25=2017,6,IF($B25=2018,7,IF($B25=2019,8,IF($B25=2020,9,0))))))),FALSE)</f>
        <v>166.54536773790227</v>
      </c>
      <c r="L25" s="546">
        <f>VLOOKUP($A25,EFCH4S!$A$1:$J$44,(IF($B25=2015,4,IF($B25=2016,5,IF($B25=2017,6,IF($B25=2018,7,IF($B25=2019,8,IF($B25=2020,9,0))))))),FALSE)</f>
        <v>1.0004303079381925E-2</v>
      </c>
      <c r="M25" s="540">
        <f t="shared" ref="M25:M28" si="19">0.095*G25</f>
        <v>5.9073727988636242E-2</v>
      </c>
      <c r="N25" s="135">
        <v>1</v>
      </c>
      <c r="O25" s="135">
        <v>4</v>
      </c>
      <c r="P25" s="109">
        <f>0.5*22</f>
        <v>11</v>
      </c>
      <c r="Q25" s="39">
        <f t="shared" ref="Q25:Y28" si="20">(E25*$N25*$O25)</f>
        <v>0.3768576243394558</v>
      </c>
      <c r="R25" s="29">
        <f t="shared" si="20"/>
        <v>1.5011802012519557</v>
      </c>
      <c r="S25" s="29">
        <f t="shared" si="20"/>
        <v>2.4873148626794208</v>
      </c>
      <c r="T25" s="29">
        <f t="shared" si="20"/>
        <v>7.4956832846005692E-3</v>
      </c>
      <c r="U25" s="29">
        <f t="shared" si="20"/>
        <v>8.4408803032962304E-2</v>
      </c>
      <c r="V25" s="29">
        <f t="shared" si="20"/>
        <v>7.512383469933645E-2</v>
      </c>
      <c r="W25" s="29">
        <f t="shared" si="20"/>
        <v>666.18147095160907</v>
      </c>
      <c r="X25" s="29">
        <f t="shared" si="20"/>
        <v>4.0017212317527702E-2</v>
      </c>
      <c r="Y25" s="29">
        <f t="shared" si="20"/>
        <v>0.23629491195454497</v>
      </c>
    </row>
    <row r="26" spans="1:25" s="3" customFormat="1" x14ac:dyDescent="0.25">
      <c r="A26" s="27" t="s">
        <v>202</v>
      </c>
      <c r="B26" s="34">
        <v>2017</v>
      </c>
      <c r="C26" s="25">
        <v>399</v>
      </c>
      <c r="D26" s="134">
        <v>0.28999999999999998</v>
      </c>
      <c r="E26" s="546">
        <f>VLOOKUP($A26,EFROGS!$A$1:$J$44,(IF($B26=2015,4,IF($B26=2016,5,IF($B26=2017,6,IF($B26=2018,7,IF($B26=2019,8,IF($B26=2020,9,0))))))),FALSE)</f>
        <v>0.10810494153261915</v>
      </c>
      <c r="F26" s="546">
        <f>VLOOKUP($A26,EFCOS!$A$1:$J$44,(IF($B26=2015,4,IF($B26=2016,5,IF($B26=2017,6,IF($B26=2018,7,IF($B26=2019,8,IF($B26=2020,9,0))))))),FALSE)</f>
        <v>0.45165133700519433</v>
      </c>
      <c r="G26" s="546">
        <f>VLOOKUP($A26,EFNOXS!$A$1:$J$44,(IF($B26=2015,4,IF($B26=2016,5,IF($B26=2017,6,IF($B26=2018,7,IF($B26=2019,8,IF($B26=2020,9,0))))))),FALSE)</f>
        <v>0.7915966097530136</v>
      </c>
      <c r="H26" s="546">
        <f>VLOOKUP($A26,EFSOXS!$A$1:$J$44,(IF($B26=2015,4,IF($B26=2016,5,IF($B26=2017,6,IF($B26=2018,7,IF($B26=2019,8,IF($B26=2020,9,0))))))),FALSE)</f>
        <v>1.7677528907548289E-3</v>
      </c>
      <c r="I26" s="546">
        <f>VLOOKUP($A26,EFPMS!$A$1:$J$44,(IF($B26=2015,4,IF($B26=2016,5,IF($B26=2017,6,IF($B26=2018,7,IF($B26=2019,8,IF($B26=2020,9,0))))))),FALSE)</f>
        <v>2.8846164608865917E-2</v>
      </c>
      <c r="J26" s="536">
        <f t="shared" si="18"/>
        <v>2.5673086501890666E-2</v>
      </c>
      <c r="K26" s="549">
        <f>VLOOKUP($A26,EFCO2S!$A$1:$J$44,(IF($B26=2015,4,IF($B26=2016,5,IF($B26=2017,6,IF($B26=2018,7,IF($B26=2019,8,IF($B26=2020,9,0))))))),FALSE)</f>
        <v>180.101275871506</v>
      </c>
      <c r="L26" s="546">
        <f>VLOOKUP($A26,EFCH4S!$A$1:$J$44,(IF($B26=2015,4,IF($B26=2016,5,IF($B26=2017,6,IF($B26=2018,7,IF($B26=2019,8,IF($B26=2020,9,0))))))),FALSE)</f>
        <v>1.1387086879682689E-2</v>
      </c>
      <c r="M26" s="540">
        <f t="shared" si="19"/>
        <v>7.5201677926536287E-2</v>
      </c>
      <c r="N26" s="108">
        <v>2</v>
      </c>
      <c r="O26" s="108">
        <v>8</v>
      </c>
      <c r="P26" s="109">
        <f t="shared" ref="P26:P28" si="21">0.5*22</f>
        <v>11</v>
      </c>
      <c r="Q26" s="39">
        <f t="shared" si="20"/>
        <v>1.7296790645219065</v>
      </c>
      <c r="R26" s="29">
        <f t="shared" si="20"/>
        <v>7.2264213920831093</v>
      </c>
      <c r="S26" s="29">
        <f t="shared" si="20"/>
        <v>12.665545756048218</v>
      </c>
      <c r="T26" s="29">
        <f t="shared" si="20"/>
        <v>2.8284046252077262E-2</v>
      </c>
      <c r="U26" s="29">
        <f t="shared" si="20"/>
        <v>0.46153863374185466</v>
      </c>
      <c r="V26" s="29">
        <f t="shared" si="20"/>
        <v>0.41076938403025065</v>
      </c>
      <c r="W26" s="29">
        <f t="shared" si="20"/>
        <v>2881.6204139440961</v>
      </c>
      <c r="X26" s="29">
        <f t="shared" si="20"/>
        <v>0.18219339007492302</v>
      </c>
      <c r="Y26" s="29">
        <f t="shared" si="20"/>
        <v>1.2032268468245806</v>
      </c>
    </row>
    <row r="27" spans="1:25" s="3" customFormat="1" x14ac:dyDescent="0.25">
      <c r="A27" s="27" t="s">
        <v>163</v>
      </c>
      <c r="B27" s="34">
        <v>2017</v>
      </c>
      <c r="C27" s="25">
        <v>75</v>
      </c>
      <c r="D27" s="134">
        <v>0.31</v>
      </c>
      <c r="E27" s="546">
        <f>VLOOKUP($A27,EFROGS!$A$1:$J$44,(IF($B27=2015,4,IF($B27=2016,5,IF($B27=2017,6,IF($B27=2018,7,IF($B27=2019,8,IF($B27=2020,9,0))))))),FALSE)</f>
        <v>3.0893954987389453E-2</v>
      </c>
      <c r="F27" s="546">
        <f>VLOOKUP($A27,EFCOS!$A$1:$J$44,(IF($B27=2015,4,IF($B27=2016,5,IF($B27=2017,6,IF($B27=2018,7,IF($B27=2019,8,IF($B27=2020,9,0))))))),FALSE)</f>
        <v>0.22482241351057566</v>
      </c>
      <c r="G27" s="546">
        <f>VLOOKUP($A27,EFNOXS!$A$1:$J$44,(IF($B27=2015,4,IF($B27=2016,5,IF($B27=2017,6,IF($B27=2018,7,IF($B27=2019,8,IF($B27=2020,9,0))))))),FALSE)</f>
        <v>0.22603586731633477</v>
      </c>
      <c r="H27" s="546">
        <f>VLOOKUP($A27,EFSOXS!$A$1:$J$44,(IF($B27=2015,4,IF($B27=2016,5,IF($B27=2017,6,IF($B27=2018,7,IF($B27=2019,8,IF($B27=2020,9,0))))))),FALSE)</f>
        <v>4.4660191069222039E-4</v>
      </c>
      <c r="I27" s="546">
        <f>VLOOKUP($A27,EFPMS!$A$1:$J$44,(IF($B27=2015,4,IF($B27=2016,5,IF($B27=2017,6,IF($B27=2018,7,IF($B27=2019,8,IF($B27=2020,9,0))))))),FALSE)</f>
        <v>1.5650220264446981E-2</v>
      </c>
      <c r="J27" s="536">
        <f t="shared" si="18"/>
        <v>1.3928696035357813E-2</v>
      </c>
      <c r="K27" s="549">
        <f>VLOOKUP($A27,EFCO2S!$A$1:$J$44,(IF($B27=2015,4,IF($B27=2016,5,IF($B27=2017,6,IF($B27=2018,7,IF($B27=2019,8,IF($B27=2020,9,0))))))),FALSE)</f>
        <v>38.071819829304054</v>
      </c>
      <c r="L27" s="546">
        <f>VLOOKUP($A27,EFCH4S!$A$1:$J$44,(IF($B27=2015,4,IF($B27=2016,5,IF($B27=2017,6,IF($B27=2018,7,IF($B27=2019,8,IF($B27=2020,9,0))))))),FALSE)</f>
        <v>3.3225215947608622E-3</v>
      </c>
      <c r="M27" s="540">
        <f t="shared" si="19"/>
        <v>2.1473407395051804E-2</v>
      </c>
      <c r="N27" s="108">
        <v>2</v>
      </c>
      <c r="O27" s="108">
        <v>8</v>
      </c>
      <c r="P27" s="109">
        <f t="shared" si="21"/>
        <v>11</v>
      </c>
      <c r="Q27" s="39">
        <f t="shared" si="20"/>
        <v>0.49430327979823124</v>
      </c>
      <c r="R27" s="29">
        <f t="shared" si="20"/>
        <v>3.5971586161692106</v>
      </c>
      <c r="S27" s="29">
        <f t="shared" si="20"/>
        <v>3.6165738770613562</v>
      </c>
      <c r="T27" s="29">
        <f t="shared" si="20"/>
        <v>7.1456305710755263E-3</v>
      </c>
      <c r="U27" s="29">
        <f t="shared" si="20"/>
        <v>0.2504035242311517</v>
      </c>
      <c r="V27" s="29">
        <f t="shared" si="20"/>
        <v>0.22285913656572501</v>
      </c>
      <c r="W27" s="29">
        <f t="shared" si="20"/>
        <v>609.14911726886487</v>
      </c>
      <c r="X27" s="29">
        <f t="shared" si="20"/>
        <v>5.3160345516173796E-2</v>
      </c>
      <c r="Y27" s="29">
        <f t="shared" si="20"/>
        <v>0.34357451832082886</v>
      </c>
    </row>
    <row r="28" spans="1:25" s="3" customFormat="1" x14ac:dyDescent="0.25">
      <c r="A28" s="27" t="s">
        <v>192</v>
      </c>
      <c r="B28" s="34">
        <v>2017</v>
      </c>
      <c r="C28" s="25">
        <v>45</v>
      </c>
      <c r="D28" s="134">
        <v>1</v>
      </c>
      <c r="E28" s="546">
        <f>VLOOKUP($A28,EFROGS!$A$1:$J$44,(IF($B28=2015,4,IF($B28=2016,5,IF($B28=2017,6,IF($B28=2018,7,IF($B28=2019,8,IF($B28=2020,9,0))))))),FALSE)</f>
        <v>4.7254984778210878E-2</v>
      </c>
      <c r="F28" s="546">
        <f>VLOOKUP($A28,EFCOS!$A$1:$J$44,(IF($B28=2015,4,IF($B28=2016,5,IF($B28=2017,6,IF($B28=2018,7,IF($B28=2019,8,IF($B28=2020,9,0))))))),FALSE)</f>
        <v>0.25807532276457046</v>
      </c>
      <c r="G28" s="546">
        <f>VLOOKUP($A28,EFNOXS!$A$1:$J$44,(IF($B28=2015,4,IF($B28=2016,5,IF($B28=2017,6,IF($B28=2018,7,IF($B28=2019,8,IF($B28=2020,9,0))))))),FALSE)</f>
        <v>0.22252555428648887</v>
      </c>
      <c r="H28" s="546">
        <f>VLOOKUP($A28,EFSOXS!$A$1:$J$44,(IF($B28=2015,4,IF($B28=2016,5,IF($B28=2017,6,IF($B28=2018,7,IF($B28=2019,8,IF($B28=2020,9,0))))))),FALSE)</f>
        <v>2.8791182684222128E-4</v>
      </c>
      <c r="I28" s="546">
        <f>VLOOKUP($A28,EFPMS!$A$1:$J$44,(IF($B28=2015,4,IF($B28=2016,5,IF($B28=2017,6,IF($B28=2018,7,IF($B28=2019,8,IF($B28=2020,9,0))))))),FALSE)</f>
        <v>1.2197200319964813E-2</v>
      </c>
      <c r="J28" s="536">
        <f t="shared" si="18"/>
        <v>1.0855508284768684E-2</v>
      </c>
      <c r="K28" s="549">
        <f>VLOOKUP($A28,EFCO2S!$A$1:$J$44,(IF($B28=2015,4,IF($B28=2016,5,IF($B28=2017,6,IF($B28=2018,7,IF($B28=2019,8,IF($B28=2020,9,0))))))),FALSE)</f>
        <v>22.271263489608529</v>
      </c>
      <c r="L28" s="546">
        <f>VLOOKUP($A28,EFCH4S!$A$1:$J$44,(IF($B28=2015,4,IF($B28=2016,5,IF($B28=2017,6,IF($B28=2018,7,IF($B28=2019,8,IF($B28=2020,9,0))))))),FALSE)</f>
        <v>5.3296756081269462E-3</v>
      </c>
      <c r="M28" s="540">
        <f t="shared" si="19"/>
        <v>2.1139927657216444E-2</v>
      </c>
      <c r="N28" s="135">
        <v>3</v>
      </c>
      <c r="O28" s="135">
        <v>8</v>
      </c>
      <c r="P28" s="109">
        <f t="shared" si="21"/>
        <v>11</v>
      </c>
      <c r="Q28" s="39">
        <f t="shared" si="20"/>
        <v>1.134119634677061</v>
      </c>
      <c r="R28" s="29">
        <f t="shared" si="20"/>
        <v>6.193807746349691</v>
      </c>
      <c r="S28" s="29">
        <f t="shared" si="20"/>
        <v>5.3406133028757328</v>
      </c>
      <c r="T28" s="29">
        <f t="shared" si="20"/>
        <v>6.9098838442133107E-3</v>
      </c>
      <c r="U28" s="29">
        <f t="shared" si="20"/>
        <v>0.29273280767915555</v>
      </c>
      <c r="V28" s="29">
        <f t="shared" si="20"/>
        <v>0.26053219883444845</v>
      </c>
      <c r="W28" s="29">
        <f t="shared" si="20"/>
        <v>534.5103237506047</v>
      </c>
      <c r="X28" s="29">
        <f t="shared" si="20"/>
        <v>0.1279122145950467</v>
      </c>
      <c r="Y28" s="29">
        <f t="shared" si="20"/>
        <v>0.5073582637731946</v>
      </c>
    </row>
    <row r="29" spans="1:25" s="3" customFormat="1" x14ac:dyDescent="0.25">
      <c r="A29" s="19" t="s">
        <v>38</v>
      </c>
      <c r="B29" s="34"/>
      <c r="C29" s="25"/>
      <c r="D29" s="134"/>
      <c r="E29" s="26"/>
      <c r="F29" s="26"/>
      <c r="G29" s="26"/>
      <c r="H29" s="26"/>
      <c r="I29" s="26"/>
      <c r="J29" s="27"/>
      <c r="K29" s="28"/>
      <c r="L29" s="26"/>
      <c r="M29" s="38"/>
      <c r="N29" s="135"/>
      <c r="O29" s="135"/>
      <c r="P29" s="136"/>
      <c r="Q29" s="138">
        <f>SUM(Q25:Q28)</f>
        <v>3.7349596033366543</v>
      </c>
      <c r="R29" s="138">
        <f t="shared" ref="R29:Y29" si="22">SUM(R25:R28)</f>
        <v>18.518567955853968</v>
      </c>
      <c r="S29" s="138">
        <f t="shared" si="22"/>
        <v>24.110047798664731</v>
      </c>
      <c r="T29" s="138">
        <f t="shared" si="22"/>
        <v>4.9835243951966667E-2</v>
      </c>
      <c r="U29" s="138">
        <f t="shared" si="22"/>
        <v>1.0890837686851242</v>
      </c>
      <c r="V29" s="138">
        <f t="shared" si="22"/>
        <v>0.96928455412976056</v>
      </c>
      <c r="W29" s="138">
        <f t="shared" si="22"/>
        <v>4691.4613259151747</v>
      </c>
      <c r="X29" s="138">
        <f t="shared" si="22"/>
        <v>0.40328316250367119</v>
      </c>
      <c r="Y29" s="138">
        <f t="shared" si="22"/>
        <v>2.2904545408731494</v>
      </c>
    </row>
    <row r="30" spans="1:25" s="3" customFormat="1" x14ac:dyDescent="0.25">
      <c r="A30" s="19" t="s">
        <v>633</v>
      </c>
      <c r="B30" s="34"/>
      <c r="C30" s="25"/>
      <c r="D30" s="134"/>
      <c r="E30" s="26"/>
      <c r="F30" s="26"/>
      <c r="G30" s="26"/>
      <c r="H30" s="26"/>
      <c r="I30" s="26"/>
      <c r="J30" s="27"/>
      <c r="K30" s="28"/>
      <c r="L30" s="26"/>
      <c r="M30" s="38"/>
      <c r="N30" s="135"/>
      <c r="O30" s="135"/>
      <c r="P30" s="136"/>
      <c r="Q30" s="138">
        <f>Q13+Q22+Q29</f>
        <v>10.832215599585826</v>
      </c>
      <c r="R30" s="138">
        <f t="shared" ref="R30:Y30" si="23">R13+R22+R29</f>
        <v>49.329301609210589</v>
      </c>
      <c r="S30" s="138">
        <f t="shared" si="23"/>
        <v>71.277356760309743</v>
      </c>
      <c r="T30" s="138">
        <f t="shared" si="23"/>
        <v>0.18090498930539239</v>
      </c>
      <c r="U30" s="138">
        <f t="shared" si="23"/>
        <v>2.9772084184344036</v>
      </c>
      <c r="V30" s="138">
        <f t="shared" si="23"/>
        <v>2.6497154924066191</v>
      </c>
      <c r="W30" s="138">
        <f t="shared" si="23"/>
        <v>16942.973208700896</v>
      </c>
      <c r="X30" s="138">
        <f t="shared" si="23"/>
        <v>1.1601295663926781</v>
      </c>
      <c r="Y30" s="138">
        <f t="shared" si="23"/>
        <v>6.7713488922294252</v>
      </c>
    </row>
    <row r="31" spans="1:25" s="3" customFormat="1" x14ac:dyDescent="0.25">
      <c r="A31" s="27"/>
      <c r="B31" s="34"/>
      <c r="C31" s="25"/>
      <c r="D31" s="134"/>
      <c r="E31" s="26"/>
      <c r="F31" s="26"/>
      <c r="G31" s="26"/>
      <c r="H31" s="26"/>
      <c r="I31" s="26"/>
      <c r="J31" s="27"/>
      <c r="K31" s="28"/>
      <c r="L31" s="26"/>
      <c r="M31" s="38"/>
      <c r="N31" s="135"/>
      <c r="O31" s="135"/>
      <c r="P31" s="136"/>
      <c r="Q31" s="39"/>
      <c r="R31" s="29"/>
      <c r="S31" s="29"/>
      <c r="T31" s="29"/>
      <c r="U31" s="29"/>
      <c r="V31" s="29"/>
      <c r="W31" s="29"/>
      <c r="X31" s="29"/>
      <c r="Y31" s="29"/>
    </row>
    <row r="32" spans="1:25" s="3" customFormat="1" x14ac:dyDescent="0.25">
      <c r="A32" s="19" t="s">
        <v>275</v>
      </c>
      <c r="B32" s="34">
        <v>2018</v>
      </c>
      <c r="C32" s="25"/>
      <c r="D32" s="134"/>
      <c r="E32" s="26"/>
      <c r="F32" s="26"/>
      <c r="G32" s="26"/>
      <c r="H32" s="26"/>
      <c r="I32" s="26"/>
      <c r="J32" s="27"/>
      <c r="K32" s="28"/>
      <c r="L32" s="26"/>
      <c r="M32" s="38"/>
      <c r="N32" s="135"/>
      <c r="O32" s="135"/>
      <c r="P32" s="136"/>
      <c r="Q32" s="39"/>
      <c r="R32" s="29"/>
      <c r="S32" s="29"/>
      <c r="T32" s="29"/>
      <c r="U32" s="29"/>
      <c r="V32" s="29"/>
      <c r="W32" s="29"/>
      <c r="X32" s="29"/>
      <c r="Y32" s="29"/>
    </row>
    <row r="33" spans="1:32" s="3" customFormat="1" x14ac:dyDescent="0.25">
      <c r="A33" s="27" t="s">
        <v>163</v>
      </c>
      <c r="B33" s="34">
        <v>2018</v>
      </c>
      <c r="C33" s="25">
        <v>75</v>
      </c>
      <c r="D33" s="25">
        <v>0.31</v>
      </c>
      <c r="E33" s="546">
        <f>VLOOKUP($A33,EFROGS!$A$1:$J$44,(IF($B33=2015,4,IF($B33=2016,5,IF($B33=2017,6,IF($B33=2018,7,IF($B33=2019,8,IF($B33=2020,9,0))))))),FALSE)</f>
        <v>2.503304302758573E-2</v>
      </c>
      <c r="F33" s="546">
        <f>VLOOKUP($A33,EFCOS!$A$1:$J$44,(IF($B33=2015,4,IF($B33=2016,5,IF($B33=2017,6,IF($B33=2018,7,IF($B33=2019,8,IF($B33=2020,9,0))))))),FALSE)</f>
        <v>0.21923257911050123</v>
      </c>
      <c r="G33" s="546">
        <f>VLOOKUP($A33,EFNOXS!$A$1:$J$44,(IF($B33=2015,4,IF($B33=2016,5,IF($B33=2017,6,IF($B33=2018,7,IF($B33=2019,8,IF($B33=2020,9,0))))))),FALSE)</f>
        <v>0.18418335618414555</v>
      </c>
      <c r="H33" s="546">
        <f>VLOOKUP($A33,EFSOXS!$A$1:$J$44,(IF($B33=2015,4,IF($B33=2016,5,IF($B33=2017,6,IF($B33=2018,7,IF($B33=2019,8,IF($B33=2020,9,0))))))),FALSE)</f>
        <v>4.466019753080203E-4</v>
      </c>
      <c r="I33" s="546">
        <f>VLOOKUP($A33,EFPMS!$A$1:$J$44,(IF($B33=2015,4,IF($B33=2016,5,IF($B33=2017,6,IF($B33=2018,7,IF($B33=2019,8,IF($B33=2020,9,0))))))),FALSE)</f>
        <v>1.2096076420543793E-2</v>
      </c>
      <c r="J33" s="536">
        <f t="shared" ref="J33:J36" si="24">0.89*I33</f>
        <v>1.0765508014283977E-2</v>
      </c>
      <c r="K33" s="549">
        <f>VLOOKUP($A33,EFCO2S!$A$1:$J$44,(IF($B33=2015,4,IF($B33=2016,5,IF($B33=2017,6,IF($B33=2018,7,IF($B33=2019,8,IF($B33=2020,9,0))))))),FALSE)</f>
        <v>38.071830204285249</v>
      </c>
      <c r="L33" s="546">
        <f>VLOOKUP($A33,EFCH4S!$A$1:$J$44,(IF($B33=2015,4,IF($B33=2016,5,IF($B33=2017,6,IF($B33=2018,7,IF($B33=2019,8,IF($B33=2020,9,0))))))),FALSE)</f>
        <v>2.9492141591912126E-3</v>
      </c>
      <c r="M33" s="540">
        <f t="shared" ref="M33:M36" si="25">0.095*G33</f>
        <v>1.7497418837493828E-2</v>
      </c>
      <c r="N33" s="108">
        <v>4</v>
      </c>
      <c r="O33" s="108">
        <v>6</v>
      </c>
      <c r="P33" s="109">
        <f>3*22</f>
        <v>66</v>
      </c>
      <c r="Q33" s="39">
        <f t="shared" ref="Q33:Y36" si="26">(E33*$N33*$O33)</f>
        <v>0.60079303266205752</v>
      </c>
      <c r="R33" s="29">
        <f t="shared" si="26"/>
        <v>5.2615818986520297</v>
      </c>
      <c r="S33" s="29">
        <f t="shared" si="26"/>
        <v>4.4204005484194937</v>
      </c>
      <c r="T33" s="29">
        <f t="shared" si="26"/>
        <v>1.0718447407392487E-2</v>
      </c>
      <c r="U33" s="29">
        <f t="shared" si="26"/>
        <v>0.29030583409305105</v>
      </c>
      <c r="V33" s="29">
        <f t="shared" si="26"/>
        <v>0.25837219234281544</v>
      </c>
      <c r="W33" s="29">
        <f t="shared" si="26"/>
        <v>913.72392490284597</v>
      </c>
      <c r="X33" s="29">
        <f t="shared" si="26"/>
        <v>7.0781139820589103E-2</v>
      </c>
      <c r="Y33" s="29">
        <f t="shared" si="26"/>
        <v>0.41993805209985191</v>
      </c>
    </row>
    <row r="34" spans="1:32" s="3" customFormat="1" x14ac:dyDescent="0.25">
      <c r="A34" s="27" t="s">
        <v>206</v>
      </c>
      <c r="B34" s="34">
        <v>2018</v>
      </c>
      <c r="C34" s="25">
        <v>300</v>
      </c>
      <c r="D34" s="25">
        <v>0.42</v>
      </c>
      <c r="E34" s="546">
        <f>VLOOKUP($A34,EFROGS!$A$1:$J$44,(IF($B34=2015,4,IF($B34=2016,5,IF($B34=2017,6,IF($B34=2018,7,IF($B34=2019,8,IF($B34=2020,9,0))))))),FALSE)</f>
        <v>9.0225805917190885E-2</v>
      </c>
      <c r="F34" s="546">
        <f>VLOOKUP($A34,EFCOS!$A$1:$J$44,(IF($B34=2015,4,IF($B34=2016,5,IF($B34=2017,6,IF($B34=2018,7,IF($B34=2019,8,IF($B34=2020,9,0))))))),FALSE)</f>
        <v>0.51534614373640708</v>
      </c>
      <c r="G34" s="546">
        <f>VLOOKUP($A34,EFNOXS!$A$1:$J$44,(IF($B34=2015,4,IF($B34=2016,5,IF($B34=2017,6,IF($B34=2018,7,IF($B34=2019,8,IF($B34=2020,9,0))))))),FALSE)</f>
        <v>0.58526223609575434</v>
      </c>
      <c r="H34" s="546">
        <f>VLOOKUP($A34,EFSOXS!$A$1:$J$44,(IF($B34=2015,4,IF($B34=2016,5,IF($B34=2017,6,IF($B34=2018,7,IF($B34=2019,8,IF($B34=2020,9,0))))))),FALSE)</f>
        <v>2.4954338651265763E-3</v>
      </c>
      <c r="I34" s="546">
        <f>VLOOKUP($A34,EFPMS!$A$1:$J$44,(IF($B34=2015,4,IF($B34=2016,5,IF($B34=2017,6,IF($B34=2018,7,IF($B34=2019,8,IF($B34=2020,9,0))))))),FALSE)</f>
        <v>2.0522530022613474E-2</v>
      </c>
      <c r="J34" s="536">
        <f t="shared" si="24"/>
        <v>1.8265051720125991E-2</v>
      </c>
      <c r="K34" s="549">
        <f>VLOOKUP($A34,EFCO2S!$A$1:$J$44,(IF($B34=2015,4,IF($B34=2016,5,IF($B34=2017,6,IF($B34=2018,7,IF($B34=2019,8,IF($B34=2020,9,0))))))),FALSE)</f>
        <v>254.23847108919361</v>
      </c>
      <c r="L34" s="546">
        <f>VLOOKUP($A34,EFCH4S!$A$1:$J$44,(IF($B34=2015,4,IF($B34=2016,5,IF($B34=2017,6,IF($B34=2018,7,IF($B34=2019,8,IF($B34=2020,9,0))))))),FALSE)</f>
        <v>1.0126092850486785E-2</v>
      </c>
      <c r="M34" s="540">
        <f t="shared" si="25"/>
        <v>5.5599912429096662E-2</v>
      </c>
      <c r="N34" s="135">
        <v>2</v>
      </c>
      <c r="O34" s="135">
        <v>4</v>
      </c>
      <c r="P34" s="109">
        <f t="shared" ref="P34:P36" si="27">3*22</f>
        <v>66</v>
      </c>
      <c r="Q34" s="39">
        <f t="shared" si="26"/>
        <v>0.72180644733752708</v>
      </c>
      <c r="R34" s="29">
        <f t="shared" si="26"/>
        <v>4.1227691498912566</v>
      </c>
      <c r="S34" s="29">
        <f t="shared" si="26"/>
        <v>4.6820978887660347</v>
      </c>
      <c r="T34" s="29">
        <f t="shared" si="26"/>
        <v>1.996347092101261E-2</v>
      </c>
      <c r="U34" s="29">
        <f t="shared" si="26"/>
        <v>0.16418024018090779</v>
      </c>
      <c r="V34" s="29">
        <f t="shared" si="26"/>
        <v>0.14612041376100793</v>
      </c>
      <c r="W34" s="29">
        <f t="shared" si="26"/>
        <v>2033.9077687135489</v>
      </c>
      <c r="X34" s="29">
        <f t="shared" si="26"/>
        <v>8.1008742803894279E-2</v>
      </c>
      <c r="Y34" s="29">
        <f t="shared" si="26"/>
        <v>0.4447992994327733</v>
      </c>
    </row>
    <row r="35" spans="1:32" s="3" customFormat="1" x14ac:dyDescent="0.25">
      <c r="A35" s="27" t="s">
        <v>207</v>
      </c>
      <c r="B35" s="34">
        <v>2018</v>
      </c>
      <c r="C35" s="25">
        <v>300</v>
      </c>
      <c r="D35" s="25">
        <v>0.42</v>
      </c>
      <c r="E35" s="546">
        <f>VLOOKUP($A35,EFROGS!$A$1:$J$44,(IF($B35=2015,4,IF($B35=2016,5,IF($B35=2017,6,IF($B35=2018,7,IF($B35=2019,8,IF($B35=2020,9,0))))))),FALSE)</f>
        <v>9.0225805917190885E-2</v>
      </c>
      <c r="F35" s="546">
        <f>VLOOKUP($A35,EFCOS!$A$1:$J$44,(IF($B35=2015,4,IF($B35=2016,5,IF($B35=2017,6,IF($B35=2018,7,IF($B35=2019,8,IF($B35=2020,9,0))))))),FALSE)</f>
        <v>0.51534614373640708</v>
      </c>
      <c r="G35" s="546">
        <f>VLOOKUP($A35,EFNOXS!$A$1:$J$44,(IF($B35=2015,4,IF($B35=2016,5,IF($B35=2017,6,IF($B35=2018,7,IF($B35=2019,8,IF($B35=2020,9,0))))))),FALSE)</f>
        <v>0.58526223609575434</v>
      </c>
      <c r="H35" s="546">
        <f>VLOOKUP($A35,EFSOXS!$A$1:$J$44,(IF($B35=2015,4,IF($B35=2016,5,IF($B35=2017,6,IF($B35=2018,7,IF($B35=2019,8,IF($B35=2020,9,0))))))),FALSE)</f>
        <v>2.4954338651265763E-3</v>
      </c>
      <c r="I35" s="546">
        <f>VLOOKUP($A35,EFPMS!$A$1:$J$44,(IF($B35=2015,4,IF($B35=2016,5,IF($B35=2017,6,IF($B35=2018,7,IF($B35=2019,8,IF($B35=2020,9,0))))))),FALSE)</f>
        <v>2.0522530022613474E-2</v>
      </c>
      <c r="J35" s="536">
        <f t="shared" si="24"/>
        <v>1.8265051720125991E-2</v>
      </c>
      <c r="K35" s="549">
        <f>VLOOKUP($A35,EFCO2S!$A$1:$J$44,(IF($B35=2015,4,IF($B35=2016,5,IF($B35=2017,6,IF($B35=2018,7,IF($B35=2019,8,IF($B35=2020,9,0))))))),FALSE)</f>
        <v>254.23847108919361</v>
      </c>
      <c r="L35" s="546">
        <f>VLOOKUP($A35,EFCH4S!$A$1:$J$44,(IF($B35=2015,4,IF($B35=2016,5,IF($B35=2017,6,IF($B35=2018,7,IF($B35=2019,8,IF($B35=2020,9,0))))))),FALSE)</f>
        <v>1.0126092850486785E-2</v>
      </c>
      <c r="M35" s="540">
        <f t="shared" si="25"/>
        <v>5.5599912429096662E-2</v>
      </c>
      <c r="N35" s="135">
        <v>2</v>
      </c>
      <c r="O35" s="135">
        <v>4</v>
      </c>
      <c r="P35" s="109">
        <f t="shared" si="27"/>
        <v>66</v>
      </c>
      <c r="Q35" s="39">
        <f t="shared" si="26"/>
        <v>0.72180644733752708</v>
      </c>
      <c r="R35" s="29">
        <f t="shared" si="26"/>
        <v>4.1227691498912566</v>
      </c>
      <c r="S35" s="29">
        <f t="shared" si="26"/>
        <v>4.6820978887660347</v>
      </c>
      <c r="T35" s="29">
        <f t="shared" si="26"/>
        <v>1.996347092101261E-2</v>
      </c>
      <c r="U35" s="29">
        <f t="shared" si="26"/>
        <v>0.16418024018090779</v>
      </c>
      <c r="V35" s="29">
        <f t="shared" si="26"/>
        <v>0.14612041376100793</v>
      </c>
      <c r="W35" s="29">
        <f t="shared" si="26"/>
        <v>2033.9077687135489</v>
      </c>
      <c r="X35" s="29">
        <f t="shared" si="26"/>
        <v>8.1008742803894279E-2</v>
      </c>
      <c r="Y35" s="29">
        <f t="shared" si="26"/>
        <v>0.4447992994327733</v>
      </c>
    </row>
    <row r="36" spans="1:32" s="3" customFormat="1" x14ac:dyDescent="0.25">
      <c r="A36" s="27" t="s">
        <v>208</v>
      </c>
      <c r="B36" s="34">
        <v>2018</v>
      </c>
      <c r="C36" s="25">
        <v>300</v>
      </c>
      <c r="D36" s="25">
        <v>0.42</v>
      </c>
      <c r="E36" s="546">
        <f>VLOOKUP($A36,EFROGS!$A$1:$J$44,(IF($B36=2015,4,IF($B36=2016,5,IF($B36=2017,6,IF($B36=2018,7,IF($B36=2019,8,IF($B36=2020,9,0))))))),FALSE)</f>
        <v>9.0225805917190885E-2</v>
      </c>
      <c r="F36" s="546">
        <f>VLOOKUP($A36,EFCOS!$A$1:$J$44,(IF($B36=2015,4,IF($B36=2016,5,IF($B36=2017,6,IF($B36=2018,7,IF($B36=2019,8,IF($B36=2020,9,0))))))),FALSE)</f>
        <v>0.51534614373640708</v>
      </c>
      <c r="G36" s="546">
        <f>VLOOKUP($A36,EFNOXS!$A$1:$J$44,(IF($B36=2015,4,IF($B36=2016,5,IF($B36=2017,6,IF($B36=2018,7,IF($B36=2019,8,IF($B36=2020,9,0))))))),FALSE)</f>
        <v>0.58526223609575434</v>
      </c>
      <c r="H36" s="546">
        <f>VLOOKUP($A36,EFSOXS!$A$1:$J$44,(IF($B36=2015,4,IF($B36=2016,5,IF($B36=2017,6,IF($B36=2018,7,IF($B36=2019,8,IF($B36=2020,9,0))))))),FALSE)</f>
        <v>2.4954338651265763E-3</v>
      </c>
      <c r="I36" s="546">
        <f>VLOOKUP($A36,EFPMS!$A$1:$J$44,(IF($B36=2015,4,IF($B36=2016,5,IF($B36=2017,6,IF($B36=2018,7,IF($B36=2019,8,IF($B36=2020,9,0))))))),FALSE)</f>
        <v>2.0522530022613474E-2</v>
      </c>
      <c r="J36" s="536">
        <f t="shared" si="24"/>
        <v>1.8265051720125991E-2</v>
      </c>
      <c r="K36" s="549">
        <f>VLOOKUP($A36,EFCO2S!$A$1:$J$44,(IF($B36=2015,4,IF($B36=2016,5,IF($B36=2017,6,IF($B36=2018,7,IF($B36=2019,8,IF($B36=2020,9,0))))))),FALSE)</f>
        <v>254.23847108919361</v>
      </c>
      <c r="L36" s="546">
        <f>VLOOKUP($A36,EFCH4S!$A$1:$J$44,(IF($B36=2015,4,IF($B36=2016,5,IF($B36=2017,6,IF($B36=2018,7,IF($B36=2019,8,IF($B36=2020,9,0))))))),FALSE)</f>
        <v>1.0126092850486785E-2</v>
      </c>
      <c r="M36" s="540">
        <f t="shared" si="25"/>
        <v>5.5599912429096662E-2</v>
      </c>
      <c r="N36" s="135">
        <v>2</v>
      </c>
      <c r="O36" s="135">
        <v>4</v>
      </c>
      <c r="P36" s="109">
        <f t="shared" si="27"/>
        <v>66</v>
      </c>
      <c r="Q36" s="39">
        <f t="shared" si="26"/>
        <v>0.72180644733752708</v>
      </c>
      <c r="R36" s="29">
        <f t="shared" si="26"/>
        <v>4.1227691498912566</v>
      </c>
      <c r="S36" s="29">
        <f t="shared" si="26"/>
        <v>4.6820978887660347</v>
      </c>
      <c r="T36" s="29">
        <f t="shared" si="26"/>
        <v>1.996347092101261E-2</v>
      </c>
      <c r="U36" s="29">
        <f t="shared" si="26"/>
        <v>0.16418024018090779</v>
      </c>
      <c r="V36" s="29">
        <f t="shared" si="26"/>
        <v>0.14612041376100793</v>
      </c>
      <c r="W36" s="29">
        <f t="shared" si="26"/>
        <v>2033.9077687135489</v>
      </c>
      <c r="X36" s="29">
        <f t="shared" si="26"/>
        <v>8.1008742803894279E-2</v>
      </c>
      <c r="Y36" s="29">
        <f t="shared" si="26"/>
        <v>0.4447992994327733</v>
      </c>
    </row>
    <row r="37" spans="1:32" s="3" customFormat="1" x14ac:dyDescent="0.25">
      <c r="A37" s="19" t="s">
        <v>38</v>
      </c>
      <c r="B37" s="34"/>
      <c r="C37" s="25"/>
      <c r="D37" s="25"/>
      <c r="E37" s="26"/>
      <c r="F37" s="26"/>
      <c r="G37" s="26"/>
      <c r="H37" s="26"/>
      <c r="I37" s="26"/>
      <c r="J37" s="27"/>
      <c r="K37" s="28"/>
      <c r="L37" s="26"/>
      <c r="M37" s="38"/>
      <c r="N37" s="135"/>
      <c r="O37" s="135"/>
      <c r="P37" s="136"/>
      <c r="Q37" s="138">
        <f>SUM(Q33:Q36)</f>
        <v>2.7662123746746388</v>
      </c>
      <c r="R37" s="138">
        <f t="shared" ref="R37:Y37" si="28">SUM(R33:R36)</f>
        <v>17.629889348325801</v>
      </c>
      <c r="S37" s="138">
        <f t="shared" si="28"/>
        <v>18.466694214717595</v>
      </c>
      <c r="T37" s="138">
        <f t="shared" si="28"/>
        <v>7.0608860170430318E-2</v>
      </c>
      <c r="U37" s="138">
        <f t="shared" si="28"/>
        <v>0.78284655463577446</v>
      </c>
      <c r="V37" s="138">
        <f t="shared" si="28"/>
        <v>0.69673343362583928</v>
      </c>
      <c r="W37" s="138">
        <f t="shared" si="28"/>
        <v>7015.4472310434921</v>
      </c>
      <c r="X37" s="138">
        <f t="shared" si="28"/>
        <v>0.31380736823227195</v>
      </c>
      <c r="Y37" s="138">
        <f t="shared" si="28"/>
        <v>1.7543359503981719</v>
      </c>
    </row>
    <row r="38" spans="1:32" s="3" customFormat="1" x14ac:dyDescent="0.25">
      <c r="A38" s="27"/>
      <c r="B38" s="34"/>
      <c r="C38" s="25"/>
      <c r="D38" s="25"/>
      <c r="E38" s="26"/>
      <c r="F38" s="26"/>
      <c r="G38" s="26"/>
      <c r="H38" s="26"/>
      <c r="I38" s="26"/>
      <c r="J38" s="27"/>
      <c r="K38" s="28"/>
      <c r="L38" s="26"/>
      <c r="M38" s="38"/>
      <c r="N38" s="135"/>
      <c r="O38" s="135"/>
      <c r="P38" s="136"/>
      <c r="Q38" s="39"/>
      <c r="R38" s="29"/>
      <c r="S38" s="29"/>
      <c r="T38" s="29"/>
      <c r="U38" s="29"/>
      <c r="V38" s="29"/>
      <c r="W38" s="29"/>
      <c r="X38" s="29"/>
      <c r="Y38" s="29"/>
    </row>
    <row r="39" spans="1:32" s="3" customFormat="1" x14ac:dyDescent="0.25">
      <c r="A39" s="19" t="s">
        <v>276</v>
      </c>
      <c r="B39" s="34">
        <v>2018</v>
      </c>
      <c r="C39" s="25"/>
      <c r="D39" s="25"/>
      <c r="E39" s="26"/>
      <c r="F39" s="26"/>
      <c r="G39" s="26"/>
      <c r="H39" s="26"/>
      <c r="I39" s="26"/>
      <c r="J39" s="27"/>
      <c r="K39" s="28"/>
      <c r="L39" s="26"/>
      <c r="M39" s="38"/>
      <c r="N39" s="135"/>
      <c r="O39" s="135"/>
      <c r="P39" s="136"/>
      <c r="Q39" s="39"/>
      <c r="R39" s="29"/>
      <c r="S39" s="29"/>
      <c r="T39" s="29"/>
      <c r="U39" s="29"/>
      <c r="V39" s="29"/>
      <c r="W39" s="29"/>
      <c r="X39" s="29"/>
      <c r="Y39" s="29"/>
    </row>
    <row r="40" spans="1:32" s="3" customFormat="1" x14ac:dyDescent="0.25">
      <c r="A40" s="27" t="s">
        <v>205</v>
      </c>
      <c r="B40" s="34">
        <v>2018</v>
      </c>
      <c r="C40" s="25">
        <v>235</v>
      </c>
      <c r="D40" s="25">
        <v>0.38</v>
      </c>
      <c r="E40" s="546">
        <f>VLOOKUP($A40,EFROGS!$A$1:$J$44,(IF($B40=2015,4,IF($B40=2016,5,IF($B40=2017,6,IF($B40=2018,7,IF($B40=2019,8,IF($B40=2020,9,0))))))),FALSE)</f>
        <v>8.119224107646289E-2</v>
      </c>
      <c r="F40" s="546">
        <f>VLOOKUP($A40,EFCOS!$A$1:$J$44,(IF($B40=2015,4,IF($B40=2016,5,IF($B40=2017,6,IF($B40=2018,7,IF($B40=2019,8,IF($B40=2020,9,0))))))),FALSE)</f>
        <v>0.37994200133931877</v>
      </c>
      <c r="G40" s="546">
        <f>VLOOKUP($A40,EFNOXS!$A$1:$J$44,(IF($B40=2015,4,IF($B40=2016,5,IF($B40=2017,6,IF($B40=2018,7,IF($B40=2019,8,IF($B40=2020,9,0))))))),FALSE)</f>
        <v>0.48394485675138055</v>
      </c>
      <c r="H40" s="546">
        <f>VLOOKUP($A40,EFSOXS!$A$1:$J$44,(IF($B40=2015,4,IF($B40=2016,5,IF($B40=2017,6,IF($B40=2018,7,IF($B40=2019,8,IF($B40=2020,9,0))))))),FALSE)</f>
        <v>1.873921930245647E-3</v>
      </c>
      <c r="I40" s="546">
        <f>VLOOKUP($A40,EFPMS!$A$1:$J$44,(IF($B40=2015,4,IF($B40=2016,5,IF($B40=2017,6,IF($B40=2018,7,IF($B40=2019,8,IF($B40=2020,9,0))))))),FALSE)</f>
        <v>1.6665559588840455E-2</v>
      </c>
      <c r="J40" s="536">
        <f t="shared" ref="J40:J45" si="29">0.89*I40</f>
        <v>1.4832348034068006E-2</v>
      </c>
      <c r="K40" s="549">
        <f>VLOOKUP($A40,EFCO2S!$A$1:$J$44,(IF($B40=2015,4,IF($B40=2016,5,IF($B40=2017,6,IF($B40=2018,7,IF($B40=2019,8,IF($B40=2020,9,0))))))),FALSE)</f>
        <v>166.54543379579488</v>
      </c>
      <c r="L40" s="546">
        <f>VLOOKUP($A40,EFCH4S!$A$1:$J$44,(IF($B40=2015,4,IF($B40=2016,5,IF($B40=2017,6,IF($B40=2018,7,IF($B40=2019,8,IF($B40=2020,9,0))))))),FALSE)</f>
        <v>9.3996999235005617E-3</v>
      </c>
      <c r="M40" s="540">
        <f t="shared" ref="M40:M45" si="30">0.095*G40</f>
        <v>4.5974761391381153E-2</v>
      </c>
      <c r="N40" s="135">
        <v>1</v>
      </c>
      <c r="O40" s="135">
        <v>4</v>
      </c>
      <c r="P40" s="109">
        <f t="shared" ref="P40:P45" si="31">0.5*22</f>
        <v>11</v>
      </c>
      <c r="Q40" s="39">
        <f t="shared" ref="Q40:Y45" si="32">(E40*$N40*$O40)</f>
        <v>0.32476896430585156</v>
      </c>
      <c r="R40" s="29">
        <f t="shared" si="32"/>
        <v>1.5197680053572751</v>
      </c>
      <c r="S40" s="29">
        <f t="shared" si="32"/>
        <v>1.9357794270055222</v>
      </c>
      <c r="T40" s="29">
        <f t="shared" si="32"/>
        <v>7.4956877209825879E-3</v>
      </c>
      <c r="U40" s="29">
        <f t="shared" si="32"/>
        <v>6.6662238355361822E-2</v>
      </c>
      <c r="V40" s="29">
        <f t="shared" si="32"/>
        <v>5.9329392136272023E-2</v>
      </c>
      <c r="W40" s="29">
        <f t="shared" si="32"/>
        <v>666.18173518317951</v>
      </c>
      <c r="X40" s="29">
        <f t="shared" si="32"/>
        <v>3.7598799694002247E-2</v>
      </c>
      <c r="Y40" s="29">
        <f t="shared" si="32"/>
        <v>0.18389904556552461</v>
      </c>
    </row>
    <row r="41" spans="1:32" s="3" customFormat="1" x14ac:dyDescent="0.25">
      <c r="A41" s="27" t="s">
        <v>163</v>
      </c>
      <c r="B41" s="34">
        <v>2018</v>
      </c>
      <c r="C41" s="25">
        <v>75</v>
      </c>
      <c r="D41" s="25">
        <v>0.31</v>
      </c>
      <c r="E41" s="546">
        <f>VLOOKUP($A41,EFROGS!$A$1:$J$44,(IF($B41=2015,4,IF($B41=2016,5,IF($B41=2017,6,IF($B41=2018,7,IF($B41=2019,8,IF($B41=2020,9,0))))))),FALSE)</f>
        <v>2.503304302758573E-2</v>
      </c>
      <c r="F41" s="546">
        <f>VLOOKUP($A41,EFCOS!$A$1:$J$44,(IF($B41=2015,4,IF($B41=2016,5,IF($B41=2017,6,IF($B41=2018,7,IF($B41=2019,8,IF($B41=2020,9,0))))))),FALSE)</f>
        <v>0.21923257911050123</v>
      </c>
      <c r="G41" s="546">
        <f>VLOOKUP($A41,EFNOXS!$A$1:$J$44,(IF($B41=2015,4,IF($B41=2016,5,IF($B41=2017,6,IF($B41=2018,7,IF($B41=2019,8,IF($B41=2020,9,0))))))),FALSE)</f>
        <v>0.18418335618414555</v>
      </c>
      <c r="H41" s="546">
        <f>VLOOKUP($A41,EFSOXS!$A$1:$J$44,(IF($B41=2015,4,IF($B41=2016,5,IF($B41=2017,6,IF($B41=2018,7,IF($B41=2019,8,IF($B41=2020,9,0))))))),FALSE)</f>
        <v>4.466019753080203E-4</v>
      </c>
      <c r="I41" s="546">
        <f>VLOOKUP($A41,EFPMS!$A$1:$J$44,(IF($B41=2015,4,IF($B41=2016,5,IF($B41=2017,6,IF($B41=2018,7,IF($B41=2019,8,IF($B41=2020,9,0))))))),FALSE)</f>
        <v>1.2096076420543793E-2</v>
      </c>
      <c r="J41" s="536">
        <f t="shared" si="29"/>
        <v>1.0765508014283977E-2</v>
      </c>
      <c r="K41" s="549">
        <f>VLOOKUP($A41,EFCO2S!$A$1:$J$44,(IF($B41=2015,4,IF($B41=2016,5,IF($B41=2017,6,IF($B41=2018,7,IF($B41=2019,8,IF($B41=2020,9,0))))))),FALSE)</f>
        <v>38.071830204285249</v>
      </c>
      <c r="L41" s="546">
        <f>VLOOKUP($A41,EFCH4S!$A$1:$J$44,(IF($B41=2015,4,IF($B41=2016,5,IF($B41=2017,6,IF($B41=2018,7,IF($B41=2019,8,IF($B41=2020,9,0))))))),FALSE)</f>
        <v>2.9492141591912126E-3</v>
      </c>
      <c r="M41" s="540">
        <f t="shared" si="30"/>
        <v>1.7497418837493828E-2</v>
      </c>
      <c r="N41" s="108">
        <v>2</v>
      </c>
      <c r="O41" s="108">
        <v>8</v>
      </c>
      <c r="P41" s="109">
        <f t="shared" si="31"/>
        <v>11</v>
      </c>
      <c r="Q41" s="39">
        <f t="shared" si="32"/>
        <v>0.40052868844137168</v>
      </c>
      <c r="R41" s="29">
        <f t="shared" si="32"/>
        <v>3.5077212657680197</v>
      </c>
      <c r="S41" s="29">
        <f t="shared" si="32"/>
        <v>2.9469336989463288</v>
      </c>
      <c r="T41" s="29">
        <f t="shared" si="32"/>
        <v>7.1456316049283248E-3</v>
      </c>
      <c r="U41" s="29">
        <f t="shared" si="32"/>
        <v>0.19353722272870069</v>
      </c>
      <c r="V41" s="29">
        <f t="shared" si="32"/>
        <v>0.17224812822854363</v>
      </c>
      <c r="W41" s="29">
        <f t="shared" si="32"/>
        <v>609.14928326856398</v>
      </c>
      <c r="X41" s="29">
        <f t="shared" si="32"/>
        <v>4.7187426547059402E-2</v>
      </c>
      <c r="Y41" s="29">
        <f t="shared" si="32"/>
        <v>0.27995870139990126</v>
      </c>
    </row>
    <row r="42" spans="1:32" s="3" customFormat="1" x14ac:dyDescent="0.25">
      <c r="A42" s="27" t="s">
        <v>201</v>
      </c>
      <c r="B42" s="34">
        <v>2018</v>
      </c>
      <c r="C42" s="25">
        <v>300</v>
      </c>
      <c r="D42" s="25">
        <v>0.38</v>
      </c>
      <c r="E42" s="546">
        <f>VLOOKUP($A42,EFROGS!$A$1:$J$44,(IF($B42=2015,4,IF($B42=2016,5,IF($B42=2017,6,IF($B42=2018,7,IF($B42=2019,8,IF($B42=2020,9,0))))))),FALSE)</f>
        <v>0.10426204652182813</v>
      </c>
      <c r="F42" s="546">
        <f>VLOOKUP($A42,EFCOS!$A$1:$J$44,(IF($B42=2015,4,IF($B42=2016,5,IF($B42=2017,6,IF($B42=2018,7,IF($B42=2019,8,IF($B42=2020,9,0))))))),FALSE)</f>
        <v>0.49410087136290803</v>
      </c>
      <c r="G42" s="546">
        <f>VLOOKUP($A42,EFNOXS!$A$1:$J$44,(IF($B42=2015,4,IF($B42=2016,5,IF($B42=2017,6,IF($B42=2018,7,IF($B42=2019,8,IF($B42=2020,9,0))))))),FALSE)</f>
        <v>0.57429575315352943</v>
      </c>
      <c r="H42" s="546">
        <f>VLOOKUP($A42,EFSOXS!$A$1:$J$44,(IF($B42=2015,4,IF($B42=2016,5,IF($B42=2017,6,IF($B42=2018,7,IF($B42=2019,8,IF($B42=2020,9,0))))))),FALSE)</f>
        <v>2.2941887362225512E-3</v>
      </c>
      <c r="I42" s="546">
        <f>VLOOKUP($A42,EFPMS!$A$1:$J$44,(IF($B42=2015,4,IF($B42=2016,5,IF($B42=2017,6,IF($B42=2018,7,IF($B42=2019,8,IF($B42=2020,9,0))))))),FALSE)</f>
        <v>2.1028845132339352E-2</v>
      </c>
      <c r="J42" s="536">
        <f t="shared" si="29"/>
        <v>1.8715672167782024E-2</v>
      </c>
      <c r="K42" s="549">
        <f>VLOOKUP($A42,EFCO2S!$A$1:$J$44,(IF($B42=2015,4,IF($B42=2016,5,IF($B42=2017,6,IF($B42=2018,7,IF($B42=2019,8,IF($B42=2020,9,0))))))),FALSE)</f>
        <v>233.73535326026993</v>
      </c>
      <c r="L42" s="546">
        <f>VLOOKUP($A42,EFCH4S!$A$1:$J$44,(IF($B42=2015,4,IF($B42=2016,5,IF($B42=2017,6,IF($B42=2018,7,IF($B42=2019,8,IF($B42=2020,9,0))))))),FALSE)</f>
        <v>1.2078550367923749E-2</v>
      </c>
      <c r="M42" s="540">
        <f t="shared" si="30"/>
        <v>5.4558096549585294E-2</v>
      </c>
      <c r="N42" s="135">
        <v>1</v>
      </c>
      <c r="O42" s="135">
        <v>4</v>
      </c>
      <c r="P42" s="109">
        <f t="shared" si="31"/>
        <v>11</v>
      </c>
      <c r="Q42" s="39">
        <f t="shared" si="32"/>
        <v>0.41704818608731253</v>
      </c>
      <c r="R42" s="29">
        <f t="shared" si="32"/>
        <v>1.9764034854516321</v>
      </c>
      <c r="S42" s="29">
        <f t="shared" si="32"/>
        <v>2.2971830126141177</v>
      </c>
      <c r="T42" s="29">
        <f t="shared" si="32"/>
        <v>9.1767549448902048E-3</v>
      </c>
      <c r="U42" s="29">
        <f t="shared" si="32"/>
        <v>8.4115380529357409E-2</v>
      </c>
      <c r="V42" s="29">
        <f t="shared" si="32"/>
        <v>7.4862688671128094E-2</v>
      </c>
      <c r="W42" s="29">
        <f t="shared" si="32"/>
        <v>934.94141304107973</v>
      </c>
      <c r="X42" s="29">
        <f t="shared" si="32"/>
        <v>4.8314201471694997E-2</v>
      </c>
      <c r="Y42" s="29">
        <f t="shared" si="32"/>
        <v>0.21823238619834118</v>
      </c>
    </row>
    <row r="43" spans="1:32" s="3" customFormat="1" x14ac:dyDescent="0.25">
      <c r="A43" s="27" t="s">
        <v>209</v>
      </c>
      <c r="B43" s="34">
        <v>2018</v>
      </c>
      <c r="C43" s="25">
        <v>25</v>
      </c>
      <c r="D43" s="25">
        <v>1</v>
      </c>
      <c r="E43" s="546">
        <f>VLOOKUP($A43,EFROGS!$A$1:$J$44,(IF($B43=2015,4,IF($B43=2016,5,IF($B43=2017,6,IF($B43=2018,7,IF($B43=2019,8,IF($B43=2020,9,0))))))),FALSE)</f>
        <v>1.5945098772087649E-2</v>
      </c>
      <c r="F43" s="546">
        <f>VLOOKUP($A43,EFCOS!$A$1:$J$44,(IF($B43=2015,4,IF($B43=2016,5,IF($B43=2017,6,IF($B43=2018,7,IF($B43=2019,8,IF($B43=2020,9,0))))))),FALSE)</f>
        <v>0.10588694014040713</v>
      </c>
      <c r="G43" s="546">
        <f>VLOOKUP($A43,EFNOXS!$A$1:$J$44,(IF($B43=2015,4,IF($B43=2016,5,IF($B43=2017,6,IF($B43=2018,7,IF($B43=2019,8,IF($B43=2020,9,0))))))),FALSE)</f>
        <v>0.12840254691102099</v>
      </c>
      <c r="H43" s="546">
        <f>VLOOKUP($A43,EFSOXS!$A$1:$J$44,(IF($B43=2015,4,IF($B43=2016,5,IF($B43=2017,6,IF($B43=2018,7,IF($B43=2019,8,IF($B43=2020,9,0))))))),FALSE)</f>
        <v>1.6770235588901616E-4</v>
      </c>
      <c r="I43" s="546">
        <f>VLOOKUP($A43,EFPMS!$A$1:$J$44,(IF($B43=2015,4,IF($B43=2016,5,IF($B43=2017,6,IF($B43=2018,7,IF($B43=2019,8,IF($B43=2020,9,0))))))),FALSE)</f>
        <v>2.9641300934263879E-3</v>
      </c>
      <c r="J43" s="536">
        <f t="shared" si="29"/>
        <v>2.6380757831494851E-3</v>
      </c>
      <c r="K43" s="549">
        <f>VLOOKUP($A43,EFCO2S!$A$1:$J$44,(IF($B43=2015,4,IF($B43=2016,5,IF($B43=2017,6,IF($B43=2018,7,IF($B43=2019,8,IF($B43=2020,9,0))))))),FALSE)</f>
        <v>13.217291495541826</v>
      </c>
      <c r="L43" s="546">
        <f>VLOOKUP($A43,EFCH4S!$A$1:$J$44,(IF($B43=2015,4,IF($B43=2016,5,IF($B43=2017,6,IF($B43=2018,7,IF($B43=2019,8,IF($B43=2020,9,0))))))),FALSE)</f>
        <v>1.4387011113433123E-3</v>
      </c>
      <c r="M43" s="540">
        <f t="shared" si="30"/>
        <v>1.2198241956546995E-2</v>
      </c>
      <c r="N43" s="135">
        <v>2</v>
      </c>
      <c r="O43" s="135">
        <v>6</v>
      </c>
      <c r="P43" s="109">
        <f t="shared" si="31"/>
        <v>11</v>
      </c>
      <c r="Q43" s="39">
        <f t="shared" si="32"/>
        <v>0.19134118526505178</v>
      </c>
      <c r="R43" s="29">
        <f t="shared" si="32"/>
        <v>1.2706432816848856</v>
      </c>
      <c r="S43" s="29">
        <f t="shared" si="32"/>
        <v>1.5408305629322518</v>
      </c>
      <c r="T43" s="29">
        <f t="shared" si="32"/>
        <v>2.0124282706681937E-3</v>
      </c>
      <c r="U43" s="29">
        <f t="shared" si="32"/>
        <v>3.5569561121116658E-2</v>
      </c>
      <c r="V43" s="29">
        <f t="shared" si="32"/>
        <v>3.1656909397793823E-2</v>
      </c>
      <c r="W43" s="29">
        <f t="shared" si="32"/>
        <v>158.60749794650189</v>
      </c>
      <c r="X43" s="29">
        <f t="shared" si="32"/>
        <v>1.7264413336119749E-2</v>
      </c>
      <c r="Y43" s="29">
        <f t="shared" si="32"/>
        <v>0.14637890347856394</v>
      </c>
    </row>
    <row r="44" spans="1:32" s="3" customFormat="1" x14ac:dyDescent="0.25">
      <c r="A44" s="37" t="s">
        <v>61</v>
      </c>
      <c r="B44" s="34">
        <v>2018</v>
      </c>
      <c r="C44" s="25">
        <v>235</v>
      </c>
      <c r="D44" s="25">
        <v>0.38</v>
      </c>
      <c r="E44" s="546">
        <f>VLOOKUP($A44,EFROGS!$A$1:$J$44,(IF($B44=2015,4,IF($B44=2016,5,IF($B44=2017,6,IF($B44=2018,7,IF($B44=2019,8,IF($B44=2020,9,0))))))),FALSE)</f>
        <v>8.119224107646289E-2</v>
      </c>
      <c r="F44" s="546">
        <f>VLOOKUP($A44,EFCOS!$A$1:$J$44,(IF($B44=2015,4,IF($B44=2016,5,IF($B44=2017,6,IF($B44=2018,7,IF($B44=2019,8,IF($B44=2020,9,0))))))),FALSE)</f>
        <v>0.37994200133931877</v>
      </c>
      <c r="G44" s="546">
        <f>VLOOKUP($A44,EFNOXS!$A$1:$J$44,(IF($B44=2015,4,IF($B44=2016,5,IF($B44=2017,6,IF($B44=2018,7,IF($B44=2019,8,IF($B44=2020,9,0))))))),FALSE)</f>
        <v>0.48394485675138055</v>
      </c>
      <c r="H44" s="546">
        <f>VLOOKUP($A44,EFSOXS!$A$1:$J$44,(IF($B44=2015,4,IF($B44=2016,5,IF($B44=2017,6,IF($B44=2018,7,IF($B44=2019,8,IF($B44=2020,9,0))))))),FALSE)</f>
        <v>1.873921930245647E-3</v>
      </c>
      <c r="I44" s="546">
        <f>VLOOKUP($A44,EFPMS!$A$1:$J$44,(IF($B44=2015,4,IF($B44=2016,5,IF($B44=2017,6,IF($B44=2018,7,IF($B44=2019,8,IF($B44=2020,9,0))))))),FALSE)</f>
        <v>1.6665559588840455E-2</v>
      </c>
      <c r="J44" s="536">
        <f t="shared" si="29"/>
        <v>1.4832348034068006E-2</v>
      </c>
      <c r="K44" s="549">
        <f>VLOOKUP($A44,EFCO2S!$A$1:$J$44,(IF($B44=2015,4,IF($B44=2016,5,IF($B44=2017,6,IF($B44=2018,7,IF($B44=2019,8,IF($B44=2020,9,0))))))),FALSE)</f>
        <v>166.54543379579488</v>
      </c>
      <c r="L44" s="546">
        <f>VLOOKUP($A44,EFCH4S!$A$1:$J$44,(IF($B44=2015,4,IF($B44=2016,5,IF($B44=2017,6,IF($B44=2018,7,IF($B44=2019,8,IF($B44=2020,9,0))))))),FALSE)</f>
        <v>9.3996999235005617E-3</v>
      </c>
      <c r="M44" s="540">
        <f t="shared" si="30"/>
        <v>4.5974761391381153E-2</v>
      </c>
      <c r="N44" s="108">
        <v>1</v>
      </c>
      <c r="O44" s="108">
        <v>2</v>
      </c>
      <c r="P44" s="109">
        <f t="shared" si="31"/>
        <v>11</v>
      </c>
      <c r="Q44" s="39">
        <f t="shared" si="32"/>
        <v>0.16238448215292578</v>
      </c>
      <c r="R44" s="29">
        <f t="shared" si="32"/>
        <v>0.75988400267863754</v>
      </c>
      <c r="S44" s="29">
        <f t="shared" si="32"/>
        <v>0.9678897135027611</v>
      </c>
      <c r="T44" s="29">
        <f t="shared" si="32"/>
        <v>3.7478438604912939E-3</v>
      </c>
      <c r="U44" s="29">
        <f t="shared" si="32"/>
        <v>3.3331119177680911E-2</v>
      </c>
      <c r="V44" s="29">
        <f t="shared" si="32"/>
        <v>2.9664696068136012E-2</v>
      </c>
      <c r="W44" s="29">
        <f t="shared" si="32"/>
        <v>333.09086759158976</v>
      </c>
      <c r="X44" s="29">
        <f t="shared" si="32"/>
        <v>1.8799399847001123E-2</v>
      </c>
      <c r="Y44" s="29">
        <f t="shared" si="32"/>
        <v>9.1949522782762305E-2</v>
      </c>
    </row>
    <row r="45" spans="1:32" s="3" customFormat="1" x14ac:dyDescent="0.25">
      <c r="A45" s="27" t="s">
        <v>202</v>
      </c>
      <c r="B45" s="34">
        <v>2018</v>
      </c>
      <c r="C45" s="25">
        <v>399</v>
      </c>
      <c r="D45" s="25">
        <v>0.28999999999999998</v>
      </c>
      <c r="E45" s="546">
        <f>VLOOKUP($A45,EFROGS!$A$1:$J$44,(IF($B45=2015,4,IF($B45=2016,5,IF($B45=2017,6,IF($B45=2018,7,IF($B45=2019,8,IF($B45=2020,9,0))))))),FALSE)</f>
        <v>9.4826505737279188E-2</v>
      </c>
      <c r="F45" s="546">
        <f>VLOOKUP($A45,EFCOS!$A$1:$J$44,(IF($B45=2015,4,IF($B45=2016,5,IF($B45=2017,6,IF($B45=2018,7,IF($B45=2019,8,IF($B45=2020,9,0))))))),FALSE)</f>
        <v>0.45434236467617739</v>
      </c>
      <c r="G45" s="546">
        <f>VLOOKUP($A45,EFNOXS!$A$1:$J$44,(IF($B45=2015,4,IF($B45=2016,5,IF($B45=2017,6,IF($B45=2018,7,IF($B45=2019,8,IF($B45=2020,9,0))))))),FALSE)</f>
        <v>0.63535292909985608</v>
      </c>
      <c r="H45" s="546">
        <f>VLOOKUP($A45,EFSOXS!$A$1:$J$44,(IF($B45=2015,4,IF($B45=2016,5,IF($B45=2017,6,IF($B45=2018,7,IF($B45=2019,8,IF($B45=2020,9,0))))))),FALSE)</f>
        <v>1.7677529466161633E-3</v>
      </c>
      <c r="I45" s="546">
        <f>VLOOKUP($A45,EFPMS!$A$1:$J$44,(IF($B45=2015,4,IF($B45=2016,5,IF($B45=2017,6,IF($B45=2018,7,IF($B45=2019,8,IF($B45=2020,9,0))))))),FALSE)</f>
        <v>2.3360137726921776E-2</v>
      </c>
      <c r="J45" s="536">
        <f t="shared" si="29"/>
        <v>2.0790522576960381E-2</v>
      </c>
      <c r="K45" s="549">
        <f>VLOOKUP($A45,EFCO2S!$A$1:$J$44,(IF($B45=2015,4,IF($B45=2016,5,IF($B45=2017,6,IF($B45=2018,7,IF($B45=2019,8,IF($B45=2020,9,0))))))),FALSE)</f>
        <v>180.10127182932982</v>
      </c>
      <c r="L45" s="546">
        <f>VLOOKUP($A45,EFCH4S!$A$1:$J$44,(IF($B45=2015,4,IF($B45=2016,5,IF($B45=2017,6,IF($B45=2018,7,IF($B45=2019,8,IF($B45=2020,9,0))))))),FALSE)</f>
        <v>1.0841920844072756E-2</v>
      </c>
      <c r="M45" s="540">
        <f t="shared" si="30"/>
        <v>6.035852826448633E-2</v>
      </c>
      <c r="N45" s="108">
        <v>1</v>
      </c>
      <c r="O45" s="108">
        <v>2</v>
      </c>
      <c r="P45" s="109">
        <f t="shared" si="31"/>
        <v>11</v>
      </c>
      <c r="Q45" s="39">
        <f t="shared" si="32"/>
        <v>0.18965301147455838</v>
      </c>
      <c r="R45" s="29">
        <f t="shared" si="32"/>
        <v>0.90868472935235478</v>
      </c>
      <c r="S45" s="29">
        <f t="shared" si="32"/>
        <v>1.2707058581997122</v>
      </c>
      <c r="T45" s="29">
        <f t="shared" si="32"/>
        <v>3.5355058932323266E-3</v>
      </c>
      <c r="U45" s="29">
        <f t="shared" si="32"/>
        <v>4.6720275453843552E-2</v>
      </c>
      <c r="V45" s="29">
        <f t="shared" si="32"/>
        <v>4.1581045153920762E-2</v>
      </c>
      <c r="W45" s="29">
        <f t="shared" si="32"/>
        <v>360.20254365865964</v>
      </c>
      <c r="X45" s="29">
        <f t="shared" si="32"/>
        <v>2.1683841688145512E-2</v>
      </c>
      <c r="Y45" s="29">
        <f t="shared" si="32"/>
        <v>0.12071705652897266</v>
      </c>
    </row>
    <row r="46" spans="1:32" s="3" customFormat="1" x14ac:dyDescent="0.25">
      <c r="A46" s="35" t="s">
        <v>38</v>
      </c>
      <c r="B46" s="181"/>
      <c r="C46" s="182"/>
      <c r="D46" s="179"/>
      <c r="E46" s="183"/>
      <c r="F46" s="183"/>
      <c r="G46" s="183"/>
      <c r="H46" s="183"/>
      <c r="I46" s="183"/>
      <c r="J46" s="162"/>
      <c r="K46" s="184"/>
      <c r="L46" s="183"/>
      <c r="M46" s="185"/>
      <c r="N46" s="135"/>
      <c r="O46" s="135"/>
      <c r="P46" s="136"/>
      <c r="Q46" s="186">
        <f>SUM(Q40:Q45)</f>
        <v>1.6857245177270719</v>
      </c>
      <c r="R46" s="186">
        <f t="shared" ref="R46:Y46" si="33">SUM(R40:R45)</f>
        <v>9.9431047702928055</v>
      </c>
      <c r="S46" s="186">
        <f t="shared" si="33"/>
        <v>10.959322273200693</v>
      </c>
      <c r="T46" s="186">
        <f t="shared" si="33"/>
        <v>3.3113852295192932E-2</v>
      </c>
      <c r="U46" s="186">
        <f t="shared" si="33"/>
        <v>0.45993579736606099</v>
      </c>
      <c r="V46" s="186">
        <f t="shared" si="33"/>
        <v>0.40934285965579431</v>
      </c>
      <c r="W46" s="186">
        <f t="shared" si="33"/>
        <v>3062.1733406895746</v>
      </c>
      <c r="X46" s="186">
        <f t="shared" si="33"/>
        <v>0.19084808258402305</v>
      </c>
      <c r="Y46" s="186">
        <f t="shared" si="33"/>
        <v>1.0411356159540659</v>
      </c>
    </row>
    <row r="47" spans="1:32" s="6" customFormat="1" x14ac:dyDescent="0.25">
      <c r="A47" s="187" t="s">
        <v>632</v>
      </c>
      <c r="B47" s="134"/>
      <c r="C47" s="25"/>
      <c r="D47" s="25"/>
      <c r="E47" s="26"/>
      <c r="F47" s="26"/>
      <c r="G47" s="26"/>
      <c r="H47" s="26"/>
      <c r="I47" s="26"/>
      <c r="J47" s="27"/>
      <c r="K47" s="28"/>
      <c r="L47" s="26"/>
      <c r="M47" s="26"/>
      <c r="N47" s="109"/>
      <c r="O47" s="109"/>
      <c r="P47" s="109"/>
      <c r="Q47" s="22">
        <f>Q37+Q46</f>
        <v>4.4519368924017106</v>
      </c>
      <c r="R47" s="22">
        <f t="shared" ref="R47:Y47" si="34">R37+R46</f>
        <v>27.572994118618606</v>
      </c>
      <c r="S47" s="22">
        <f t="shared" si="34"/>
        <v>29.426016487918289</v>
      </c>
      <c r="T47" s="22">
        <f t="shared" si="34"/>
        <v>0.10372271246562326</v>
      </c>
      <c r="U47" s="22">
        <f t="shared" si="34"/>
        <v>1.2427823520018355</v>
      </c>
      <c r="V47" s="22">
        <f t="shared" si="34"/>
        <v>1.1060762932816335</v>
      </c>
      <c r="W47" s="22">
        <f t="shared" si="34"/>
        <v>10077.620571733067</v>
      </c>
      <c r="X47" s="22">
        <f t="shared" si="34"/>
        <v>0.50465545081629504</v>
      </c>
      <c r="Y47" s="22">
        <f t="shared" si="34"/>
        <v>2.795471566352238</v>
      </c>
      <c r="AF47" s="7"/>
    </row>
    <row r="48" spans="1:32" s="6" customFormat="1" x14ac:dyDescent="0.25">
      <c r="A48"/>
      <c r="B48" s="1"/>
      <c r="C48" s="1"/>
      <c r="D48" s="1"/>
      <c r="E48" s="623" t="s">
        <v>2</v>
      </c>
      <c r="F48" s="623"/>
      <c r="G48" s="623"/>
      <c r="H48" s="623"/>
      <c r="I48" s="623"/>
      <c r="J48" s="623"/>
      <c r="K48" s="623"/>
      <c r="L48" s="623"/>
      <c r="M48"/>
      <c r="N48" s="3"/>
      <c r="O48"/>
      <c r="P48"/>
      <c r="Q48" s="4"/>
      <c r="R48" s="4"/>
      <c r="S48" s="4"/>
      <c r="T48" s="4"/>
      <c r="U48" s="4"/>
      <c r="V48" s="4"/>
      <c r="W48" s="5"/>
      <c r="X48" s="4"/>
      <c r="Y48" s="4"/>
      <c r="AF48" s="7"/>
    </row>
    <row r="49" spans="1:32" s="6" customFormat="1" ht="39.6" x14ac:dyDescent="0.25">
      <c r="A49" s="12" t="s">
        <v>131</v>
      </c>
      <c r="B49" s="13" t="s">
        <v>3</v>
      </c>
      <c r="C49" s="13" t="s">
        <v>4</v>
      </c>
      <c r="D49" s="1"/>
      <c r="E49" s="18" t="s">
        <v>27</v>
      </c>
      <c r="F49" s="18" t="s">
        <v>28</v>
      </c>
      <c r="G49" s="18" t="s">
        <v>29</v>
      </c>
      <c r="H49" s="18" t="s">
        <v>30</v>
      </c>
      <c r="I49" s="18" t="s">
        <v>31</v>
      </c>
      <c r="J49" s="18" t="s">
        <v>32</v>
      </c>
      <c r="K49" s="17" t="s">
        <v>33</v>
      </c>
      <c r="L49" s="18" t="s">
        <v>34</v>
      </c>
      <c r="M49" s="18" t="s">
        <v>35</v>
      </c>
      <c r="N49" s="3"/>
      <c r="O49"/>
      <c r="P49"/>
      <c r="Q49" s="4"/>
      <c r="R49" s="4"/>
      <c r="S49" s="4"/>
      <c r="T49" s="4"/>
      <c r="U49" s="4"/>
      <c r="V49" s="4"/>
      <c r="W49" s="5"/>
      <c r="X49" s="4"/>
      <c r="Y49" s="4"/>
      <c r="AF49" s="7"/>
    </row>
    <row r="50" spans="1:32" s="3" customFormat="1" x14ac:dyDescent="0.25">
      <c r="A50" s="12" t="str">
        <f t="shared" ref="A50:A55" si="35">A7</f>
        <v>Trans: Rancho San Juan 138/230 kV - Site Development</v>
      </c>
      <c r="B50" s="36"/>
      <c r="C50" s="20"/>
      <c r="D50" s="1"/>
      <c r="E50" s="30"/>
      <c r="F50" s="30"/>
      <c r="G50" s="30"/>
      <c r="H50" s="30"/>
      <c r="I50" s="30"/>
      <c r="J50" s="30"/>
      <c r="K50" s="30"/>
      <c r="L50" s="30"/>
      <c r="M50" s="30"/>
      <c r="O50"/>
      <c r="P50"/>
      <c r="Q50" s="4"/>
      <c r="R50" s="4"/>
      <c r="S50" s="4"/>
      <c r="T50" s="4"/>
      <c r="U50" s="4"/>
      <c r="V50" s="4"/>
      <c r="W50" s="5"/>
      <c r="X50" s="4"/>
      <c r="Y50" s="4"/>
      <c r="Z50" s="6"/>
      <c r="AA50" s="6"/>
      <c r="AB50" s="6"/>
      <c r="AC50" s="6"/>
      <c r="AD50" s="6"/>
      <c r="AE50" s="6"/>
      <c r="AF50" s="7"/>
    </row>
    <row r="51" spans="1:32" s="3" customFormat="1" x14ac:dyDescent="0.25">
      <c r="A51" s="137" t="str">
        <f t="shared" si="35"/>
        <v>Excavator</v>
      </c>
      <c r="B51" s="36"/>
      <c r="C51" s="20"/>
      <c r="D51" s="1"/>
      <c r="E51" s="30">
        <f t="shared" ref="E51:M55" si="36">(Q8*$P8)/2000</f>
        <v>5.2915422745488721E-3</v>
      </c>
      <c r="F51" s="30">
        <f t="shared" si="36"/>
        <v>2.1626929521488852E-2</v>
      </c>
      <c r="G51" s="30">
        <f t="shared" si="36"/>
        <v>3.2301193115227125E-2</v>
      </c>
      <c r="H51" s="30">
        <f t="shared" si="36"/>
        <v>1.0094428505358264E-4</v>
      </c>
      <c r="I51" s="30">
        <f t="shared" si="36"/>
        <v>1.1695768169642403E-3</v>
      </c>
      <c r="J51" s="30">
        <f t="shared" si="36"/>
        <v>1.0409233670981737E-3</v>
      </c>
      <c r="K51" s="30">
        <f t="shared" si="36"/>
        <v>10.284355474365819</v>
      </c>
      <c r="L51" s="30">
        <f t="shared" si="36"/>
        <v>5.6188733175414082E-4</v>
      </c>
      <c r="M51" s="30">
        <f t="shared" si="36"/>
        <v>3.0686133459465774E-3</v>
      </c>
      <c r="O51"/>
      <c r="P51"/>
      <c r="Q51" s="4"/>
      <c r="R51" s="4"/>
      <c r="S51" s="4"/>
      <c r="T51" s="4"/>
      <c r="U51" s="4"/>
      <c r="V51" s="4"/>
      <c r="W51" s="5"/>
      <c r="X51" s="4"/>
      <c r="Y51" s="4"/>
      <c r="Z51" s="6"/>
      <c r="AA51" s="6"/>
      <c r="AB51" s="6"/>
      <c r="AC51" s="6"/>
      <c r="AD51" s="6"/>
      <c r="AE51" s="6"/>
      <c r="AF51" s="7"/>
    </row>
    <row r="52" spans="1:32" s="3" customFormat="1" x14ac:dyDescent="0.25">
      <c r="A52" s="137" t="str">
        <f t="shared" si="35"/>
        <v>Compactor</v>
      </c>
      <c r="B52" s="36"/>
      <c r="C52" s="20"/>
      <c r="D52" s="1"/>
      <c r="E52" s="30">
        <f t="shared" si="36"/>
        <v>3.725066355868654E-3</v>
      </c>
      <c r="F52" s="30">
        <f t="shared" si="36"/>
        <v>1.59363655235247E-2</v>
      </c>
      <c r="G52" s="30">
        <f t="shared" si="36"/>
        <v>3.235544719678813E-2</v>
      </c>
      <c r="H52" s="30">
        <f t="shared" si="36"/>
        <v>7.5791005545273977E-5</v>
      </c>
      <c r="I52" s="30">
        <f t="shared" si="36"/>
        <v>1.0905915330590191E-3</v>
      </c>
      <c r="J52" s="30">
        <f t="shared" si="36"/>
        <v>9.7062646442252706E-4</v>
      </c>
      <c r="K52" s="30">
        <f t="shared" si="36"/>
        <v>6.7359504847487548</v>
      </c>
      <c r="L52" s="30">
        <f t="shared" si="36"/>
        <v>3.910320239778145E-4</v>
      </c>
      <c r="M52" s="30">
        <f t="shared" si="36"/>
        <v>3.0737674836948726E-3</v>
      </c>
      <c r="O52"/>
      <c r="P52"/>
      <c r="Q52" s="4"/>
      <c r="R52" s="4"/>
      <c r="S52" s="4"/>
      <c r="T52" s="4"/>
      <c r="U52" s="4"/>
      <c r="V52" s="4"/>
      <c r="W52" s="5"/>
      <c r="X52" s="4"/>
      <c r="Y52" s="4"/>
      <c r="Z52" s="6"/>
      <c r="AA52" s="6"/>
      <c r="AB52" s="6"/>
      <c r="AC52" s="6"/>
      <c r="AD52" s="6"/>
      <c r="AE52" s="6"/>
      <c r="AF52" s="7"/>
    </row>
    <row r="53" spans="1:32" s="3" customFormat="1" x14ac:dyDescent="0.25">
      <c r="A53" s="137" t="str">
        <f t="shared" si="35"/>
        <v>Loader</v>
      </c>
      <c r="B53" s="36"/>
      <c r="C53" s="20"/>
      <c r="D53" s="1"/>
      <c r="E53" s="30">
        <f t="shared" si="36"/>
        <v>7.4277845219652226E-3</v>
      </c>
      <c r="F53" s="30">
        <f t="shared" si="36"/>
        <v>2.9310958393378207E-2</v>
      </c>
      <c r="G53" s="30">
        <f t="shared" si="36"/>
        <v>5.7046789676245185E-2</v>
      </c>
      <c r="H53" s="30">
        <f t="shared" si="36"/>
        <v>1.4750939315676313E-4</v>
      </c>
      <c r="I53" s="30">
        <f t="shared" si="36"/>
        <v>1.9545077806407264E-3</v>
      </c>
      <c r="J53" s="30">
        <f t="shared" si="36"/>
        <v>1.7395119247702465E-3</v>
      </c>
      <c r="K53" s="30">
        <f t="shared" si="36"/>
        <v>13.109944811317643</v>
      </c>
      <c r="L53" s="30">
        <f t="shared" si="36"/>
        <v>7.9363463117003582E-4</v>
      </c>
      <c r="M53" s="30">
        <f t="shared" si="36"/>
        <v>5.419445019243292E-3</v>
      </c>
      <c r="O53"/>
      <c r="P53"/>
      <c r="Q53" s="4"/>
      <c r="R53" s="4"/>
      <c r="S53" s="4"/>
      <c r="T53" s="4"/>
      <c r="U53" s="4"/>
      <c r="V53" s="4"/>
      <c r="W53" s="5"/>
      <c r="X53" s="4"/>
      <c r="Y53" s="4"/>
      <c r="Z53" s="6"/>
      <c r="AA53" s="6"/>
      <c r="AB53" s="6"/>
      <c r="AC53" s="6"/>
      <c r="AD53" s="6"/>
      <c r="AE53" s="6"/>
      <c r="AF53" s="7"/>
    </row>
    <row r="54" spans="1:32" s="3" customFormat="1" x14ac:dyDescent="0.25">
      <c r="A54" s="137" t="str">
        <f t="shared" si="35"/>
        <v>Water Truck</v>
      </c>
      <c r="B54" s="36"/>
      <c r="C54" s="20"/>
      <c r="D54" s="1"/>
      <c r="E54" s="30">
        <f t="shared" si="36"/>
        <v>5.1043849272601098E-3</v>
      </c>
      <c r="F54" s="30">
        <f t="shared" si="36"/>
        <v>1.9424825650812275E-2</v>
      </c>
      <c r="G54" s="30">
        <f t="shared" si="36"/>
        <v>3.4034706345969022E-2</v>
      </c>
      <c r="H54" s="30">
        <f t="shared" si="36"/>
        <v>1.0306564516325784E-4</v>
      </c>
      <c r="I54" s="30">
        <f t="shared" si="36"/>
        <v>1.1523273909095808E-3</v>
      </c>
      <c r="J54" s="30">
        <f t="shared" si="36"/>
        <v>1.0255713779095271E-3</v>
      </c>
      <c r="K54" s="30">
        <f t="shared" si="36"/>
        <v>9.1599952255846251</v>
      </c>
      <c r="L54" s="30">
        <f t="shared" si="36"/>
        <v>5.5023666936600594E-4</v>
      </c>
      <c r="M54" s="30">
        <f t="shared" si="36"/>
        <v>3.2332971028670569E-3</v>
      </c>
      <c r="O54"/>
      <c r="P54"/>
      <c r="Q54" s="4"/>
      <c r="R54" s="4"/>
      <c r="S54" s="4"/>
      <c r="T54" s="4"/>
      <c r="U54" s="4"/>
      <c r="V54" s="4"/>
      <c r="W54" s="5"/>
      <c r="X54" s="4"/>
      <c r="Y54" s="4"/>
      <c r="Z54" s="6"/>
      <c r="AA54" s="6"/>
      <c r="AB54" s="6"/>
      <c r="AC54" s="6"/>
      <c r="AD54" s="6"/>
      <c r="AE54" s="6"/>
      <c r="AF54" s="7"/>
    </row>
    <row r="55" spans="1:32" s="3" customFormat="1" x14ac:dyDescent="0.25">
      <c r="A55" s="137" t="str">
        <f t="shared" si="35"/>
        <v>Dump/Haul Truck</v>
      </c>
      <c r="B55" s="36"/>
      <c r="C55" s="20"/>
      <c r="D55" s="1"/>
      <c r="E55" s="30">
        <f t="shared" si="36"/>
        <v>8.2908677354680289E-3</v>
      </c>
      <c r="F55" s="30">
        <f t="shared" si="36"/>
        <v>3.3025964427543027E-2</v>
      </c>
      <c r="G55" s="30">
        <f t="shared" si="36"/>
        <v>5.472092697894726E-2</v>
      </c>
      <c r="H55" s="30">
        <f t="shared" si="36"/>
        <v>1.6490503226121252E-4</v>
      </c>
      <c r="I55" s="30">
        <f t="shared" si="36"/>
        <v>1.8569936667251707E-3</v>
      </c>
      <c r="J55" s="30">
        <f t="shared" si="36"/>
        <v>1.6527243633854018E-3</v>
      </c>
      <c r="K55" s="30">
        <f t="shared" si="36"/>
        <v>14.655992360935398</v>
      </c>
      <c r="L55" s="30">
        <f t="shared" si="36"/>
        <v>8.8037867098560943E-4</v>
      </c>
      <c r="M55" s="30">
        <f t="shared" si="36"/>
        <v>5.1984880629999891E-3</v>
      </c>
      <c r="O55"/>
      <c r="P55"/>
      <c r="Q55" s="4"/>
      <c r="R55" s="4"/>
      <c r="S55" s="4"/>
      <c r="T55" s="4"/>
      <c r="U55" s="4"/>
      <c r="V55" s="4"/>
      <c r="W55" s="5"/>
      <c r="X55" s="4"/>
      <c r="Y55" s="4"/>
      <c r="Z55" s="6"/>
      <c r="AA55" s="6"/>
      <c r="AB55" s="6"/>
      <c r="AC55" s="6"/>
      <c r="AD55" s="6"/>
      <c r="AE55" s="6"/>
      <c r="AF55" s="7"/>
    </row>
    <row r="56" spans="1:32" s="3" customFormat="1" x14ac:dyDescent="0.25">
      <c r="A56" s="12" t="str">
        <f t="shared" ref="A56" si="37">A13</f>
        <v>Subtotal</v>
      </c>
      <c r="B56" s="36"/>
      <c r="C56" s="20"/>
      <c r="D56" s="1"/>
      <c r="E56" s="24">
        <f t="shared" ref="E56:M56" si="38">SUM(E51:E55)</f>
        <v>2.9839645815110886E-2</v>
      </c>
      <c r="F56" s="24">
        <f t="shared" si="38"/>
        <v>0.11932504351674705</v>
      </c>
      <c r="G56" s="24">
        <f t="shared" si="38"/>
        <v>0.21045906331317674</v>
      </c>
      <c r="H56" s="24">
        <f t="shared" si="38"/>
        <v>5.9221536118009006E-4</v>
      </c>
      <c r="I56" s="24">
        <f t="shared" si="38"/>
        <v>7.2239971882987371E-3</v>
      </c>
      <c r="J56" s="24">
        <f t="shared" si="38"/>
        <v>6.4293574975858763E-3</v>
      </c>
      <c r="K56" s="24">
        <f t="shared" si="38"/>
        <v>53.946238356952243</v>
      </c>
      <c r="L56" s="24">
        <f t="shared" si="38"/>
        <v>3.1771693272536067E-3</v>
      </c>
      <c r="M56" s="24">
        <f t="shared" si="38"/>
        <v>1.9993611014751788E-2</v>
      </c>
      <c r="O56"/>
      <c r="P56"/>
      <c r="Q56" s="4"/>
      <c r="R56" s="4"/>
      <c r="S56" s="4"/>
      <c r="T56" s="4"/>
      <c r="U56" s="4"/>
      <c r="V56" s="4"/>
      <c r="W56" s="5"/>
      <c r="X56" s="4"/>
      <c r="Y56" s="4"/>
      <c r="Z56" s="6"/>
      <c r="AA56" s="6"/>
      <c r="AB56" s="6"/>
      <c r="AC56" s="6"/>
      <c r="AD56" s="6"/>
      <c r="AE56" s="6"/>
      <c r="AF56" s="7"/>
    </row>
    <row r="57" spans="1:32" s="3" customFormat="1" x14ac:dyDescent="0.25">
      <c r="A57" s="137"/>
      <c r="B57" s="36"/>
      <c r="C57" s="20"/>
      <c r="D57" s="1"/>
      <c r="E57" s="30"/>
      <c r="F57" s="30"/>
      <c r="G57" s="30"/>
      <c r="H57" s="30"/>
      <c r="I57" s="30"/>
      <c r="J57" s="30"/>
      <c r="K57" s="30"/>
      <c r="L57" s="30"/>
      <c r="M57" s="30"/>
      <c r="O57"/>
      <c r="P57"/>
      <c r="Q57" s="4"/>
      <c r="R57" s="4"/>
      <c r="S57" s="4"/>
      <c r="T57" s="4"/>
      <c r="U57" s="4"/>
      <c r="V57" s="4"/>
      <c r="W57" s="5"/>
      <c r="X57" s="4"/>
      <c r="Y57" s="4"/>
      <c r="Z57" s="6"/>
      <c r="AA57" s="6"/>
      <c r="AB57" s="6"/>
      <c r="AC57" s="6"/>
      <c r="AD57" s="6"/>
      <c r="AE57" s="6"/>
      <c r="AF57" s="7"/>
    </row>
    <row r="58" spans="1:32" s="3" customFormat="1" x14ac:dyDescent="0.25">
      <c r="A58" s="12" t="str">
        <f t="shared" ref="A58:A65" si="39">A15</f>
        <v>Trans: Rancho San Juan 138/230 kV - Underground Trench/Conduit/Substructure</v>
      </c>
      <c r="B58" s="36"/>
      <c r="C58" s="20"/>
      <c r="D58" s="1"/>
      <c r="E58" s="30"/>
      <c r="F58" s="30"/>
      <c r="G58" s="30"/>
      <c r="H58" s="30"/>
      <c r="I58" s="30"/>
      <c r="J58" s="30"/>
      <c r="K58" s="30"/>
      <c r="L58" s="30"/>
      <c r="M58" s="30"/>
      <c r="O58"/>
      <c r="P58"/>
      <c r="Q58" s="4"/>
      <c r="R58" s="4"/>
      <c r="S58" s="4"/>
      <c r="T58" s="4"/>
      <c r="U58" s="4"/>
      <c r="V58" s="4"/>
      <c r="W58" s="5"/>
      <c r="X58" s="4"/>
      <c r="Y58" s="4"/>
      <c r="Z58" s="6"/>
      <c r="AA58" s="6"/>
      <c r="AB58" s="6"/>
      <c r="AC58" s="6"/>
      <c r="AD58" s="6"/>
      <c r="AE58" s="6"/>
      <c r="AF58" s="7"/>
    </row>
    <row r="59" spans="1:32" s="3" customFormat="1" x14ac:dyDescent="0.25">
      <c r="A59" s="137" t="str">
        <f t="shared" si="39"/>
        <v>Dump Trucks</v>
      </c>
      <c r="B59" s="36"/>
      <c r="C59" s="20"/>
      <c r="D59" s="1"/>
      <c r="E59" s="30">
        <f t="shared" ref="E59:M64" si="40">(Q16*$P16)/2000</f>
        <v>2.4872603206404081E-2</v>
      </c>
      <c r="F59" s="30">
        <f t="shared" si="40"/>
        <v>9.9077893282629073E-2</v>
      </c>
      <c r="G59" s="30">
        <f t="shared" si="40"/>
        <v>0.16416278093684178</v>
      </c>
      <c r="H59" s="30">
        <f t="shared" si="40"/>
        <v>4.9471509678363759E-4</v>
      </c>
      <c r="I59" s="30">
        <f t="shared" si="40"/>
        <v>5.5709810001755115E-3</v>
      </c>
      <c r="J59" s="30">
        <f t="shared" si="40"/>
        <v>4.9581730901562052E-3</v>
      </c>
      <c r="K59" s="30">
        <f t="shared" si="40"/>
        <v>43.967977082806193</v>
      </c>
      <c r="L59" s="30">
        <f t="shared" si="40"/>
        <v>2.6411360129568284E-3</v>
      </c>
      <c r="M59" s="30">
        <f t="shared" si="40"/>
        <v>1.5595464188999968E-2</v>
      </c>
      <c r="O59"/>
      <c r="P59"/>
      <c r="Q59" s="4"/>
      <c r="R59" s="4"/>
      <c r="S59" s="4"/>
      <c r="T59" s="4"/>
      <c r="U59" s="4"/>
      <c r="V59" s="4"/>
      <c r="W59" s="5"/>
      <c r="X59" s="4"/>
      <c r="Y59" s="4"/>
      <c r="Z59" s="6"/>
      <c r="AA59" s="6"/>
      <c r="AB59" s="6"/>
      <c r="AC59" s="6"/>
      <c r="AD59" s="6"/>
      <c r="AE59" s="6"/>
      <c r="AF59" s="7"/>
    </row>
    <row r="60" spans="1:32" s="3" customFormat="1" x14ac:dyDescent="0.25">
      <c r="A60" s="137" t="str">
        <f t="shared" si="39"/>
        <v>Crane</v>
      </c>
      <c r="B60" s="36"/>
      <c r="C60" s="20"/>
      <c r="D60" s="1"/>
      <c r="E60" s="30">
        <f t="shared" si="40"/>
        <v>7.1349261411528635E-3</v>
      </c>
      <c r="F60" s="30">
        <f t="shared" si="40"/>
        <v>2.9808988242342824E-2</v>
      </c>
      <c r="G60" s="30">
        <f t="shared" si="40"/>
        <v>5.2245376243698897E-2</v>
      </c>
      <c r="H60" s="30">
        <f t="shared" si="40"/>
        <v>1.1667169078981871E-4</v>
      </c>
      <c r="I60" s="30">
        <f t="shared" si="40"/>
        <v>1.9038468641851506E-3</v>
      </c>
      <c r="J60" s="30">
        <f t="shared" si="40"/>
        <v>1.6944237091247841E-3</v>
      </c>
      <c r="K60" s="30">
        <f t="shared" si="40"/>
        <v>11.886684207519396</v>
      </c>
      <c r="L60" s="30">
        <f t="shared" si="40"/>
        <v>7.5154773405905755E-4</v>
      </c>
      <c r="M60" s="30">
        <f t="shared" si="40"/>
        <v>4.9633107431513949E-3</v>
      </c>
      <c r="O60"/>
      <c r="P60"/>
      <c r="Q60" s="4"/>
      <c r="R60" s="4"/>
      <c r="S60" s="4"/>
      <c r="T60" s="4"/>
      <c r="U60" s="4"/>
      <c r="V60" s="4"/>
      <c r="W60" s="5"/>
      <c r="X60" s="4"/>
      <c r="Y60" s="4"/>
      <c r="Z60" s="6"/>
      <c r="AA60" s="6"/>
      <c r="AB60" s="6"/>
      <c r="AC60" s="6"/>
      <c r="AD60" s="6"/>
      <c r="AE60" s="6"/>
      <c r="AF60" s="7"/>
    </row>
    <row r="61" spans="1:32" s="3" customFormat="1" x14ac:dyDescent="0.25">
      <c r="A61" s="137" t="str">
        <f t="shared" si="39"/>
        <v>Excavator</v>
      </c>
      <c r="B61" s="36"/>
      <c r="C61" s="20"/>
      <c r="D61" s="1"/>
      <c r="E61" s="30">
        <f t="shared" si="40"/>
        <v>6.3498507294586476E-2</v>
      </c>
      <c r="F61" s="30">
        <f t="shared" si="40"/>
        <v>0.25952315425786621</v>
      </c>
      <c r="G61" s="30">
        <f t="shared" si="40"/>
        <v>0.3876143173827255</v>
      </c>
      <c r="H61" s="30">
        <f t="shared" si="40"/>
        <v>1.2113314206429917E-3</v>
      </c>
      <c r="I61" s="30">
        <f t="shared" si="40"/>
        <v>1.4034921803570882E-2</v>
      </c>
      <c r="J61" s="30">
        <f t="shared" si="40"/>
        <v>1.2491080405178084E-2</v>
      </c>
      <c r="K61" s="30">
        <f t="shared" si="40"/>
        <v>123.41226569238984</v>
      </c>
      <c r="L61" s="30">
        <f t="shared" si="40"/>
        <v>6.7426479810496903E-3</v>
      </c>
      <c r="M61" s="30">
        <f t="shared" si="40"/>
        <v>3.6823360151358925E-2</v>
      </c>
      <c r="O61"/>
      <c r="P61"/>
      <c r="Q61" s="4"/>
      <c r="R61" s="4"/>
      <c r="S61" s="4"/>
      <c r="T61" s="4"/>
      <c r="U61" s="4"/>
      <c r="V61" s="4"/>
      <c r="W61" s="5"/>
      <c r="X61" s="4"/>
      <c r="Y61" s="4"/>
      <c r="Z61" s="6"/>
      <c r="AA61" s="6"/>
      <c r="AB61" s="6"/>
      <c r="AC61" s="6"/>
      <c r="AD61" s="6"/>
      <c r="AE61" s="6"/>
      <c r="AF61" s="7"/>
    </row>
    <row r="62" spans="1:32" s="3" customFormat="1" x14ac:dyDescent="0.25">
      <c r="A62" s="137" t="str">
        <f t="shared" si="39"/>
        <v>CAT 416 Rubber Tire Backhoe</v>
      </c>
      <c r="B62" s="36"/>
      <c r="C62" s="20"/>
      <c r="D62" s="1"/>
      <c r="E62" s="30">
        <f t="shared" si="40"/>
        <v>3.1160572651741554E-2</v>
      </c>
      <c r="F62" s="30">
        <f t="shared" si="40"/>
        <v>0.19692554930108744</v>
      </c>
      <c r="G62" s="30">
        <f t="shared" si="40"/>
        <v>0.19050696996788583</v>
      </c>
      <c r="H62" s="30">
        <f t="shared" si="40"/>
        <v>3.6489324819660029E-4</v>
      </c>
      <c r="I62" s="30">
        <f t="shared" si="40"/>
        <v>1.4704994409222186E-2</v>
      </c>
      <c r="J62" s="30">
        <f t="shared" si="40"/>
        <v>1.3087445024207747E-2</v>
      </c>
      <c r="K62" s="30">
        <f t="shared" si="40"/>
        <v>31.106335809830384</v>
      </c>
      <c r="L62" s="30">
        <f t="shared" si="40"/>
        <v>3.4019755760656949E-3</v>
      </c>
      <c r="M62" s="30">
        <f t="shared" si="40"/>
        <v>1.8098162146949159E-2</v>
      </c>
      <c r="O62"/>
      <c r="P62"/>
      <c r="Q62" s="4"/>
      <c r="R62" s="4"/>
      <c r="S62" s="4"/>
      <c r="T62" s="4"/>
      <c r="U62" s="4"/>
      <c r="V62" s="4"/>
      <c r="W62" s="5"/>
      <c r="X62" s="4"/>
      <c r="Y62" s="4"/>
      <c r="Z62" s="6"/>
      <c r="AA62" s="6"/>
      <c r="AB62" s="6"/>
      <c r="AC62" s="6"/>
      <c r="AD62" s="6"/>
      <c r="AE62" s="6"/>
      <c r="AF62" s="7"/>
    </row>
    <row r="63" spans="1:32" s="3" customFormat="1" x14ac:dyDescent="0.25">
      <c r="A63" s="137" t="str">
        <f t="shared" si="39"/>
        <v>Concrete Trucks</v>
      </c>
      <c r="B63" s="36"/>
      <c r="C63" s="20"/>
      <c r="D63" s="1"/>
      <c r="E63" s="30">
        <f t="shared" si="40"/>
        <v>1.2436301603202041E-2</v>
      </c>
      <c r="F63" s="30">
        <f t="shared" si="40"/>
        <v>4.9538946641314537E-2</v>
      </c>
      <c r="G63" s="30">
        <f t="shared" si="40"/>
        <v>8.2081390468420889E-2</v>
      </c>
      <c r="H63" s="30">
        <f t="shared" si="40"/>
        <v>2.473575483918188E-4</v>
      </c>
      <c r="I63" s="30">
        <f t="shared" si="40"/>
        <v>2.7854905000877558E-3</v>
      </c>
      <c r="J63" s="30">
        <f t="shared" si="40"/>
        <v>2.4790865450781026E-3</v>
      </c>
      <c r="K63" s="30">
        <f t="shared" si="40"/>
        <v>21.983988541403097</v>
      </c>
      <c r="L63" s="30">
        <f t="shared" si="40"/>
        <v>1.3205680064784142E-3</v>
      </c>
      <c r="M63" s="30">
        <f t="shared" si="40"/>
        <v>7.7977320944999842E-3</v>
      </c>
      <c r="O63"/>
      <c r="P63"/>
      <c r="Q63" s="4"/>
      <c r="R63" s="4"/>
      <c r="S63" s="4"/>
      <c r="T63" s="4"/>
      <c r="U63" s="4"/>
      <c r="V63" s="4"/>
      <c r="W63" s="5"/>
      <c r="X63" s="4"/>
      <c r="Y63" s="4"/>
      <c r="Z63" s="6"/>
      <c r="AA63" s="6"/>
      <c r="AB63" s="6"/>
      <c r="AC63" s="6"/>
      <c r="AD63" s="6"/>
      <c r="AE63" s="6"/>
      <c r="AF63" s="7"/>
    </row>
    <row r="64" spans="1:32" s="3" customFormat="1" x14ac:dyDescent="0.25">
      <c r="A64" s="137" t="str">
        <f t="shared" si="39"/>
        <v>Compactor</v>
      </c>
      <c r="B64" s="36"/>
      <c r="C64" s="20"/>
      <c r="D64" s="1"/>
      <c r="E64" s="30">
        <f t="shared" si="40"/>
        <v>5.5875995338029814E-3</v>
      </c>
      <c r="F64" s="30">
        <f t="shared" si="40"/>
        <v>2.3904548285287049E-2</v>
      </c>
      <c r="G64" s="30">
        <f t="shared" si="40"/>
        <v>4.8533170795182191E-2</v>
      </c>
      <c r="H64" s="30">
        <f t="shared" si="40"/>
        <v>1.1368650831791097E-4</v>
      </c>
      <c r="I64" s="30">
        <f t="shared" si="40"/>
        <v>1.6358872995885288E-3</v>
      </c>
      <c r="J64" s="30">
        <f t="shared" si="40"/>
        <v>1.4559396966337904E-3</v>
      </c>
      <c r="K64" s="30">
        <f t="shared" si="40"/>
        <v>10.103925727123134</v>
      </c>
      <c r="L64" s="30">
        <f t="shared" si="40"/>
        <v>5.8654803596672178E-4</v>
      </c>
      <c r="M64" s="30">
        <f t="shared" si="40"/>
        <v>4.6106512255423091E-3</v>
      </c>
      <c r="O64"/>
      <c r="P64"/>
      <c r="Q64" s="4"/>
      <c r="R64" s="4"/>
      <c r="S64" s="4"/>
      <c r="T64" s="4"/>
      <c r="U64" s="4"/>
      <c r="V64" s="4"/>
      <c r="W64" s="5"/>
      <c r="X64" s="4"/>
      <c r="Y64" s="4"/>
      <c r="Z64" s="6"/>
      <c r="AA64" s="6"/>
      <c r="AB64" s="6"/>
      <c r="AC64" s="6"/>
      <c r="AD64" s="6"/>
      <c r="AE64" s="6"/>
      <c r="AF64" s="7"/>
    </row>
    <row r="65" spans="1:32" s="3" customFormat="1" x14ac:dyDescent="0.25">
      <c r="A65" s="12" t="str">
        <f t="shared" si="39"/>
        <v>Subtotal</v>
      </c>
      <c r="B65" s="36"/>
      <c r="C65" s="20"/>
      <c r="D65" s="1"/>
      <c r="E65" s="24">
        <f t="shared" ref="E65:M65" si="41">SUM(E59:E64)</f>
        <v>0.14469051043089001</v>
      </c>
      <c r="F65" s="24">
        <f t="shared" si="41"/>
        <v>0.65877908001052721</v>
      </c>
      <c r="G65" s="24">
        <f t="shared" si="41"/>
        <v>0.92514400579475509</v>
      </c>
      <c r="H65" s="24">
        <f t="shared" si="41"/>
        <v>2.5486555131227777E-3</v>
      </c>
      <c r="I65" s="24">
        <f t="shared" si="41"/>
        <v>4.0636121876830023E-2</v>
      </c>
      <c r="J65" s="24">
        <f t="shared" si="41"/>
        <v>3.616614847037871E-2</v>
      </c>
      <c r="K65" s="24">
        <f t="shared" si="41"/>
        <v>242.46117706107205</v>
      </c>
      <c r="L65" s="24">
        <f t="shared" si="41"/>
        <v>1.5444423346576407E-2</v>
      </c>
      <c r="M65" s="24">
        <f t="shared" si="41"/>
        <v>8.7888680550501738E-2</v>
      </c>
      <c r="O65"/>
      <c r="P65"/>
      <c r="Q65" s="4"/>
      <c r="R65" s="4"/>
      <c r="S65" s="4"/>
      <c r="T65" s="4"/>
      <c r="U65" s="4"/>
      <c r="V65" s="4"/>
      <c r="W65" s="5"/>
      <c r="X65" s="4"/>
      <c r="Y65" s="4"/>
      <c r="Z65" s="6"/>
      <c r="AA65" s="6"/>
      <c r="AB65" s="6"/>
      <c r="AC65" s="6"/>
      <c r="AD65" s="6"/>
      <c r="AE65" s="6"/>
      <c r="AF65" s="7"/>
    </row>
    <row r="66" spans="1:32" s="3" customFormat="1" x14ac:dyDescent="0.25">
      <c r="A66" s="137"/>
      <c r="B66" s="36"/>
      <c r="C66" s="20"/>
      <c r="D66" s="1"/>
      <c r="E66" s="30"/>
      <c r="F66" s="30"/>
      <c r="G66" s="30"/>
      <c r="H66" s="30"/>
      <c r="I66" s="30"/>
      <c r="J66" s="30"/>
      <c r="K66" s="30"/>
      <c r="L66" s="30"/>
      <c r="M66" s="30"/>
      <c r="O66"/>
      <c r="P66"/>
      <c r="Q66" s="4"/>
      <c r="R66" s="4"/>
      <c r="S66" s="4"/>
      <c r="T66" s="4"/>
      <c r="U66" s="4"/>
      <c r="V66" s="4"/>
      <c r="W66" s="5"/>
      <c r="X66" s="4"/>
      <c r="Y66" s="4"/>
      <c r="Z66" s="6"/>
      <c r="AA66" s="6"/>
      <c r="AB66" s="6"/>
      <c r="AC66" s="6"/>
      <c r="AD66" s="6"/>
      <c r="AE66" s="6"/>
      <c r="AF66" s="7"/>
    </row>
    <row r="67" spans="1:32" s="3" customFormat="1" x14ac:dyDescent="0.25">
      <c r="A67" s="12" t="str">
        <f t="shared" ref="A67:A72" si="42">A24</f>
        <v>Trans: Rancho San Juan 138/230 kV - Steel Structure Installations</v>
      </c>
      <c r="B67" s="36"/>
      <c r="C67" s="20"/>
      <c r="D67" s="1"/>
      <c r="E67" s="30"/>
      <c r="F67" s="30"/>
      <c r="G67" s="30"/>
      <c r="H67" s="30"/>
      <c r="I67" s="30"/>
      <c r="J67" s="30"/>
      <c r="K67" s="30"/>
      <c r="L67" s="30"/>
      <c r="M67" s="30"/>
      <c r="O67"/>
      <c r="P67"/>
      <c r="Q67" s="4"/>
      <c r="R67" s="4"/>
      <c r="S67" s="4"/>
      <c r="T67" s="4"/>
      <c r="U67" s="4"/>
      <c r="V67" s="4"/>
      <c r="W67" s="5"/>
      <c r="X67" s="4"/>
      <c r="Y67" s="4"/>
      <c r="Z67" s="6"/>
      <c r="AA67" s="6"/>
      <c r="AB67" s="6"/>
      <c r="AC67" s="6"/>
      <c r="AD67" s="6"/>
      <c r="AE67" s="6"/>
      <c r="AF67" s="7"/>
    </row>
    <row r="68" spans="1:32" s="3" customFormat="1" x14ac:dyDescent="0.25">
      <c r="A68" s="137" t="str">
        <f t="shared" si="42"/>
        <v>2-ton Flatbed Truck</v>
      </c>
      <c r="B68" s="36"/>
      <c r="C68" s="20"/>
      <c r="D68" s="1"/>
      <c r="E68" s="30">
        <f t="shared" ref="E68:M71" si="43">(Q25*$P25)/2000</f>
        <v>2.0727169338670072E-3</v>
      </c>
      <c r="F68" s="30">
        <f t="shared" si="43"/>
        <v>8.2564911068857567E-3</v>
      </c>
      <c r="G68" s="30">
        <f t="shared" si="43"/>
        <v>1.3680231744736815E-2</v>
      </c>
      <c r="H68" s="30">
        <f t="shared" si="43"/>
        <v>4.122625806530313E-5</v>
      </c>
      <c r="I68" s="30">
        <f t="shared" si="43"/>
        <v>4.6424841668129266E-4</v>
      </c>
      <c r="J68" s="30">
        <f t="shared" si="43"/>
        <v>4.1318109084635045E-4</v>
      </c>
      <c r="K68" s="30">
        <f t="shared" si="43"/>
        <v>3.6639980902338496</v>
      </c>
      <c r="L68" s="30">
        <f t="shared" si="43"/>
        <v>2.2009466774640236E-4</v>
      </c>
      <c r="M68" s="30">
        <f t="shared" si="43"/>
        <v>1.2996220157499973E-3</v>
      </c>
      <c r="O68"/>
      <c r="P68"/>
      <c r="Q68" s="4"/>
      <c r="R68" s="4"/>
      <c r="S68" s="4"/>
      <c r="T68" s="4"/>
      <c r="U68" s="4"/>
      <c r="V68" s="4"/>
      <c r="W68" s="5"/>
      <c r="X68" s="4"/>
      <c r="Y68" s="4"/>
      <c r="Z68" s="6"/>
      <c r="AA68" s="6"/>
      <c r="AB68" s="6"/>
      <c r="AC68" s="6"/>
      <c r="AD68" s="6"/>
      <c r="AE68" s="6"/>
      <c r="AF68" s="7"/>
    </row>
    <row r="69" spans="1:32" s="3" customFormat="1" x14ac:dyDescent="0.25">
      <c r="A69" s="137" t="str">
        <f t="shared" si="42"/>
        <v>Crane</v>
      </c>
      <c r="B69" s="36"/>
      <c r="C69" s="20"/>
      <c r="D69" s="1"/>
      <c r="E69" s="30">
        <f t="shared" si="43"/>
        <v>9.5132348548704858E-3</v>
      </c>
      <c r="F69" s="30">
        <f t="shared" si="43"/>
        <v>3.9745317656457106E-2</v>
      </c>
      <c r="G69" s="30">
        <f t="shared" si="43"/>
        <v>6.9660501658265192E-2</v>
      </c>
      <c r="H69" s="30">
        <f t="shared" si="43"/>
        <v>1.5556225438642494E-4</v>
      </c>
      <c r="I69" s="30">
        <f t="shared" si="43"/>
        <v>2.5384624855802006E-3</v>
      </c>
      <c r="J69" s="30">
        <f t="shared" si="43"/>
        <v>2.2592316121663788E-3</v>
      </c>
      <c r="K69" s="30">
        <f t="shared" si="43"/>
        <v>15.848912276692529</v>
      </c>
      <c r="L69" s="30">
        <f t="shared" si="43"/>
        <v>1.0020636454120765E-3</v>
      </c>
      <c r="M69" s="30">
        <f t="shared" si="43"/>
        <v>6.6177476575351932E-3</v>
      </c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42"/>
        <v>Manlift</v>
      </c>
      <c r="B70" s="36"/>
      <c r="C70" s="20"/>
      <c r="D70" s="1"/>
      <c r="E70" s="30">
        <f t="shared" si="43"/>
        <v>2.7186680388902721E-3</v>
      </c>
      <c r="F70" s="30">
        <f t="shared" si="43"/>
        <v>1.978437238893066E-2</v>
      </c>
      <c r="G70" s="30">
        <f t="shared" si="43"/>
        <v>1.989115632383746E-2</v>
      </c>
      <c r="H70" s="30">
        <f t="shared" si="43"/>
        <v>3.9300968140915397E-5</v>
      </c>
      <c r="I70" s="30">
        <f t="shared" si="43"/>
        <v>1.3772193832713344E-3</v>
      </c>
      <c r="J70" s="30">
        <f t="shared" si="43"/>
        <v>1.2257252511114875E-3</v>
      </c>
      <c r="K70" s="30">
        <f t="shared" si="43"/>
        <v>3.3503201449787565</v>
      </c>
      <c r="L70" s="30">
        <f t="shared" si="43"/>
        <v>2.9238190033895587E-4</v>
      </c>
      <c r="M70" s="30">
        <f t="shared" si="43"/>
        <v>1.8896598507645588E-3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42"/>
        <v>Air Compressor</v>
      </c>
      <c r="B71" s="36"/>
      <c r="C71" s="20"/>
      <c r="D71" s="1"/>
      <c r="E71" s="30">
        <f t="shared" si="43"/>
        <v>6.2376579907238361E-3</v>
      </c>
      <c r="F71" s="30">
        <f t="shared" si="43"/>
        <v>3.4065942604923301E-2</v>
      </c>
      <c r="G71" s="30">
        <f t="shared" si="43"/>
        <v>2.9373373165816532E-2</v>
      </c>
      <c r="H71" s="30">
        <f t="shared" si="43"/>
        <v>3.8004361143173212E-5</v>
      </c>
      <c r="I71" s="30">
        <f t="shared" si="43"/>
        <v>1.6100304422353555E-3</v>
      </c>
      <c r="J71" s="30">
        <f t="shared" si="43"/>
        <v>1.4329270935894665E-3</v>
      </c>
      <c r="K71" s="30">
        <f t="shared" si="43"/>
        <v>2.9398067806283255</v>
      </c>
      <c r="L71" s="30">
        <f t="shared" si="43"/>
        <v>7.0351718027275687E-4</v>
      </c>
      <c r="M71" s="30">
        <f t="shared" si="43"/>
        <v>2.7904704507525704E-3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2" t="str">
        <f t="shared" si="42"/>
        <v>Subtotal</v>
      </c>
      <c r="B72" s="36"/>
      <c r="C72" s="20"/>
      <c r="D72" s="1"/>
      <c r="E72" s="24">
        <f>SUM(E68:E71)</f>
        <v>2.0542277818351599E-2</v>
      </c>
      <c r="F72" s="24">
        <f t="shared" ref="F72:M72" si="44">SUM(F68:F71)</f>
        <v>0.10185212375719682</v>
      </c>
      <c r="G72" s="24">
        <f t="shared" si="44"/>
        <v>0.13260526289265601</v>
      </c>
      <c r="H72" s="24">
        <f t="shared" si="44"/>
        <v>2.7409384173581667E-4</v>
      </c>
      <c r="I72" s="24">
        <f t="shared" si="44"/>
        <v>5.9899607277681833E-3</v>
      </c>
      <c r="J72" s="24">
        <f t="shared" si="44"/>
        <v>5.3310650477136831E-3</v>
      </c>
      <c r="K72" s="24">
        <f t="shared" si="44"/>
        <v>25.80303729253346</v>
      </c>
      <c r="L72" s="24">
        <f t="shared" si="44"/>
        <v>2.2180573937701916E-3</v>
      </c>
      <c r="M72" s="24">
        <f t="shared" si="44"/>
        <v>1.259749997480232E-2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2" t="s">
        <v>639</v>
      </c>
      <c r="B73" s="36"/>
      <c r="C73" s="20"/>
      <c r="D73" s="1"/>
      <c r="E73" s="24">
        <f>E56+E65+E72</f>
        <v>0.19507243406435251</v>
      </c>
      <c r="F73" s="24">
        <f t="shared" ref="F73:M73" si="45">F56+F65+F72</f>
        <v>0.87995624728447108</v>
      </c>
      <c r="G73" s="24">
        <f t="shared" si="45"/>
        <v>1.2682083320005877</v>
      </c>
      <c r="H73" s="24">
        <f t="shared" si="45"/>
        <v>3.4149647160386844E-3</v>
      </c>
      <c r="I73" s="24">
        <f t="shared" si="45"/>
        <v>5.3850079792896938E-2</v>
      </c>
      <c r="J73" s="24">
        <f t="shared" si="45"/>
        <v>4.7926571015678272E-2</v>
      </c>
      <c r="K73" s="24">
        <f t="shared" si="45"/>
        <v>322.21045271055777</v>
      </c>
      <c r="L73" s="24">
        <f t="shared" si="45"/>
        <v>2.0839650067600204E-2</v>
      </c>
      <c r="M73" s="24">
        <f t="shared" si="45"/>
        <v>0.12047979154005585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37"/>
      <c r="B74" s="36"/>
      <c r="C74" s="20"/>
      <c r="D74" s="1"/>
      <c r="E74" s="30"/>
      <c r="F74" s="30"/>
      <c r="G74" s="30"/>
      <c r="H74" s="30"/>
      <c r="I74" s="30"/>
      <c r="J74" s="30"/>
      <c r="K74" s="30"/>
      <c r="L74" s="30"/>
      <c r="M74" s="30"/>
      <c r="O74" s="572"/>
      <c r="P74" s="572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2" t="str">
        <f t="shared" ref="A75:A80" si="46">A32</f>
        <v>Trans: Rancho San Juan 138/230 kV - Cable/Conductor Pulling and Tensioning</v>
      </c>
      <c r="B75" s="36"/>
      <c r="C75" s="20"/>
      <c r="D75" s="1"/>
      <c r="E75" s="30"/>
      <c r="F75" s="30"/>
      <c r="G75" s="30"/>
      <c r="H75" s="30"/>
      <c r="I75" s="30"/>
      <c r="J75" s="30"/>
      <c r="K75" s="30"/>
      <c r="L75" s="30"/>
      <c r="M75" s="30"/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37" t="str">
        <f t="shared" si="46"/>
        <v>Manlift</v>
      </c>
      <c r="B76" s="36"/>
      <c r="C76" s="20"/>
      <c r="D76" s="1"/>
      <c r="E76" s="30">
        <f t="shared" ref="E76:M79" si="47">(Q33*$P33)/2000</f>
        <v>1.9826170077847899E-2</v>
      </c>
      <c r="F76" s="30">
        <f t="shared" si="47"/>
        <v>0.17363220265551699</v>
      </c>
      <c r="G76" s="30">
        <f t="shared" si="47"/>
        <v>0.14587321809784329</v>
      </c>
      <c r="H76" s="30">
        <f t="shared" si="47"/>
        <v>3.5370876444395204E-4</v>
      </c>
      <c r="I76" s="30">
        <f t="shared" si="47"/>
        <v>9.580092525070685E-3</v>
      </c>
      <c r="J76" s="30">
        <f t="shared" si="47"/>
        <v>8.5262823473129089E-3</v>
      </c>
      <c r="K76" s="30">
        <f t="shared" si="47"/>
        <v>30.152889521793917</v>
      </c>
      <c r="L76" s="30">
        <f t="shared" si="47"/>
        <v>2.3357776140794403E-3</v>
      </c>
      <c r="M76" s="30">
        <f t="shared" si="47"/>
        <v>1.3857955719295113E-2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37" t="str">
        <f t="shared" si="46"/>
        <v>Puller and Tensioner</v>
      </c>
      <c r="B77" s="36"/>
      <c r="C77" s="20"/>
      <c r="D77" s="1"/>
      <c r="E77" s="30">
        <f t="shared" si="47"/>
        <v>2.3819612762138394E-2</v>
      </c>
      <c r="F77" s="30">
        <f t="shared" si="47"/>
        <v>0.13605138194641148</v>
      </c>
      <c r="G77" s="30">
        <f t="shared" si="47"/>
        <v>0.15450923032927916</v>
      </c>
      <c r="H77" s="30">
        <f t="shared" si="47"/>
        <v>6.5879454039341609E-4</v>
      </c>
      <c r="I77" s="30">
        <f t="shared" si="47"/>
        <v>5.4179479259699572E-3</v>
      </c>
      <c r="J77" s="30">
        <f t="shared" si="47"/>
        <v>4.8219736541132612E-3</v>
      </c>
      <c r="K77" s="30">
        <f t="shared" si="47"/>
        <v>67.118956367547113</v>
      </c>
      <c r="L77" s="30">
        <f t="shared" si="47"/>
        <v>2.6732885125285112E-3</v>
      </c>
      <c r="M77" s="30">
        <f t="shared" si="47"/>
        <v>1.4678376881281518E-2</v>
      </c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37" t="str">
        <f t="shared" si="46"/>
        <v>Reel Trailer</v>
      </c>
      <c r="B78" s="36"/>
      <c r="C78" s="20"/>
      <c r="D78" s="1"/>
      <c r="E78" s="30">
        <f t="shared" si="47"/>
        <v>2.3819612762138394E-2</v>
      </c>
      <c r="F78" s="30">
        <f t="shared" si="47"/>
        <v>0.13605138194641148</v>
      </c>
      <c r="G78" s="30">
        <f t="shared" si="47"/>
        <v>0.15450923032927916</v>
      </c>
      <c r="H78" s="30">
        <f t="shared" si="47"/>
        <v>6.5879454039341609E-4</v>
      </c>
      <c r="I78" s="30">
        <f t="shared" si="47"/>
        <v>5.4179479259699572E-3</v>
      </c>
      <c r="J78" s="30">
        <f t="shared" si="47"/>
        <v>4.8219736541132612E-3</v>
      </c>
      <c r="K78" s="30">
        <f t="shared" si="47"/>
        <v>67.118956367547113</v>
      </c>
      <c r="L78" s="30">
        <f t="shared" si="47"/>
        <v>2.6732885125285112E-3</v>
      </c>
      <c r="M78" s="30">
        <f t="shared" si="47"/>
        <v>1.4678376881281518E-2</v>
      </c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46"/>
        <v>Splice Trailer</v>
      </c>
      <c r="B79" s="36"/>
      <c r="C79" s="20"/>
      <c r="D79" s="1"/>
      <c r="E79" s="30">
        <f t="shared" si="47"/>
        <v>2.3819612762138394E-2</v>
      </c>
      <c r="F79" s="30">
        <f t="shared" si="47"/>
        <v>0.13605138194641148</v>
      </c>
      <c r="G79" s="30">
        <f t="shared" si="47"/>
        <v>0.15450923032927916</v>
      </c>
      <c r="H79" s="30">
        <f t="shared" si="47"/>
        <v>6.5879454039341609E-4</v>
      </c>
      <c r="I79" s="30">
        <f t="shared" si="47"/>
        <v>5.4179479259699572E-3</v>
      </c>
      <c r="J79" s="30">
        <f t="shared" si="47"/>
        <v>4.8219736541132612E-3</v>
      </c>
      <c r="K79" s="30">
        <f t="shared" si="47"/>
        <v>67.118956367547113</v>
      </c>
      <c r="L79" s="30">
        <f t="shared" si="47"/>
        <v>2.6732885125285112E-3</v>
      </c>
      <c r="M79" s="30">
        <f t="shared" si="47"/>
        <v>1.4678376881281518E-2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2" t="str">
        <f t="shared" si="46"/>
        <v>Subtotal</v>
      </c>
      <c r="B80" s="36"/>
      <c r="C80" s="20"/>
      <c r="D80" s="1"/>
      <c r="E80" s="24">
        <f>SUM(E76:E79)</f>
        <v>9.1285008364263093E-2</v>
      </c>
      <c r="F80" s="24">
        <f t="shared" ref="F80:M80" si="48">SUM(F76:F79)</f>
        <v>0.58178634849475142</v>
      </c>
      <c r="G80" s="24">
        <f t="shared" si="48"/>
        <v>0.60940090908568079</v>
      </c>
      <c r="H80" s="24">
        <f t="shared" si="48"/>
        <v>2.3300923856242003E-3</v>
      </c>
      <c r="I80" s="24">
        <f t="shared" si="48"/>
        <v>2.5833936302980556E-2</v>
      </c>
      <c r="J80" s="24">
        <f t="shared" si="48"/>
        <v>2.2992203309652692E-2</v>
      </c>
      <c r="K80" s="24">
        <f t="shared" si="48"/>
        <v>231.50975862443528</v>
      </c>
      <c r="L80" s="24">
        <f t="shared" si="48"/>
        <v>1.0355643151664973E-2</v>
      </c>
      <c r="M80" s="24">
        <f t="shared" si="48"/>
        <v>5.7893086363139667E-2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37"/>
      <c r="B81" s="36"/>
      <c r="C81" s="20"/>
      <c r="D81" s="1"/>
      <c r="E81" s="30"/>
      <c r="F81" s="30"/>
      <c r="G81" s="30"/>
      <c r="H81" s="30"/>
      <c r="I81" s="30"/>
      <c r="J81" s="30"/>
      <c r="K81" s="30"/>
      <c r="L81" s="30"/>
      <c r="M81" s="30"/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2" t="str">
        <f t="shared" ref="A82:A89" si="49">A39</f>
        <v>Trans: Rancho San Juan 138/230 kV - Removal of Structures</v>
      </c>
      <c r="B82" s="36"/>
      <c r="C82" s="20"/>
      <c r="D82" s="1"/>
      <c r="E82" s="30"/>
      <c r="F82" s="30"/>
      <c r="G82" s="30"/>
      <c r="H82" s="30"/>
      <c r="I82" s="30"/>
      <c r="J82" s="30"/>
      <c r="K82" s="30"/>
      <c r="L82" s="30"/>
      <c r="M82" s="30"/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 t="str">
        <f t="shared" si="49"/>
        <v>2-ton Flatbed Truck</v>
      </c>
      <c r="B83" s="36"/>
      <c r="C83" s="20"/>
      <c r="D83" s="1"/>
      <c r="E83" s="30">
        <f t="shared" ref="E83:M88" si="50">(Q40*$P40)/2000</f>
        <v>1.7862293036821834E-3</v>
      </c>
      <c r="F83" s="30">
        <f t="shared" si="50"/>
        <v>8.3587240294650117E-3</v>
      </c>
      <c r="G83" s="30">
        <f t="shared" si="50"/>
        <v>1.0646786848530371E-2</v>
      </c>
      <c r="H83" s="30">
        <f t="shared" si="50"/>
        <v>4.1226282465404231E-5</v>
      </c>
      <c r="I83" s="30">
        <f t="shared" si="50"/>
        <v>3.6664231095449E-4</v>
      </c>
      <c r="J83" s="30">
        <f t="shared" si="50"/>
        <v>3.2631165674949612E-4</v>
      </c>
      <c r="K83" s="30">
        <f t="shared" si="50"/>
        <v>3.6639995435074875</v>
      </c>
      <c r="L83" s="30">
        <f t="shared" si="50"/>
        <v>2.0679339831701236E-4</v>
      </c>
      <c r="M83" s="30">
        <f t="shared" si="50"/>
        <v>1.0114447506103855E-3</v>
      </c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37" t="str">
        <f t="shared" si="49"/>
        <v>Manlift</v>
      </c>
      <c r="B84" s="36"/>
      <c r="C84" s="20"/>
      <c r="D84" s="1"/>
      <c r="E84" s="30">
        <f t="shared" si="50"/>
        <v>2.2029077864275442E-3</v>
      </c>
      <c r="F84" s="30">
        <f t="shared" si="50"/>
        <v>1.9292466961724108E-2</v>
      </c>
      <c r="G84" s="30">
        <f t="shared" si="50"/>
        <v>1.6208135344204809E-2</v>
      </c>
      <c r="H84" s="30">
        <f t="shared" si="50"/>
        <v>3.9300973827105787E-5</v>
      </c>
      <c r="I84" s="30">
        <f t="shared" si="50"/>
        <v>1.0644547250078537E-3</v>
      </c>
      <c r="J84" s="30">
        <f t="shared" si="50"/>
        <v>9.4736470525698998E-4</v>
      </c>
      <c r="K84" s="30">
        <f t="shared" si="50"/>
        <v>3.3503210579771019</v>
      </c>
      <c r="L84" s="30">
        <f t="shared" si="50"/>
        <v>2.5953084600882669E-4</v>
      </c>
      <c r="M84" s="30">
        <f t="shared" si="50"/>
        <v>1.5397728576994568E-3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 t="shared" si="49"/>
        <v>Excavator</v>
      </c>
      <c r="B85" s="36"/>
      <c r="C85" s="20"/>
      <c r="D85" s="1"/>
      <c r="E85" s="30">
        <f t="shared" si="50"/>
        <v>2.2937650234802192E-3</v>
      </c>
      <c r="F85" s="30">
        <f t="shared" si="50"/>
        <v>1.0870219169983975E-2</v>
      </c>
      <c r="G85" s="30">
        <f t="shared" si="50"/>
        <v>1.2634506569377648E-2</v>
      </c>
      <c r="H85" s="30">
        <f t="shared" si="50"/>
        <v>5.0472152196896125E-5</v>
      </c>
      <c r="I85" s="30">
        <f t="shared" si="50"/>
        <v>4.6263459291146576E-4</v>
      </c>
      <c r="J85" s="30">
        <f t="shared" si="50"/>
        <v>4.1174478769120455E-4</v>
      </c>
      <c r="K85" s="30">
        <f t="shared" si="50"/>
        <v>5.1421777717259385</v>
      </c>
      <c r="L85" s="30">
        <f t="shared" si="50"/>
        <v>2.6572810809432246E-4</v>
      </c>
      <c r="M85" s="30">
        <f t="shared" si="50"/>
        <v>1.2002781240908764E-3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 t="shared" si="49"/>
        <v>Jackhammer</v>
      </c>
      <c r="B86" s="36"/>
      <c r="C86" s="20"/>
      <c r="D86" s="1"/>
      <c r="E86" s="30">
        <f t="shared" si="50"/>
        <v>1.0523765189577848E-3</v>
      </c>
      <c r="F86" s="30">
        <f t="shared" si="50"/>
        <v>6.9885380492668708E-3</v>
      </c>
      <c r="G86" s="30">
        <f t="shared" si="50"/>
        <v>8.4745680961273856E-3</v>
      </c>
      <c r="H86" s="30">
        <f t="shared" si="50"/>
        <v>1.1068355488675067E-5</v>
      </c>
      <c r="I86" s="30">
        <f t="shared" si="50"/>
        <v>1.9563258616614161E-4</v>
      </c>
      <c r="J86" s="30">
        <f t="shared" si="50"/>
        <v>1.7411300168786604E-4</v>
      </c>
      <c r="K86" s="30">
        <f t="shared" si="50"/>
        <v>0.87234123870576041</v>
      </c>
      <c r="L86" s="30">
        <f t="shared" si="50"/>
        <v>9.4954273348658622E-5</v>
      </c>
      <c r="M86" s="30">
        <f t="shared" si="50"/>
        <v>8.0508396913210167E-4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 t="shared" si="49"/>
        <v>Dump Trucks</v>
      </c>
      <c r="B87" s="36"/>
      <c r="C87" s="20"/>
      <c r="D87" s="1"/>
      <c r="E87" s="30">
        <f t="shared" si="50"/>
        <v>8.9311465184109171E-4</v>
      </c>
      <c r="F87" s="30">
        <f t="shared" si="50"/>
        <v>4.1793620147325058E-3</v>
      </c>
      <c r="G87" s="30">
        <f t="shared" si="50"/>
        <v>5.3233934242651855E-3</v>
      </c>
      <c r="H87" s="30">
        <f t="shared" si="50"/>
        <v>2.0613141232702115E-5</v>
      </c>
      <c r="I87" s="30">
        <f t="shared" si="50"/>
        <v>1.83321155477245E-4</v>
      </c>
      <c r="J87" s="30">
        <f t="shared" si="50"/>
        <v>1.6315582837474806E-4</v>
      </c>
      <c r="K87" s="30">
        <f t="shared" si="50"/>
        <v>1.8319997717537437</v>
      </c>
      <c r="L87" s="30">
        <f t="shared" si="50"/>
        <v>1.0339669915850618E-4</v>
      </c>
      <c r="M87" s="30">
        <f t="shared" si="50"/>
        <v>5.0572237530519275E-4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37" t="str">
        <f t="shared" si="49"/>
        <v>Crane</v>
      </c>
      <c r="B88" s="36"/>
      <c r="C88" s="20"/>
      <c r="D88" s="1"/>
      <c r="E88" s="30">
        <f t="shared" si="50"/>
        <v>1.0430915631100711E-3</v>
      </c>
      <c r="F88" s="30">
        <f t="shared" si="50"/>
        <v>4.9977660114379511E-3</v>
      </c>
      <c r="G88" s="30">
        <f t="shared" si="50"/>
        <v>6.988882220098417E-3</v>
      </c>
      <c r="H88" s="30">
        <f t="shared" si="50"/>
        <v>1.9445282412777796E-5</v>
      </c>
      <c r="I88" s="30">
        <f t="shared" si="50"/>
        <v>2.5696151499613953E-4</v>
      </c>
      <c r="J88" s="30">
        <f t="shared" si="50"/>
        <v>2.2869574834656419E-4</v>
      </c>
      <c r="K88" s="30">
        <f t="shared" si="50"/>
        <v>1.981113990122628</v>
      </c>
      <c r="L88" s="30">
        <f t="shared" si="50"/>
        <v>1.1926112928480032E-4</v>
      </c>
      <c r="M88" s="30">
        <f t="shared" si="50"/>
        <v>6.6394381090934961E-4</v>
      </c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2" t="str">
        <f t="shared" si="49"/>
        <v>Subtotal</v>
      </c>
      <c r="B89" s="36"/>
      <c r="C89" s="20"/>
      <c r="D89" s="1"/>
      <c r="E89" s="24">
        <f>SUM(E83:E88)</f>
        <v>9.271484847498894E-3</v>
      </c>
      <c r="F89" s="24">
        <f t="shared" ref="F89:M89" si="51">SUM(F83:F88)</f>
        <v>5.468707623661042E-2</v>
      </c>
      <c r="G89" s="24">
        <f t="shared" si="51"/>
        <v>6.0276272502603812E-2</v>
      </c>
      <c r="H89" s="24">
        <f t="shared" si="51"/>
        <v>1.8212618762356115E-4</v>
      </c>
      <c r="I89" s="24">
        <f t="shared" si="51"/>
        <v>2.5296468855133354E-3</v>
      </c>
      <c r="J89" s="24">
        <f t="shared" si="51"/>
        <v>2.2513857281068689E-3</v>
      </c>
      <c r="K89" s="24">
        <f t="shared" si="51"/>
        <v>16.841953373792659</v>
      </c>
      <c r="L89" s="24">
        <f t="shared" si="51"/>
        <v>1.0496644542121267E-3</v>
      </c>
      <c r="M89" s="24">
        <f t="shared" si="51"/>
        <v>5.7262458877473622E-3</v>
      </c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x14ac:dyDescent="0.25">
      <c r="A90" s="19" t="s">
        <v>636</v>
      </c>
      <c r="B90" s="158"/>
      <c r="C90" s="158"/>
      <c r="E90" s="22">
        <f>E80+E89</f>
        <v>0.10055649321176199</v>
      </c>
      <c r="F90" s="22">
        <f t="shared" ref="F90:M90" si="52">F80+F89</f>
        <v>0.63647342473136181</v>
      </c>
      <c r="G90" s="22">
        <f t="shared" si="52"/>
        <v>0.6696771815882846</v>
      </c>
      <c r="H90" s="22">
        <f t="shared" si="52"/>
        <v>2.5122185732477614E-3</v>
      </c>
      <c r="I90" s="22">
        <f t="shared" si="52"/>
        <v>2.8363583188493892E-2</v>
      </c>
      <c r="J90" s="22">
        <f t="shared" si="52"/>
        <v>2.524358903775956E-2</v>
      </c>
      <c r="K90" s="22">
        <f t="shared" si="52"/>
        <v>248.35171199822793</v>
      </c>
      <c r="L90" s="22">
        <f t="shared" si="52"/>
        <v>1.14053076058771E-2</v>
      </c>
      <c r="M90" s="22">
        <f t="shared" si="52"/>
        <v>6.3619332250887034E-2</v>
      </c>
    </row>
  </sheetData>
  <mergeCells count="3">
    <mergeCell ref="E3:L3"/>
    <mergeCell ref="Q3:X3"/>
    <mergeCell ref="E48:L48"/>
  </mergeCells>
  <pageMargins left="0.75" right="0.75" top="1" bottom="1" header="0.5" footer="0.5"/>
  <pageSetup scale="42" orientation="landscape" r:id="rId1"/>
  <headerFooter alignWithMargins="0">
    <oddHeader xml:space="preserve">&amp;CTable A-7
Construction Heavy Equipment Emissions
South Orange County Reliability Project
Tranmission Segment 2: Rancho San Juan 138/230kV North Runs
</oddHeader>
    <oddFooter>&amp;CA-7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76"/>
  <sheetViews>
    <sheetView zoomScale="75" zoomScaleNormal="75" workbookViewId="0">
      <selection activeCell="D68" sqref="D68"/>
    </sheetView>
  </sheetViews>
  <sheetFormatPr defaultRowHeight="13.2" x14ac:dyDescent="0.25"/>
  <cols>
    <col min="1" max="1" width="49.332031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333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0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hidden="1" x14ac:dyDescent="0.25">
      <c r="A7" s="19" t="s">
        <v>191</v>
      </c>
      <c r="B7" s="115">
        <v>2013</v>
      </c>
      <c r="C7" s="20"/>
      <c r="D7" s="20"/>
      <c r="E7" s="21"/>
      <c r="F7" s="21"/>
      <c r="G7" s="21"/>
      <c r="H7" s="21"/>
      <c r="I7" s="21"/>
      <c r="J7" s="21"/>
      <c r="K7" s="21"/>
      <c r="L7" s="21"/>
      <c r="M7" s="21"/>
      <c r="N7" s="35"/>
      <c r="O7" s="35"/>
      <c r="P7" s="35"/>
      <c r="Q7" s="22"/>
      <c r="R7" s="22"/>
      <c r="S7" s="22"/>
      <c r="T7" s="22"/>
      <c r="U7" s="22"/>
      <c r="V7" s="22"/>
      <c r="W7" s="23"/>
      <c r="X7" s="22"/>
      <c r="Y7" s="22"/>
    </row>
    <row r="8" spans="1:25" s="3" customFormat="1" hidden="1" x14ac:dyDescent="0.25">
      <c r="A8" s="27" t="s">
        <v>193</v>
      </c>
      <c r="B8" s="34" t="s">
        <v>37</v>
      </c>
      <c r="C8" s="25">
        <v>350</v>
      </c>
      <c r="D8" s="134"/>
      <c r="E8" s="161">
        <v>0.32114486168771467</v>
      </c>
      <c r="F8" s="161">
        <v>1.4228154973184377</v>
      </c>
      <c r="G8" s="161">
        <v>2.7305441874125398</v>
      </c>
      <c r="H8" s="161">
        <v>2.5998097042908286E-3</v>
      </c>
      <c r="I8" s="161">
        <v>0.11331952455370634</v>
      </c>
      <c r="J8" s="137">
        <f t="shared" ref="J8:J16" si="0">0.89*I8</f>
        <v>0.10085437685279865</v>
      </c>
      <c r="K8" s="161">
        <v>264.87247746284652</v>
      </c>
      <c r="L8" s="161">
        <v>2.8976385301610615E-2</v>
      </c>
      <c r="M8" s="140">
        <f t="shared" ref="M8:M16" si="1">0.095*G8</f>
        <v>0.25940169780419126</v>
      </c>
      <c r="N8" s="162"/>
      <c r="O8" s="162"/>
      <c r="P8" s="162"/>
      <c r="Q8" s="39">
        <f t="shared" ref="Q8" si="2">(E8*$N8*$O8)</f>
        <v>0</v>
      </c>
      <c r="R8" s="29">
        <f t="shared" ref="R8" si="3">(F8*$N8*$O8)</f>
        <v>0</v>
      </c>
      <c r="S8" s="29">
        <f t="shared" ref="S8" si="4">(G8*$N8*$O8)</f>
        <v>0</v>
      </c>
      <c r="T8" s="29">
        <f t="shared" ref="T8" si="5">(H8*$N8*$O8)</f>
        <v>0</v>
      </c>
      <c r="U8" s="29">
        <f t="shared" ref="U8" si="6">(I8*$N8*$O8)</f>
        <v>0</v>
      </c>
      <c r="V8" s="29">
        <f t="shared" ref="V8" si="7">(J8*$N8*$O8)</f>
        <v>0</v>
      </c>
      <c r="W8" s="29">
        <f t="shared" ref="W8" si="8">(K8*$N8*$O8)</f>
        <v>0</v>
      </c>
      <c r="X8" s="29">
        <f t="shared" ref="X8" si="9">(L8*$N8*$O8)</f>
        <v>0</v>
      </c>
      <c r="Y8" s="29">
        <f t="shared" ref="Y8" si="10">(M8*$N8*$O8)</f>
        <v>0</v>
      </c>
    </row>
    <row r="9" spans="1:25" s="3" customFormat="1" hidden="1" x14ac:dyDescent="0.25">
      <c r="A9" s="27" t="s">
        <v>194</v>
      </c>
      <c r="B9" s="34" t="s">
        <v>37</v>
      </c>
      <c r="C9" s="25">
        <v>350</v>
      </c>
      <c r="D9" s="134"/>
      <c r="E9" s="161">
        <v>0.18554560996968764</v>
      </c>
      <c r="F9" s="161">
        <v>0.62890919031370218</v>
      </c>
      <c r="G9" s="161">
        <v>1.68422869109249</v>
      </c>
      <c r="H9" s="161">
        <v>2.2524633906538011E-3</v>
      </c>
      <c r="I9" s="161">
        <v>6.080373918261462E-2</v>
      </c>
      <c r="J9" s="137">
        <f t="shared" si="0"/>
        <v>5.4115327872527014E-2</v>
      </c>
      <c r="K9" s="163">
        <v>229.48435572820438</v>
      </c>
      <c r="L9" s="164">
        <v>1.6741479514531307E-2</v>
      </c>
      <c r="M9" s="140">
        <f t="shared" si="1"/>
        <v>0.16000172565378654</v>
      </c>
      <c r="N9" s="162"/>
      <c r="O9" s="162"/>
      <c r="P9" s="162"/>
      <c r="Q9" s="39">
        <f t="shared" ref="Q9" si="11">(E9*$N9*$O9)</f>
        <v>0</v>
      </c>
      <c r="R9" s="29">
        <f t="shared" ref="R9" si="12">(F9*$N9*$O9)</f>
        <v>0</v>
      </c>
      <c r="S9" s="29">
        <f t="shared" ref="S9" si="13">(G9*$N9*$O9)</f>
        <v>0</v>
      </c>
      <c r="T9" s="29">
        <f t="shared" ref="T9" si="14">(H9*$N9*$O9)</f>
        <v>0</v>
      </c>
      <c r="U9" s="29">
        <f t="shared" ref="U9" si="15">(I9*$N9*$O9)</f>
        <v>0</v>
      </c>
      <c r="V9" s="29">
        <f t="shared" ref="V9" si="16">(J9*$N9*$O9)</f>
        <v>0</v>
      </c>
      <c r="W9" s="29">
        <f t="shared" ref="W9" si="17">(K9*$N9*$O9)</f>
        <v>0</v>
      </c>
      <c r="X9" s="29">
        <f t="shared" ref="X9" si="18">(L9*$N9*$O9)</f>
        <v>0</v>
      </c>
      <c r="Y9" s="29">
        <f t="shared" ref="Y9" si="19">(M9*$N9*$O9)</f>
        <v>0</v>
      </c>
    </row>
    <row r="10" spans="1:25" s="3" customFormat="1" hidden="1" x14ac:dyDescent="0.25">
      <c r="A10" s="27" t="s">
        <v>195</v>
      </c>
      <c r="B10" s="34" t="s">
        <v>37</v>
      </c>
      <c r="C10" s="25">
        <v>350</v>
      </c>
      <c r="D10" s="134"/>
      <c r="E10" s="161">
        <v>0.31863440366525603</v>
      </c>
      <c r="F10" s="161">
        <v>1.2113130469791962</v>
      </c>
      <c r="G10" s="161">
        <v>2.8287878283281462</v>
      </c>
      <c r="H10" s="161">
        <v>3.1549261805651225E-3</v>
      </c>
      <c r="I10" s="161">
        <v>0.10991596217962124</v>
      </c>
      <c r="J10" s="137">
        <f t="shared" si="0"/>
        <v>9.78252063398629E-2</v>
      </c>
      <c r="K10" s="161">
        <v>321.42861508540147</v>
      </c>
      <c r="L10" s="161">
        <v>2.8749867545787608E-2</v>
      </c>
      <c r="M10" s="140">
        <f t="shared" si="1"/>
        <v>0.2687348436911739</v>
      </c>
      <c r="N10" s="162"/>
      <c r="O10" s="162"/>
      <c r="P10" s="162"/>
      <c r="Q10" s="39">
        <f t="shared" ref="Q10" si="20">(E10*$N10*$O10)</f>
        <v>0</v>
      </c>
      <c r="R10" s="29">
        <f t="shared" ref="R10" si="21">(F10*$N10*$O10)</f>
        <v>0</v>
      </c>
      <c r="S10" s="29">
        <f t="shared" ref="S10" si="22">(G10*$N10*$O10)</f>
        <v>0</v>
      </c>
      <c r="T10" s="29">
        <f t="shared" ref="T10" si="23">(H10*$N10*$O10)</f>
        <v>0</v>
      </c>
      <c r="U10" s="29">
        <f t="shared" ref="U10" si="24">(I10*$N10*$O10)</f>
        <v>0</v>
      </c>
      <c r="V10" s="29">
        <f t="shared" ref="V10" si="25">(J10*$N10*$O10)</f>
        <v>0</v>
      </c>
      <c r="W10" s="29">
        <f t="shared" ref="W10" si="26">(K10*$N10*$O10)</f>
        <v>0</v>
      </c>
      <c r="X10" s="29">
        <f t="shared" ref="X10" si="27">(L10*$N10*$O10)</f>
        <v>0</v>
      </c>
      <c r="Y10" s="29">
        <f t="shared" ref="Y10" si="28">(M10*$N10*$O10)</f>
        <v>0</v>
      </c>
    </row>
    <row r="11" spans="1:25" s="3" customFormat="1" hidden="1" x14ac:dyDescent="0.25">
      <c r="A11" s="27" t="s">
        <v>196</v>
      </c>
      <c r="B11" s="34" t="s">
        <v>37</v>
      </c>
      <c r="C11" s="25">
        <v>250</v>
      </c>
      <c r="D11" s="134"/>
      <c r="E11" s="161">
        <v>0.12622974149335514</v>
      </c>
      <c r="F11" s="161">
        <v>0.38870727977604475</v>
      </c>
      <c r="G11" s="161">
        <v>1.3124416065637432</v>
      </c>
      <c r="H11" s="161">
        <v>1.7225230150530067E-3</v>
      </c>
      <c r="I11" s="161">
        <v>4.5102498992506575E-2</v>
      </c>
      <c r="J11" s="137">
        <f t="shared" si="0"/>
        <v>4.0141224103330854E-2</v>
      </c>
      <c r="K11" s="161">
        <v>153.08982041757915</v>
      </c>
      <c r="L11" s="161">
        <v>1.1389505708089515E-2</v>
      </c>
      <c r="M11" s="140">
        <f t="shared" si="1"/>
        <v>0.12468195262355561</v>
      </c>
      <c r="N11" s="162"/>
      <c r="O11" s="162"/>
      <c r="P11" s="162"/>
      <c r="Q11" s="39">
        <f t="shared" ref="Q11" si="29">(E11*$N11*$O11)</f>
        <v>0</v>
      </c>
      <c r="R11" s="29">
        <f t="shared" ref="R11" si="30">(F11*$N11*$O11)</f>
        <v>0</v>
      </c>
      <c r="S11" s="29">
        <f t="shared" ref="S11" si="31">(G11*$N11*$O11)</f>
        <v>0</v>
      </c>
      <c r="T11" s="29">
        <f t="shared" ref="T11" si="32">(H11*$N11*$O11)</f>
        <v>0</v>
      </c>
      <c r="U11" s="29">
        <f t="shared" ref="U11" si="33">(I11*$N11*$O11)</f>
        <v>0</v>
      </c>
      <c r="V11" s="29">
        <f t="shared" ref="V11" si="34">(J11*$N11*$O11)</f>
        <v>0</v>
      </c>
      <c r="W11" s="29">
        <f t="shared" ref="W11" si="35">(K11*$N11*$O11)</f>
        <v>0</v>
      </c>
      <c r="X11" s="29">
        <f t="shared" ref="X11" si="36">(L11*$N11*$O11)</f>
        <v>0</v>
      </c>
      <c r="Y11" s="29">
        <f t="shared" ref="Y11" si="37">(M11*$N11*$O11)</f>
        <v>0</v>
      </c>
    </row>
    <row r="12" spans="1:25" s="3" customFormat="1" hidden="1" x14ac:dyDescent="0.25">
      <c r="A12" s="27" t="s">
        <v>197</v>
      </c>
      <c r="B12" s="34" t="s">
        <v>37</v>
      </c>
      <c r="C12" s="134">
        <v>200</v>
      </c>
      <c r="D12" s="134"/>
      <c r="E12" s="140">
        <v>0.12585210156894916</v>
      </c>
      <c r="F12" s="140">
        <v>0.36845367284862557</v>
      </c>
      <c r="G12" s="140">
        <v>1.2124828936425718</v>
      </c>
      <c r="H12" s="140">
        <v>1.6762436290884458E-3</v>
      </c>
      <c r="I12" s="140">
        <v>4.1689774754714519E-2</v>
      </c>
      <c r="J12" s="137">
        <f t="shared" si="0"/>
        <v>3.7103899531695919E-2</v>
      </c>
      <c r="K12" s="141">
        <v>148.97668107965026</v>
      </c>
      <c r="L12" s="140">
        <v>1.135543499724782E-2</v>
      </c>
      <c r="M12" s="140">
        <f t="shared" si="1"/>
        <v>0.11518587489604432</v>
      </c>
      <c r="N12" s="108"/>
      <c r="O12" s="108"/>
      <c r="P12" s="109"/>
      <c r="Q12" s="39">
        <f t="shared" ref="Q12:Q13" si="38">(E12*$N12*$O12)</f>
        <v>0</v>
      </c>
      <c r="R12" s="29">
        <f t="shared" ref="R12:R13" si="39">(F12*$N12*$O12)</f>
        <v>0</v>
      </c>
      <c r="S12" s="29">
        <f t="shared" ref="S12:S13" si="40">(G12*$N12*$O12)</f>
        <v>0</v>
      </c>
      <c r="T12" s="29">
        <f t="shared" ref="T12:T13" si="41">(H12*$N12*$O12)</f>
        <v>0</v>
      </c>
      <c r="U12" s="29">
        <f t="shared" ref="U12:U13" si="42">(I12*$N12*$O12)</f>
        <v>0</v>
      </c>
      <c r="V12" s="29">
        <f t="shared" ref="V12:V13" si="43">(J12*$N12*$O12)</f>
        <v>0</v>
      </c>
      <c r="W12" s="29">
        <f t="shared" ref="W12:W13" si="44">(K12*$N12*$O12)</f>
        <v>0</v>
      </c>
      <c r="X12" s="29">
        <f t="shared" ref="X12:X13" si="45">(L12*$N12*$O12)</f>
        <v>0</v>
      </c>
      <c r="Y12" s="29">
        <f t="shared" ref="Y12:Y13" si="46">(M12*$N12*$O12)</f>
        <v>0</v>
      </c>
    </row>
    <row r="13" spans="1:25" s="3" customFormat="1" hidden="1" x14ac:dyDescent="0.25">
      <c r="A13" s="27" t="s">
        <v>198</v>
      </c>
      <c r="B13" s="34" t="s">
        <v>37</v>
      </c>
      <c r="C13" s="25">
        <v>85</v>
      </c>
      <c r="D13" s="134"/>
      <c r="E13" s="161">
        <v>6.9432469330597227E-2</v>
      </c>
      <c r="F13" s="161">
        <v>0.3528630577415795</v>
      </c>
      <c r="G13" s="161">
        <v>0.45647676145137511</v>
      </c>
      <c r="H13" s="161">
        <v>6.0679616085183732E-4</v>
      </c>
      <c r="I13" s="161">
        <v>3.829431564123506E-2</v>
      </c>
      <c r="J13" s="137">
        <f t="shared" si="0"/>
        <v>3.4081940920699202E-2</v>
      </c>
      <c r="K13" s="161">
        <v>51.728010440938043</v>
      </c>
      <c r="L13" s="161">
        <v>6.2647802820613675E-3</v>
      </c>
      <c r="M13" s="140">
        <f t="shared" si="1"/>
        <v>4.3365292337880633E-2</v>
      </c>
      <c r="N13" s="162"/>
      <c r="O13" s="162"/>
      <c r="P13" s="162"/>
      <c r="Q13" s="39">
        <f t="shared" si="38"/>
        <v>0</v>
      </c>
      <c r="R13" s="29">
        <f t="shared" si="39"/>
        <v>0</v>
      </c>
      <c r="S13" s="29">
        <f t="shared" si="40"/>
        <v>0</v>
      </c>
      <c r="T13" s="29">
        <f t="shared" si="41"/>
        <v>0</v>
      </c>
      <c r="U13" s="29">
        <f t="shared" si="42"/>
        <v>0</v>
      </c>
      <c r="V13" s="29">
        <f t="shared" si="43"/>
        <v>0</v>
      </c>
      <c r="W13" s="29">
        <f t="shared" si="44"/>
        <v>0</v>
      </c>
      <c r="X13" s="29">
        <f t="shared" si="45"/>
        <v>0</v>
      </c>
      <c r="Y13" s="29">
        <f t="shared" si="46"/>
        <v>0</v>
      </c>
    </row>
    <row r="14" spans="1:25" s="3" customFormat="1" hidden="1" x14ac:dyDescent="0.25">
      <c r="A14" s="27" t="s">
        <v>199</v>
      </c>
      <c r="B14" s="34" t="s">
        <v>37</v>
      </c>
      <c r="C14" s="25">
        <v>175</v>
      </c>
      <c r="D14" s="13"/>
      <c r="E14" s="140">
        <v>0.13997223380402271</v>
      </c>
      <c r="F14" s="140">
        <v>0.383662664127291</v>
      </c>
      <c r="G14" s="140">
        <v>1.2373080690958607</v>
      </c>
      <c r="H14" s="140">
        <v>1.8739216471089937E-3</v>
      </c>
      <c r="I14" s="140">
        <v>4.1237317361175585E-2</v>
      </c>
      <c r="J14" s="137">
        <f t="shared" si="0"/>
        <v>3.6701212451446273E-2</v>
      </c>
      <c r="K14" s="141">
        <v>166.54540282238665</v>
      </c>
      <c r="L14" s="140">
        <v>1.2629470908418436E-2</v>
      </c>
      <c r="M14" s="140">
        <f t="shared" si="1"/>
        <v>0.11754426656410677</v>
      </c>
      <c r="N14" s="108"/>
      <c r="O14" s="108"/>
      <c r="P14" s="109"/>
      <c r="Q14" s="39">
        <f t="shared" ref="Q14:Q15" si="47">(E14*$N14*$O14)</f>
        <v>0</v>
      </c>
      <c r="R14" s="29">
        <f t="shared" ref="R14:R15" si="48">(F14*$N14*$O14)</f>
        <v>0</v>
      </c>
      <c r="S14" s="29">
        <f t="shared" ref="S14:S15" si="49">(G14*$N14*$O14)</f>
        <v>0</v>
      </c>
      <c r="T14" s="29">
        <f t="shared" ref="T14:T15" si="50">(H14*$N14*$O14)</f>
        <v>0</v>
      </c>
      <c r="U14" s="29">
        <f t="shared" ref="U14:U15" si="51">(I14*$N14*$O14)</f>
        <v>0</v>
      </c>
      <c r="V14" s="29">
        <f t="shared" ref="V14:V15" si="52">(J14*$N14*$O14)</f>
        <v>0</v>
      </c>
      <c r="W14" s="29">
        <f t="shared" ref="W14:W15" si="53">(K14*$N14*$O14)</f>
        <v>0</v>
      </c>
      <c r="X14" s="29">
        <f t="shared" ref="X14:X15" si="54">(L14*$N14*$O14)</f>
        <v>0</v>
      </c>
      <c r="Y14" s="29">
        <f t="shared" ref="Y14:Y15" si="55">(M14*$N14*$O14)</f>
        <v>0</v>
      </c>
    </row>
    <row r="15" spans="1:25" s="3" customFormat="1" hidden="1" x14ac:dyDescent="0.25">
      <c r="A15" s="27" t="s">
        <v>200</v>
      </c>
      <c r="B15" s="34" t="s">
        <v>37</v>
      </c>
      <c r="C15" s="25">
        <v>235</v>
      </c>
      <c r="D15" s="13"/>
      <c r="E15" s="140">
        <v>0.13997223380402271</v>
      </c>
      <c r="F15" s="140">
        <v>0.383662664127291</v>
      </c>
      <c r="G15" s="140">
        <v>1.2373080690958607</v>
      </c>
      <c r="H15" s="140">
        <v>1.8739216471089937E-3</v>
      </c>
      <c r="I15" s="140">
        <v>4.1237317361175585E-2</v>
      </c>
      <c r="J15" s="137">
        <f t="shared" si="0"/>
        <v>3.6701212451446273E-2</v>
      </c>
      <c r="K15" s="141">
        <v>166.54540282238665</v>
      </c>
      <c r="L15" s="140">
        <v>1.2629470908418436E-2</v>
      </c>
      <c r="M15" s="140">
        <f t="shared" si="1"/>
        <v>0.11754426656410677</v>
      </c>
      <c r="N15" s="108"/>
      <c r="O15" s="108"/>
      <c r="P15" s="109"/>
      <c r="Q15" s="39">
        <f t="shared" si="47"/>
        <v>0</v>
      </c>
      <c r="R15" s="29">
        <f t="shared" si="48"/>
        <v>0</v>
      </c>
      <c r="S15" s="29">
        <f t="shared" si="49"/>
        <v>0</v>
      </c>
      <c r="T15" s="29">
        <f t="shared" si="50"/>
        <v>0</v>
      </c>
      <c r="U15" s="29">
        <f t="shared" si="51"/>
        <v>0</v>
      </c>
      <c r="V15" s="29">
        <f t="shared" si="52"/>
        <v>0</v>
      </c>
      <c r="W15" s="29">
        <f t="shared" si="53"/>
        <v>0</v>
      </c>
      <c r="X15" s="29">
        <f t="shared" si="54"/>
        <v>0</v>
      </c>
      <c r="Y15" s="29">
        <f t="shared" si="55"/>
        <v>0</v>
      </c>
    </row>
    <row r="16" spans="1:25" s="3" customFormat="1" hidden="1" x14ac:dyDescent="0.25">
      <c r="A16" s="27" t="s">
        <v>201</v>
      </c>
      <c r="B16" s="34" t="s">
        <v>37</v>
      </c>
      <c r="C16" s="25">
        <v>300</v>
      </c>
      <c r="D16" s="134"/>
      <c r="E16" s="161">
        <v>0.17348309641304396</v>
      </c>
      <c r="F16" s="161">
        <v>0.52710020966724425</v>
      </c>
      <c r="G16" s="161">
        <v>1.476292011118653</v>
      </c>
      <c r="H16" s="161">
        <v>2.2941894369146744E-3</v>
      </c>
      <c r="I16" s="161">
        <v>5.1611426394141804E-2</v>
      </c>
      <c r="J16" s="137">
        <f t="shared" si="0"/>
        <v>4.5934169490786207E-2</v>
      </c>
      <c r="K16" s="163">
        <v>233.73544298827912</v>
      </c>
      <c r="L16" s="165">
        <v>1.5653098986339313E-2</v>
      </c>
      <c r="M16" s="140">
        <f t="shared" si="1"/>
        <v>0.14024774105627205</v>
      </c>
      <c r="N16" s="162"/>
      <c r="O16" s="162"/>
      <c r="P16" s="162"/>
      <c r="Q16" s="39">
        <f t="shared" ref="Q16" si="56">(E16*$N16*$O16)</f>
        <v>0</v>
      </c>
      <c r="R16" s="29">
        <f t="shared" ref="R16" si="57">(F16*$N16*$O16)</f>
        <v>0</v>
      </c>
      <c r="S16" s="29">
        <f t="shared" ref="S16" si="58">(G16*$N16*$O16)</f>
        <v>0</v>
      </c>
      <c r="T16" s="29">
        <f t="shared" ref="T16" si="59">(H16*$N16*$O16)</f>
        <v>0</v>
      </c>
      <c r="U16" s="29">
        <f t="shared" ref="U16" si="60">(I16*$N16*$O16)</f>
        <v>0</v>
      </c>
      <c r="V16" s="29">
        <f t="shared" ref="V16" si="61">(J16*$N16*$O16)</f>
        <v>0</v>
      </c>
      <c r="W16" s="29">
        <f t="shared" ref="W16" si="62">(K16*$N16*$O16)</f>
        <v>0</v>
      </c>
      <c r="X16" s="29">
        <f t="shared" ref="X16" si="63">(L16*$N16*$O16)</f>
        <v>0</v>
      </c>
      <c r="Y16" s="29">
        <f t="shared" ref="Y16" si="64">(M16*$N16*$O16)</f>
        <v>0</v>
      </c>
    </row>
    <row r="17" spans="1:25" s="3" customFormat="1" hidden="1" x14ac:dyDescent="0.25">
      <c r="A17" s="19" t="s">
        <v>38</v>
      </c>
      <c r="B17" s="36"/>
      <c r="C17" s="20"/>
      <c r="D17" s="13"/>
      <c r="E17" s="21"/>
      <c r="F17" s="21"/>
      <c r="G17" s="21"/>
      <c r="H17" s="21"/>
      <c r="I17" s="21"/>
      <c r="J17" s="21"/>
      <c r="K17" s="21"/>
      <c r="L17" s="21"/>
      <c r="M17" s="21"/>
      <c r="N17" s="35"/>
      <c r="O17" s="35"/>
      <c r="P17" s="35"/>
      <c r="Q17" s="22">
        <f>SUM(Q8:Q16)</f>
        <v>0</v>
      </c>
      <c r="R17" s="22">
        <f t="shared" ref="R17:Y17" si="65">SUM(R8:R16)</f>
        <v>0</v>
      </c>
      <c r="S17" s="22">
        <f t="shared" si="65"/>
        <v>0</v>
      </c>
      <c r="T17" s="22">
        <f t="shared" si="65"/>
        <v>0</v>
      </c>
      <c r="U17" s="22">
        <f t="shared" si="65"/>
        <v>0</v>
      </c>
      <c r="V17" s="22">
        <f t="shared" si="65"/>
        <v>0</v>
      </c>
      <c r="W17" s="22">
        <f t="shared" si="65"/>
        <v>0</v>
      </c>
      <c r="X17" s="22">
        <f t="shared" si="65"/>
        <v>0</v>
      </c>
      <c r="Y17" s="22">
        <f t="shared" si="65"/>
        <v>0</v>
      </c>
    </row>
    <row r="18" spans="1:25" s="3" customFormat="1" hidden="1" x14ac:dyDescent="0.25">
      <c r="A18" s="19"/>
      <c r="B18" s="36"/>
      <c r="C18" s="20"/>
      <c r="D18" s="13"/>
      <c r="E18" s="21"/>
      <c r="F18" s="21"/>
      <c r="G18" s="21"/>
      <c r="H18" s="21"/>
      <c r="I18" s="21"/>
      <c r="J18" s="21"/>
      <c r="K18" s="21"/>
      <c r="L18" s="21"/>
      <c r="M18" s="21"/>
      <c r="N18" s="35"/>
      <c r="O18" s="35"/>
      <c r="P18" s="35"/>
      <c r="Q18" s="22"/>
      <c r="R18" s="22"/>
      <c r="S18" s="22"/>
      <c r="T18" s="22"/>
      <c r="U18" s="22"/>
      <c r="V18" s="22"/>
      <c r="W18" s="23"/>
      <c r="X18" s="22"/>
      <c r="Y18" s="22"/>
    </row>
    <row r="19" spans="1:25" s="3" customFormat="1" x14ac:dyDescent="0.25">
      <c r="A19" s="19" t="s">
        <v>169</v>
      </c>
      <c r="B19" s="34">
        <v>2016</v>
      </c>
      <c r="C19" s="20"/>
      <c r="D19" s="13"/>
      <c r="E19" s="21"/>
      <c r="F19" s="21"/>
      <c r="G19" s="21"/>
      <c r="H19" s="21"/>
      <c r="I19" s="21"/>
      <c r="J19" s="21"/>
      <c r="K19" s="21"/>
      <c r="L19" s="21"/>
      <c r="M19" s="21"/>
      <c r="N19" s="35"/>
      <c r="O19" s="35"/>
      <c r="P19" s="35"/>
      <c r="Q19" s="22"/>
      <c r="R19" s="22"/>
      <c r="S19" s="22"/>
      <c r="T19" s="22"/>
      <c r="U19" s="22"/>
      <c r="V19" s="22"/>
      <c r="W19" s="23"/>
      <c r="X19" s="22"/>
      <c r="Y19" s="22"/>
    </row>
    <row r="20" spans="1:25" s="3" customFormat="1" x14ac:dyDescent="0.25">
      <c r="A20" s="37" t="s">
        <v>62</v>
      </c>
      <c r="B20" s="34">
        <v>2016</v>
      </c>
      <c r="C20" s="25">
        <v>85</v>
      </c>
      <c r="D20" s="134">
        <v>0.36</v>
      </c>
      <c r="E20" s="546">
        <f>VLOOKUP($A20,EFROGS!$A$1:$J$44,(IF($B20=2015,4,IF($B20=2016,5,IF($B20=2017,6,IF($B20=2018,7,IF($B20=2019,8,IF($B20=2020,9,0))))))),FALSE)</f>
        <v>7.0472327021646672E-2</v>
      </c>
      <c r="F20" s="546">
        <f>VLOOKUP($A20,EFCOS!$A$1:$J$44,(IF($B20=2015,4,IF($B20=2016,5,IF($B20=2017,6,IF($B20=2018,7,IF($B20=2019,8,IF($B20=2020,9,0))))))),FALSE)</f>
        <v>0.39060550026585111</v>
      </c>
      <c r="G20" s="546">
        <f>VLOOKUP($A20,EFNOXS!$A$1:$J$44,(IF($B20=2015,4,IF($B20=2016,5,IF($B20=2017,6,IF($B20=2018,7,IF($B20=2019,8,IF($B20=2020,9,0))))))),FALSE)</f>
        <v>0.43652693917262747</v>
      </c>
      <c r="H20" s="546">
        <f>VLOOKUP($A20,EFSOXS!$A$1:$J$44,(IF($B20=2015,4,IF($B20=2016,5,IF($B20=2017,6,IF($B20=2018,7,IF($B20=2019,8,IF($B20=2020,9,0))))))),FALSE)</f>
        <v>6.9108553659227932E-4</v>
      </c>
      <c r="I20" s="546">
        <f>VLOOKUP($A20,EFPMS!$A$1:$J$44,(IF($B20=2015,4,IF($B20=2016,5,IF($B20=2017,6,IF($B20=2018,7,IF($B20=2019,8,IF($B20=2020,9,0))))))),FALSE)</f>
        <v>3.492009842986301E-2</v>
      </c>
      <c r="J20" s="536">
        <f t="shared" ref="J20:J28" si="66">0.89*I20</f>
        <v>3.1078887602578081E-2</v>
      </c>
      <c r="K20" s="549">
        <f>VLOOKUP($A20,EFCO2S!$A$1:$J$44,(IF($B20=2015,4,IF($B20=2016,5,IF($B20=2017,6,IF($B20=2018,7,IF($B20=2019,8,IF($B20=2020,9,0))))))),FALSE)</f>
        <v>58.913523330624749</v>
      </c>
      <c r="L20" s="546">
        <f>VLOOKUP($A20,EFCH4S!$A$1:$J$44,(IF($B20=2015,4,IF($B20=2016,5,IF($B20=2017,6,IF($B20=2018,7,IF($B20=2019,8,IF($B20=2020,9,0))))))),FALSE)</f>
        <v>6.9704339147860696E-3</v>
      </c>
      <c r="M20" s="540">
        <f t="shared" ref="M20:M28" si="67">0.095*G20</f>
        <v>4.1470059221399611E-2</v>
      </c>
      <c r="N20" s="108">
        <v>1</v>
      </c>
      <c r="O20" s="108">
        <v>6</v>
      </c>
      <c r="P20" s="109">
        <v>11</v>
      </c>
      <c r="Q20" s="39">
        <f t="shared" ref="Q20:Q28" si="68">(E20*$N20*$O20)</f>
        <v>0.42283396212988</v>
      </c>
      <c r="R20" s="29">
        <f t="shared" ref="R20:R28" si="69">(F20*$N20*$O20)</f>
        <v>2.3436330015951068</v>
      </c>
      <c r="S20" s="29">
        <f t="shared" ref="S20:S28" si="70">(G20*$N20*$O20)</f>
        <v>2.6191616350357649</v>
      </c>
      <c r="T20" s="29">
        <f t="shared" ref="T20:T28" si="71">(H20*$N20*$O20)</f>
        <v>4.1465132195536757E-3</v>
      </c>
      <c r="U20" s="29">
        <f t="shared" ref="U20:U28" si="72">(I20*$N20*$O20)</f>
        <v>0.20952059057917805</v>
      </c>
      <c r="V20" s="29">
        <f t="shared" ref="V20:V28" si="73">(J20*$N20*$O20)</f>
        <v>0.18647332561546848</v>
      </c>
      <c r="W20" s="29">
        <f t="shared" ref="W20:W28" si="74">(K20*$N20*$O20)</f>
        <v>353.48113998374851</v>
      </c>
      <c r="X20" s="29">
        <f t="shared" ref="X20:X28" si="75">(L20*$N20*$O20)</f>
        <v>4.1822603488716414E-2</v>
      </c>
      <c r="Y20" s="29">
        <f t="shared" ref="Y20:Y28" si="76">(M20*$N20*$O20)</f>
        <v>0.24882035532839766</v>
      </c>
    </row>
    <row r="21" spans="1:25" s="3" customFormat="1" x14ac:dyDescent="0.25">
      <c r="A21" s="27" t="s">
        <v>155</v>
      </c>
      <c r="B21" s="34">
        <v>2016</v>
      </c>
      <c r="C21" s="134">
        <v>82</v>
      </c>
      <c r="D21" s="134">
        <v>0.5</v>
      </c>
      <c r="E21" s="546">
        <f>VLOOKUP($A21,EFROGS!$A$1:$J$44,(IF($B21=2015,4,IF($B21=2016,5,IF($B21=2017,6,IF($B21=2018,7,IF($B21=2019,8,IF($B21=2020,9,0))))))),FALSE)</f>
        <v>3.2676882569317077E-2</v>
      </c>
      <c r="F21" s="546">
        <f>VLOOKUP($A21,EFCOS!$A$1:$J$44,(IF($B21=2015,4,IF($B21=2016,5,IF($B21=2017,6,IF($B21=2018,7,IF($B21=2019,8,IF($B21=2020,9,0))))))),FALSE)</f>
        <v>0.45381045354696059</v>
      </c>
      <c r="G21" s="546">
        <f>VLOOKUP($A21,EFNOXS!$A$1:$J$44,(IF($B21=2015,4,IF($B21=2016,5,IF($B21=2017,6,IF($B21=2018,7,IF($B21=2019,8,IF($B21=2020,9,0))))))),FALSE)</f>
        <v>0.30042047018448315</v>
      </c>
      <c r="H21" s="546">
        <f>VLOOKUP($A21,EFSOXS!$A$1:$J$44,(IF($B21=2015,4,IF($B21=2016,5,IF($B21=2017,6,IF($B21=2018,7,IF($B21=2019,8,IF($B21=2020,9,0))))))),FALSE)</f>
        <v>9.0467784425450159E-4</v>
      </c>
      <c r="I21" s="546">
        <f>VLOOKUP($A21,EFPMS!$A$1:$J$44,(IF($B21=2015,4,IF($B21=2016,5,IF($B21=2017,6,IF($B21=2018,7,IF($B21=2019,8,IF($B21=2020,9,0))))))),FALSE)</f>
        <v>1.1371697081817145E-2</v>
      </c>
      <c r="J21" s="536">
        <f t="shared" si="66"/>
        <v>1.012081040281726E-2</v>
      </c>
      <c r="K21" s="549">
        <f>VLOOKUP($A21,EFCO2S!$A$1:$J$44,(IF($B21=2015,4,IF($B21=2016,5,IF($B21=2017,6,IF($B21=2018,7,IF($B21=2019,8,IF($B21=2020,9,0))))))),FALSE)</f>
        <v>77.121750016602093</v>
      </c>
      <c r="L21" s="546">
        <f>VLOOKUP($A21,EFCH4S!$A$1:$J$44,(IF($B21=2015,4,IF($B21=2016,5,IF($B21=2017,6,IF($B21=2018,7,IF($B21=2019,8,IF($B21=2020,9,0))))))),FALSE)</f>
        <v>3.149115809265884E-3</v>
      </c>
      <c r="M21" s="540">
        <f t="shared" si="67"/>
        <v>2.85399446675259E-2</v>
      </c>
      <c r="N21" s="108">
        <v>1</v>
      </c>
      <c r="O21" s="108">
        <v>6</v>
      </c>
      <c r="P21" s="109">
        <v>11</v>
      </c>
      <c r="Q21" s="39">
        <f t="shared" si="68"/>
        <v>0.19606129541590245</v>
      </c>
      <c r="R21" s="29">
        <f t="shared" si="69"/>
        <v>2.7228627212817633</v>
      </c>
      <c r="S21" s="29">
        <f t="shared" si="70"/>
        <v>1.8025228211068989</v>
      </c>
      <c r="T21" s="29">
        <f t="shared" si="71"/>
        <v>5.4280670655270091E-3</v>
      </c>
      <c r="U21" s="29">
        <f t="shared" si="72"/>
        <v>6.8230182490902874E-2</v>
      </c>
      <c r="V21" s="29">
        <f t="shared" si="73"/>
        <v>6.0724862416903558E-2</v>
      </c>
      <c r="W21" s="29">
        <f t="shared" si="74"/>
        <v>462.73050009961253</v>
      </c>
      <c r="X21" s="29">
        <f t="shared" si="75"/>
        <v>1.8894694855595303E-2</v>
      </c>
      <c r="Y21" s="29">
        <f t="shared" si="76"/>
        <v>0.17123966800515539</v>
      </c>
    </row>
    <row r="22" spans="1:25" s="3" customFormat="1" x14ac:dyDescent="0.25">
      <c r="A22" s="27" t="s">
        <v>197</v>
      </c>
      <c r="B22" s="34">
        <v>2016</v>
      </c>
      <c r="C22" s="134">
        <v>200</v>
      </c>
      <c r="D22" s="134">
        <v>0.36</v>
      </c>
      <c r="E22" s="546">
        <f>VLOOKUP($A22,EFROGS!$A$1:$J$44,(IF($B22=2015,4,IF($B22=2016,5,IF($B22=2017,6,IF($B22=2018,7,IF($B22=2019,8,IF($B22=2020,9,0))))))),FALSE)</f>
        <v>9.729792471015461E-2</v>
      </c>
      <c r="F22" s="546">
        <f>VLOOKUP($A22,EFCOS!$A$1:$J$44,(IF($B22=2015,4,IF($B22=2016,5,IF($B22=2017,6,IF($B22=2018,7,IF($B22=2019,8,IF($B22=2020,9,0))))))),FALSE)</f>
        <v>0.33702924568892922</v>
      </c>
      <c r="G22" s="546">
        <f>VLOOKUP($A22,EFNOXS!$A$1:$J$44,(IF($B22=2015,4,IF($B22=2016,5,IF($B22=2017,6,IF($B22=2018,7,IF($B22=2019,8,IF($B22=2020,9,0))))))),FALSE)</f>
        <v>0.80550520916128832</v>
      </c>
      <c r="H22" s="546">
        <f>VLOOKUP($A22,EFSOXS!$A$1:$J$44,(IF($B22=2015,4,IF($B22=2016,5,IF($B22=2017,6,IF($B22=2018,7,IF($B22=2019,8,IF($B22=2020,9,0))))))),FALSE)</f>
        <v>1.6762428138747331E-3</v>
      </c>
      <c r="I22" s="546">
        <f>VLOOKUP($A22,EFPMS!$A$1:$J$44,(IF($B22=2015,4,IF($B22=2016,5,IF($B22=2017,6,IF($B22=2018,7,IF($B22=2019,8,IF($B22=2020,9,0))))))),FALSE)</f>
        <v>2.7459392732358621E-2</v>
      </c>
      <c r="J22" s="536">
        <f t="shared" si="66"/>
        <v>2.4438859531799174E-2</v>
      </c>
      <c r="K22" s="549">
        <f>VLOOKUP($A22,EFCO2S!$A$1:$J$44,(IF($B22=2015,4,IF($B22=2016,5,IF($B22=2017,6,IF($B22=2018,7,IF($B22=2019,8,IF($B22=2020,9,0))))))),FALSE)</f>
        <v>148.97666793125595</v>
      </c>
      <c r="L22" s="546">
        <f>VLOOKUP($A22,EFCH4S!$A$1:$J$44,(IF($B22=2015,4,IF($B22=2016,5,IF($B22=2017,6,IF($B22=2018,7,IF($B22=2019,8,IF($B22=2020,9,0))))))),FALSE)</f>
        <v>9.5316980170715351E-3</v>
      </c>
      <c r="M22" s="540">
        <f t="shared" si="67"/>
        <v>7.6522994870322394E-2</v>
      </c>
      <c r="N22" s="108">
        <v>1</v>
      </c>
      <c r="O22" s="108">
        <v>6</v>
      </c>
      <c r="P22" s="109">
        <v>44</v>
      </c>
      <c r="Q22" s="39">
        <f t="shared" si="68"/>
        <v>0.5837875482609276</v>
      </c>
      <c r="R22" s="29">
        <f t="shared" si="69"/>
        <v>2.0221754741335753</v>
      </c>
      <c r="S22" s="29">
        <f t="shared" si="70"/>
        <v>4.8330312549677297</v>
      </c>
      <c r="T22" s="29">
        <f t="shared" si="71"/>
        <v>1.0057456883248399E-2</v>
      </c>
      <c r="U22" s="29">
        <f t="shared" si="72"/>
        <v>0.16475635639415173</v>
      </c>
      <c r="V22" s="29">
        <f t="shared" si="73"/>
        <v>0.14663315719079506</v>
      </c>
      <c r="W22" s="29">
        <f t="shared" si="74"/>
        <v>893.86000758753562</v>
      </c>
      <c r="X22" s="29">
        <f t="shared" si="75"/>
        <v>5.7190188102429207E-2</v>
      </c>
      <c r="Y22" s="29">
        <f t="shared" si="76"/>
        <v>0.45913796922193439</v>
      </c>
    </row>
    <row r="23" spans="1:25" s="3" customFormat="1" x14ac:dyDescent="0.25">
      <c r="A23" s="37" t="s">
        <v>61</v>
      </c>
      <c r="B23" s="34">
        <v>2016</v>
      </c>
      <c r="C23" s="25">
        <v>235</v>
      </c>
      <c r="D23" s="134">
        <v>0.38</v>
      </c>
      <c r="E23" s="546">
        <f>VLOOKUP($A23,EFROGS!$A$1:$J$44,(IF($B23=2015,4,IF($B23=2016,5,IF($B23=2017,6,IF($B23=2018,7,IF($B23=2019,8,IF($B23=2020,9,0))))))),FALSE)</f>
        <v>0.10888615948643803</v>
      </c>
      <c r="F23" s="546">
        <f>VLOOKUP($A23,EFCOS!$A$1:$J$44,(IF($B23=2015,4,IF($B23=2016,5,IF($B23=2017,6,IF($B23=2018,7,IF($B23=2019,8,IF($B23=2020,9,0))))))),FALSE)</f>
        <v>0.37192102764732693</v>
      </c>
      <c r="G23" s="546">
        <f>VLOOKUP($A23,EFNOXS!$A$1:$J$44,(IF($B23=2015,4,IF($B23=2016,5,IF($B23=2017,6,IF($B23=2018,7,IF($B23=2019,8,IF($B23=2020,9,0))))))),FALSE)</f>
        <v>0.78693926319648355</v>
      </c>
      <c r="H23" s="546">
        <f>VLOOKUP($A23,EFSOXS!$A$1:$J$44,(IF($B23=2015,4,IF($B23=2016,5,IF($B23=2017,6,IF($B23=2018,7,IF($B23=2019,8,IF($B23=2020,9,0))))))),FALSE)</f>
        <v>1.8739217498104396E-3</v>
      </c>
      <c r="I23" s="546">
        <f>VLOOKUP($A23,EFPMS!$A$1:$J$44,(IF($B23=2015,4,IF($B23=2016,5,IF($B23=2017,6,IF($B23=2018,7,IF($B23=2019,8,IF($B23=2020,9,0))))))),FALSE)</f>
        <v>2.6432845298835113E-2</v>
      </c>
      <c r="J23" s="536">
        <f t="shared" si="66"/>
        <v>2.3525232315963252E-2</v>
      </c>
      <c r="K23" s="549">
        <f>VLOOKUP($A23,EFCO2S!$A$1:$J$44,(IF($B23=2015,4,IF($B23=2016,5,IF($B23=2017,6,IF($B23=2018,7,IF($B23=2019,8,IF($B23=2020,9,0))))))),FALSE)</f>
        <v>166.54541562452522</v>
      </c>
      <c r="L23" s="546">
        <f>VLOOKUP($A23,EFCH4S!$A$1:$J$44,(IF($B23=2015,4,IF($B23=2016,5,IF($B23=2017,6,IF($B23=2018,7,IF($B23=2019,8,IF($B23=2020,9,0))))))),FALSE)</f>
        <v>1.063993297769634E-2</v>
      </c>
      <c r="M23" s="540">
        <f t="shared" si="67"/>
        <v>7.4759230003665939E-2</v>
      </c>
      <c r="N23" s="108">
        <v>5</v>
      </c>
      <c r="O23" s="108">
        <v>1</v>
      </c>
      <c r="P23" s="109">
        <v>22</v>
      </c>
      <c r="Q23" s="39">
        <f t="shared" si="68"/>
        <v>0.54443079743219014</v>
      </c>
      <c r="R23" s="29">
        <f t="shared" si="69"/>
        <v>1.8596051382366348</v>
      </c>
      <c r="S23" s="29">
        <f t="shared" si="70"/>
        <v>3.9346963159824178</v>
      </c>
      <c r="T23" s="29">
        <f t="shared" si="71"/>
        <v>9.3696087490521985E-3</v>
      </c>
      <c r="U23" s="29">
        <f t="shared" si="72"/>
        <v>0.13216422649417556</v>
      </c>
      <c r="V23" s="29">
        <f t="shared" si="73"/>
        <v>0.11762616157981626</v>
      </c>
      <c r="W23" s="29">
        <f t="shared" si="74"/>
        <v>832.72707812262615</v>
      </c>
      <c r="X23" s="29">
        <f t="shared" si="75"/>
        <v>5.3199664888481699E-2</v>
      </c>
      <c r="Y23" s="29">
        <f t="shared" si="76"/>
        <v>0.37379615001832966</v>
      </c>
    </row>
    <row r="24" spans="1:25" s="3" customFormat="1" x14ac:dyDescent="0.25">
      <c r="A24" s="27" t="s">
        <v>156</v>
      </c>
      <c r="B24" s="34">
        <v>2016</v>
      </c>
      <c r="C24" s="134">
        <v>37</v>
      </c>
      <c r="D24" s="134">
        <v>0.37</v>
      </c>
      <c r="E24" s="546">
        <f>VLOOKUP($A24,EFROGS!$A$1:$J$44,(IF($B24=2015,4,IF($B24=2016,5,IF($B24=2017,6,IF($B24=2018,7,IF($B24=2019,8,IF($B24=2020,9,0))))))),FALSE)</f>
        <v>3.2313389441625637E-2</v>
      </c>
      <c r="F24" s="546">
        <f>VLOOKUP($A24,EFCOS!$A$1:$J$44,(IF($B24=2015,4,IF($B24=2016,5,IF($B24=2017,6,IF($B24=2018,7,IF($B24=2019,8,IF($B24=2020,9,0))))))),FALSE)</f>
        <v>0.20037366892983427</v>
      </c>
      <c r="G24" s="546">
        <f>VLOOKUP($A24,EFNOXS!$A$1:$J$44,(IF($B24=2015,4,IF($B24=2016,5,IF($B24=2017,6,IF($B24=2018,7,IF($B24=2019,8,IF($B24=2020,9,0))))))),FALSE)</f>
        <v>0.18631538743497714</v>
      </c>
      <c r="H24" s="546">
        <f>VLOOKUP($A24,EFSOXS!$A$1:$J$44,(IF($B24=2015,4,IF($B24=2016,5,IF($B24=2017,6,IF($B24=2018,7,IF($B24=2019,8,IF($B24=2020,9,0))))))),FALSE)</f>
        <v>3.2989899838564078E-4</v>
      </c>
      <c r="I24" s="546">
        <f>VLOOKUP($A24,EFPMS!$A$1:$J$44,(IF($B24=2015,4,IF($B24=2016,5,IF($B24=2017,6,IF($B24=2018,7,IF($B24=2019,8,IF($B24=2020,9,0))))))),FALSE)</f>
        <v>8.5525540544657674E-3</v>
      </c>
      <c r="J24" s="536">
        <f t="shared" si="66"/>
        <v>7.6117731084745328E-3</v>
      </c>
      <c r="K24" s="549">
        <f>VLOOKUP($A24,EFCO2S!$A$1:$J$44,(IF($B24=2015,4,IF($B24=2016,5,IF($B24=2017,6,IF($B24=2018,7,IF($B24=2019,8,IF($B24=2020,9,0))))))),FALSE)</f>
        <v>25.519155927350894</v>
      </c>
      <c r="L24" s="546">
        <f>VLOOKUP($A24,EFCH4S!$A$1:$J$44,(IF($B24=2015,4,IF($B24=2016,5,IF($B24=2017,6,IF($B24=2018,7,IF($B24=2019,8,IF($B24=2020,9,0))))))),FALSE)</f>
        <v>2.915585728687426E-3</v>
      </c>
      <c r="M24" s="540">
        <f t="shared" si="67"/>
        <v>1.7699961806322828E-2</v>
      </c>
      <c r="N24" s="108">
        <v>1</v>
      </c>
      <c r="O24" s="108">
        <v>4</v>
      </c>
      <c r="P24" s="109">
        <f>3*22</f>
        <v>66</v>
      </c>
      <c r="Q24" s="39">
        <f t="shared" si="68"/>
        <v>0.12925355776650255</v>
      </c>
      <c r="R24" s="29">
        <f t="shared" si="69"/>
        <v>0.80149467571933708</v>
      </c>
      <c r="S24" s="29">
        <f t="shared" si="70"/>
        <v>0.74526154973990855</v>
      </c>
      <c r="T24" s="29">
        <f t="shared" si="71"/>
        <v>1.3195959935425631E-3</v>
      </c>
      <c r="U24" s="29">
        <f t="shared" si="72"/>
        <v>3.4210216217863069E-2</v>
      </c>
      <c r="V24" s="29">
        <f t="shared" si="73"/>
        <v>3.0447092433898131E-2</v>
      </c>
      <c r="W24" s="29">
        <f t="shared" si="74"/>
        <v>102.07662370940358</v>
      </c>
      <c r="X24" s="29">
        <f t="shared" si="75"/>
        <v>1.1662342914749704E-2</v>
      </c>
      <c r="Y24" s="29">
        <f t="shared" si="76"/>
        <v>7.0799847225291312E-2</v>
      </c>
    </row>
    <row r="25" spans="1:25" s="3" customFormat="1" x14ac:dyDescent="0.25">
      <c r="A25" s="37" t="s">
        <v>199</v>
      </c>
      <c r="B25" s="34">
        <v>2016</v>
      </c>
      <c r="C25" s="25">
        <v>175</v>
      </c>
      <c r="D25" s="134">
        <v>0.38</v>
      </c>
      <c r="E25" s="546">
        <f>VLOOKUP($A25,EFROGS!$A$1:$J$44,(IF($B25=2015,4,IF($B25=2016,5,IF($B25=2017,6,IF($B25=2018,7,IF($B25=2019,8,IF($B25=2020,9,0))))))),FALSE)</f>
        <v>0.10818245578273432</v>
      </c>
      <c r="F25" s="546">
        <f>VLOOKUP($A25,EFCOS!$A$1:$J$44,(IF($B25=2015,4,IF($B25=2016,5,IF($B25=2017,6,IF($B25=2018,7,IF($B25=2019,8,IF($B25=2020,9,0))))))),FALSE)</f>
        <v>0.36086282658912588</v>
      </c>
      <c r="G25" s="546">
        <f>VLOOKUP($A25,EFNOXS!$A$1:$J$44,(IF($B25=2015,4,IF($B25=2016,5,IF($B25=2017,6,IF($B25=2018,7,IF($B25=2019,8,IF($B25=2020,9,0))))))),FALSE)</f>
        <v>0.78543132668854698</v>
      </c>
      <c r="H25" s="546">
        <f>VLOOKUP($A25,EFSOXS!$A$1:$J$44,(IF($B25=2015,4,IF($B25=2016,5,IF($B25=2017,6,IF($B25=2018,7,IF($B25=2019,8,IF($B25=2020,9,0))))))),FALSE)</f>
        <v>1.8739217498104396E-3</v>
      </c>
      <c r="I25" s="546">
        <f>VLOOKUP($A25,EFPMS!$A$1:$J$44,(IF($B25=2015,4,IF($B25=2016,5,IF($B25=2017,6,IF($B25=2018,7,IF($B25=2019,8,IF($B25=2020,9,0))))))),FALSE)</f>
        <v>2.6357448473438287E-2</v>
      </c>
      <c r="J25" s="536">
        <f t="shared" si="66"/>
        <v>2.3458129141360078E-2</v>
      </c>
      <c r="K25" s="549">
        <f>VLOOKUP($A25,EFCO2S!$A$1:$J$44,(IF($B25=2015,4,IF($B25=2016,5,IF($B25=2017,6,IF($B25=2018,7,IF($B25=2019,8,IF($B25=2020,9,0))))))),FALSE)</f>
        <v>166.54541562452522</v>
      </c>
      <c r="L25" s="546">
        <f>VLOOKUP($A25,EFCH4S!$A$1:$J$44,(IF($B25=2015,4,IF($B25=2016,5,IF($B25=2017,6,IF($B25=2018,7,IF($B25=2019,8,IF($B25=2020,9,0))))))),FALSE)</f>
        <v>1.063993297769634E-2</v>
      </c>
      <c r="M25" s="540">
        <f t="shared" si="67"/>
        <v>7.4615976035411966E-2</v>
      </c>
      <c r="N25" s="108">
        <v>1</v>
      </c>
      <c r="O25" s="108">
        <v>1</v>
      </c>
      <c r="P25" s="109">
        <f>3*22</f>
        <v>66</v>
      </c>
      <c r="Q25" s="39">
        <f t="shared" si="68"/>
        <v>0.10818245578273432</v>
      </c>
      <c r="R25" s="29">
        <f t="shared" si="69"/>
        <v>0.36086282658912588</v>
      </c>
      <c r="S25" s="29">
        <f t="shared" si="70"/>
        <v>0.78543132668854698</v>
      </c>
      <c r="T25" s="29">
        <f t="shared" si="71"/>
        <v>1.8739217498104396E-3</v>
      </c>
      <c r="U25" s="29">
        <f t="shared" si="72"/>
        <v>2.6357448473438287E-2</v>
      </c>
      <c r="V25" s="29">
        <f t="shared" si="73"/>
        <v>2.3458129141360078E-2</v>
      </c>
      <c r="W25" s="29">
        <f t="shared" si="74"/>
        <v>166.54541562452522</v>
      </c>
      <c r="X25" s="29">
        <f t="shared" si="75"/>
        <v>1.063993297769634E-2</v>
      </c>
      <c r="Y25" s="29">
        <f t="shared" si="76"/>
        <v>7.4615976035411966E-2</v>
      </c>
    </row>
    <row r="26" spans="1:25" s="3" customFormat="1" x14ac:dyDescent="0.25">
      <c r="A26" s="37" t="s">
        <v>157</v>
      </c>
      <c r="B26" s="34">
        <v>2016</v>
      </c>
      <c r="C26" s="25">
        <v>235</v>
      </c>
      <c r="D26" s="134">
        <v>0.38</v>
      </c>
      <c r="E26" s="546">
        <f>VLOOKUP($A26,EFROGS!$A$1:$J$44,(IF($B26=2015,4,IF($B26=2016,5,IF($B26=2017,6,IF($B26=2018,7,IF($B26=2019,8,IF($B26=2020,9,0))))))),FALSE)</f>
        <v>0.10888615948643803</v>
      </c>
      <c r="F26" s="546">
        <f>VLOOKUP($A26,EFCOS!$A$1:$J$44,(IF($B26=2015,4,IF($B26=2016,5,IF($B26=2017,6,IF($B26=2018,7,IF($B26=2019,8,IF($B26=2020,9,0))))))),FALSE)</f>
        <v>0.37192102764732693</v>
      </c>
      <c r="G26" s="546">
        <f>VLOOKUP($A26,EFNOXS!$A$1:$J$44,(IF($B26=2015,4,IF($B26=2016,5,IF($B26=2017,6,IF($B26=2018,7,IF($B26=2019,8,IF($B26=2020,9,0))))))),FALSE)</f>
        <v>0.78693926319648355</v>
      </c>
      <c r="H26" s="546">
        <f>VLOOKUP($A26,EFSOXS!$A$1:$J$44,(IF($B26=2015,4,IF($B26=2016,5,IF($B26=2017,6,IF($B26=2018,7,IF($B26=2019,8,IF($B26=2020,9,0))))))),FALSE)</f>
        <v>1.8739217498104396E-3</v>
      </c>
      <c r="I26" s="546">
        <f>VLOOKUP($A26,EFPMS!$A$1:$J$44,(IF($B26=2015,4,IF($B26=2016,5,IF($B26=2017,6,IF($B26=2018,7,IF($B26=2019,8,IF($B26=2020,9,0))))))),FALSE)</f>
        <v>2.6432845298835113E-2</v>
      </c>
      <c r="J26" s="536">
        <f t="shared" si="66"/>
        <v>2.3525232315963252E-2</v>
      </c>
      <c r="K26" s="549">
        <f>VLOOKUP($A26,EFCO2S!$A$1:$J$44,(IF($B26=2015,4,IF($B26=2016,5,IF($B26=2017,6,IF($B26=2018,7,IF($B26=2019,8,IF($B26=2020,9,0))))))),FALSE)</f>
        <v>166.54541562452522</v>
      </c>
      <c r="L26" s="546">
        <f>VLOOKUP($A26,EFCH4S!$A$1:$J$44,(IF($B26=2015,4,IF($B26=2016,5,IF($B26=2017,6,IF($B26=2018,7,IF($B26=2019,8,IF($B26=2020,9,0))))))),FALSE)</f>
        <v>1.063993297769634E-2</v>
      </c>
      <c r="M26" s="540">
        <f t="shared" si="67"/>
        <v>7.4759230003665939E-2</v>
      </c>
      <c r="N26" s="108">
        <v>5</v>
      </c>
      <c r="O26" s="108">
        <v>1</v>
      </c>
      <c r="P26" s="109">
        <v>22</v>
      </c>
      <c r="Q26" s="39">
        <f t="shared" si="68"/>
        <v>0.54443079743219014</v>
      </c>
      <c r="R26" s="29">
        <f t="shared" si="69"/>
        <v>1.8596051382366348</v>
      </c>
      <c r="S26" s="29">
        <f t="shared" si="70"/>
        <v>3.9346963159824178</v>
      </c>
      <c r="T26" s="29">
        <f t="shared" si="71"/>
        <v>9.3696087490521985E-3</v>
      </c>
      <c r="U26" s="29">
        <f t="shared" si="72"/>
        <v>0.13216422649417556</v>
      </c>
      <c r="V26" s="29">
        <f t="shared" si="73"/>
        <v>0.11762616157981626</v>
      </c>
      <c r="W26" s="29">
        <f t="shared" si="74"/>
        <v>832.72707812262615</v>
      </c>
      <c r="X26" s="29">
        <f t="shared" si="75"/>
        <v>5.3199664888481699E-2</v>
      </c>
      <c r="Y26" s="29">
        <f t="shared" si="76"/>
        <v>0.37379615001832966</v>
      </c>
    </row>
    <row r="27" spans="1:25" s="3" customFormat="1" x14ac:dyDescent="0.25">
      <c r="A27" s="27" t="s">
        <v>158</v>
      </c>
      <c r="B27" s="34">
        <v>2016</v>
      </c>
      <c r="C27" s="134">
        <v>165</v>
      </c>
      <c r="D27" s="134">
        <v>0.42</v>
      </c>
      <c r="E27" s="546">
        <f>VLOOKUP($A27,EFROGS!$A$1:$J$44,(IF($B27=2015,4,IF($B27=2016,5,IF($B27=2017,6,IF($B27=2018,7,IF($B27=2019,8,IF($B27=2020,9,0))))))),FALSE)</f>
        <v>6.7713438407732779E-2</v>
      </c>
      <c r="F27" s="546">
        <f>VLOOKUP($A27,EFCOS!$A$1:$J$44,(IF($B27=2015,4,IF($B27=2016,5,IF($B27=2017,6,IF($B27=2018,7,IF($B27=2019,8,IF($B27=2020,9,0))))))),FALSE)</f>
        <v>0.56115626588623435</v>
      </c>
      <c r="G27" s="546">
        <f>VLOOKUP($A27,EFNOXS!$A$1:$J$44,(IF($B27=2015,4,IF($B27=2016,5,IF($B27=2017,6,IF($B27=2018,7,IF($B27=2019,8,IF($B27=2020,9,0))))))),FALSE)</f>
        <v>0.53163273020702595</v>
      </c>
      <c r="H27" s="546">
        <f>VLOOKUP($A27,EFSOXS!$A$1:$J$44,(IF($B27=2015,4,IF($B27=2016,5,IF($B27=2017,6,IF($B27=2018,7,IF($B27=2019,8,IF($B27=2020,9,0))))))),FALSE)</f>
        <v>1.1984861301590408E-3</v>
      </c>
      <c r="I27" s="546">
        <f>VLOOKUP($A27,EFPMS!$A$1:$J$44,(IF($B27=2015,4,IF($B27=2016,5,IF($B27=2017,6,IF($B27=2018,7,IF($B27=2019,8,IF($B27=2020,9,0))))))),FALSE)</f>
        <v>2.6383116742669136E-2</v>
      </c>
      <c r="J27" s="536">
        <f t="shared" si="66"/>
        <v>2.3480973900975532E-2</v>
      </c>
      <c r="K27" s="549">
        <f>VLOOKUP($A27,EFCO2S!$A$1:$J$44,(IF($B27=2015,4,IF($B27=2016,5,IF($B27=2017,6,IF($B27=2018,7,IF($B27=2019,8,IF($B27=2020,9,0))))))),FALSE)</f>
        <v>106.51585692695846</v>
      </c>
      <c r="L27" s="546">
        <f>VLOOKUP($A27,EFCH4S!$A$1:$J$44,(IF($B27=2015,4,IF($B27=2016,5,IF($B27=2017,6,IF($B27=2018,7,IF($B27=2019,8,IF($B27=2020,9,0))))))),FALSE)</f>
        <v>6.5740964019932796E-3</v>
      </c>
      <c r="M27" s="540">
        <f t="shared" si="67"/>
        <v>5.0505109369667463E-2</v>
      </c>
      <c r="N27" s="108">
        <v>1</v>
      </c>
      <c r="O27" s="108">
        <v>6</v>
      </c>
      <c r="P27" s="109">
        <f>3*22</f>
        <v>66</v>
      </c>
      <c r="Q27" s="39">
        <f t="shared" si="68"/>
        <v>0.40628063044639667</v>
      </c>
      <c r="R27" s="29">
        <f t="shared" si="69"/>
        <v>3.3669375953174061</v>
      </c>
      <c r="S27" s="29">
        <f t="shared" si="70"/>
        <v>3.1897963812421555</v>
      </c>
      <c r="T27" s="29">
        <f t="shared" si="71"/>
        <v>7.1909167809542443E-3</v>
      </c>
      <c r="U27" s="29">
        <f t="shared" si="72"/>
        <v>0.15829870045601482</v>
      </c>
      <c r="V27" s="29">
        <f t="shared" si="73"/>
        <v>0.14088584340585319</v>
      </c>
      <c r="W27" s="29">
        <f t="shared" si="74"/>
        <v>639.09514156175078</v>
      </c>
      <c r="X27" s="29">
        <f t="shared" si="75"/>
        <v>3.9444578411959676E-2</v>
      </c>
      <c r="Y27" s="29">
        <f t="shared" si="76"/>
        <v>0.30303065621800479</v>
      </c>
    </row>
    <row r="28" spans="1:25" s="3" customFormat="1" x14ac:dyDescent="0.25">
      <c r="A28" s="27" t="s">
        <v>159</v>
      </c>
      <c r="B28" s="34">
        <v>2016</v>
      </c>
      <c r="C28" s="134">
        <v>8</v>
      </c>
      <c r="D28" s="134">
        <v>1</v>
      </c>
      <c r="E28" s="546">
        <f>VLOOKUP($A28,EFROGS!$A$1:$J$44,(IF($B28=2015,4,IF($B28=2016,5,IF($B28=2017,6,IF($B28=2018,7,IF($B28=2019,8,IF($B28=2020,9,0))))))),FALSE)</f>
        <v>1.1765479064338774E-2</v>
      </c>
      <c r="F28" s="546">
        <f>VLOOKUP($A28,EFCOS!$A$1:$J$44,(IF($B28=2015,4,IF($B28=2016,5,IF($B28=2017,6,IF($B28=2018,7,IF($B28=2019,8,IF($B28=2020,9,0))))))),FALSE)</f>
        <v>5.5543241180051911E-2</v>
      </c>
      <c r="G28" s="546">
        <f>VLOOKUP($A28,EFNOXS!$A$1:$J$44,(IF($B28=2015,4,IF($B28=2016,5,IF($B28=2017,6,IF($B28=2018,7,IF($B28=2019,8,IF($B28=2020,9,0))))))),FALSE)</f>
        <v>6.6311908821261228E-2</v>
      </c>
      <c r="H28" s="546">
        <f>VLOOKUP($A28,EFSOXS!$A$1:$J$44,(IF($B28=2015,4,IF($B28=2016,5,IF($B28=2017,6,IF($B28=2018,7,IF($B28=2019,8,IF($B28=2020,9,0))))))),FALSE)</f>
        <v>1.5727915874240951E-4</v>
      </c>
      <c r="I28" s="546">
        <f>VLOOKUP($A28,EFPMS!$A$1:$J$44,(IF($B28=2015,4,IF($B28=2016,5,IF($B28=2017,6,IF($B28=2018,7,IF($B28=2019,8,IF($B28=2020,9,0))))))),FALSE)</f>
        <v>2.5911643423632098E-3</v>
      </c>
      <c r="J28" s="536">
        <f t="shared" si="66"/>
        <v>2.3061362647032566E-3</v>
      </c>
      <c r="K28" s="549">
        <f>VLOOKUP($A28,EFCO2S!$A$1:$J$44,(IF($B28=2015,4,IF($B28=2016,5,IF($B28=2017,6,IF($B28=2018,7,IF($B28=2019,8,IF($B28=2020,9,0))))))),FALSE)</f>
        <v>10.107339932266072</v>
      </c>
      <c r="L28" s="546">
        <f>VLOOKUP($A28,EFCH4S!$A$1:$J$44,(IF($B28=2015,4,IF($B28=2016,5,IF($B28=2017,6,IF($B28=2018,7,IF($B28=2019,8,IF($B28=2020,9,0))))))),FALSE)</f>
        <v>1.0615801067499801E-3</v>
      </c>
      <c r="M28" s="540">
        <f t="shared" si="67"/>
        <v>6.299631338019817E-3</v>
      </c>
      <c r="N28" s="108">
        <v>2</v>
      </c>
      <c r="O28" s="108">
        <v>4</v>
      </c>
      <c r="P28" s="109">
        <v>44</v>
      </c>
      <c r="Q28" s="39">
        <f t="shared" si="68"/>
        <v>9.4123832514710196E-2</v>
      </c>
      <c r="R28" s="29">
        <f t="shared" si="69"/>
        <v>0.44434592944041529</v>
      </c>
      <c r="S28" s="29">
        <f t="shared" si="70"/>
        <v>0.53049527057008983</v>
      </c>
      <c r="T28" s="29">
        <f t="shared" si="71"/>
        <v>1.2582332699392761E-3</v>
      </c>
      <c r="U28" s="29">
        <f t="shared" si="72"/>
        <v>2.0729314738905678E-2</v>
      </c>
      <c r="V28" s="29">
        <f t="shared" si="73"/>
        <v>1.8449090117626053E-2</v>
      </c>
      <c r="W28" s="29">
        <f t="shared" si="74"/>
        <v>80.858719458128576</v>
      </c>
      <c r="X28" s="29">
        <f t="shared" si="75"/>
        <v>8.4926408539998405E-3</v>
      </c>
      <c r="Y28" s="29">
        <f t="shared" si="76"/>
        <v>5.0397050704158536E-2</v>
      </c>
    </row>
    <row r="29" spans="1:25" s="3" customFormat="1" x14ac:dyDescent="0.25">
      <c r="A29" s="19" t="s">
        <v>38</v>
      </c>
      <c r="B29" s="36"/>
      <c r="C29" s="20"/>
      <c r="D29" s="134"/>
      <c r="E29" s="21"/>
      <c r="F29" s="21"/>
      <c r="G29" s="21"/>
      <c r="H29" s="21"/>
      <c r="I29" s="21"/>
      <c r="J29" s="21"/>
      <c r="K29" s="21"/>
      <c r="L29" s="21"/>
      <c r="M29" s="114"/>
      <c r="N29" s="143"/>
      <c r="O29" s="143"/>
      <c r="P29" s="144"/>
      <c r="Q29" s="138">
        <f>SUM(Q20:Q28)</f>
        <v>3.029384877181434</v>
      </c>
      <c r="R29" s="138">
        <f t="shared" ref="R29:Y29" si="77">SUM(R20:R28)</f>
        <v>15.781522500549997</v>
      </c>
      <c r="S29" s="138">
        <f t="shared" si="77"/>
        <v>22.375092871315925</v>
      </c>
      <c r="T29" s="138">
        <f t="shared" si="77"/>
        <v>5.0013922460680003E-2</v>
      </c>
      <c r="U29" s="138">
        <f t="shared" si="77"/>
        <v>0.94643126233880559</v>
      </c>
      <c r="V29" s="138">
        <f t="shared" si="77"/>
        <v>0.84232382348153712</v>
      </c>
      <c r="W29" s="138">
        <f t="shared" si="77"/>
        <v>4364.1017042699568</v>
      </c>
      <c r="X29" s="138">
        <f t="shared" si="77"/>
        <v>0.29454631138210996</v>
      </c>
      <c r="Y29" s="138">
        <f t="shared" si="77"/>
        <v>2.1256338227750136</v>
      </c>
    </row>
    <row r="30" spans="1:25" s="3" customFormat="1" x14ac:dyDescent="0.25">
      <c r="A30" s="19"/>
      <c r="B30" s="36"/>
      <c r="C30" s="20"/>
      <c r="D30" s="134"/>
      <c r="E30" s="21"/>
      <c r="F30" s="21"/>
      <c r="G30" s="21"/>
      <c r="H30" s="21"/>
      <c r="I30" s="21"/>
      <c r="J30" s="21"/>
      <c r="K30" s="21"/>
      <c r="L30" s="21"/>
      <c r="M30" s="114"/>
      <c r="N30" s="143"/>
      <c r="O30" s="143"/>
      <c r="P30" s="144"/>
      <c r="Q30" s="138"/>
      <c r="R30" s="31"/>
      <c r="S30" s="31"/>
      <c r="T30" s="31"/>
      <c r="U30" s="31"/>
      <c r="V30" s="31"/>
      <c r="W30" s="33"/>
      <c r="X30" s="31"/>
      <c r="Y30" s="31"/>
    </row>
    <row r="31" spans="1:25" s="3" customFormat="1" x14ac:dyDescent="0.25">
      <c r="A31" s="19" t="s">
        <v>170</v>
      </c>
      <c r="B31" s="34">
        <v>2018</v>
      </c>
      <c r="C31" s="20"/>
      <c r="D31" s="134"/>
      <c r="E31" s="21"/>
      <c r="F31" s="21"/>
      <c r="G31" s="21"/>
      <c r="H31" s="21"/>
      <c r="I31" s="21"/>
      <c r="J31" s="21"/>
      <c r="K31" s="21"/>
      <c r="L31" s="21"/>
      <c r="M31" s="114"/>
      <c r="N31" s="143"/>
      <c r="O31" s="143"/>
      <c r="P31" s="144"/>
      <c r="Q31" s="138"/>
      <c r="R31" s="31"/>
      <c r="S31" s="31"/>
      <c r="T31" s="31"/>
      <c r="U31" s="31"/>
      <c r="V31" s="31"/>
      <c r="W31" s="33"/>
      <c r="X31" s="31"/>
      <c r="Y31" s="31"/>
    </row>
    <row r="32" spans="1:25" s="3" customFormat="1" x14ac:dyDescent="0.25">
      <c r="A32" s="27" t="s">
        <v>162</v>
      </c>
      <c r="B32" s="34">
        <v>2018</v>
      </c>
      <c r="C32" s="25">
        <v>235</v>
      </c>
      <c r="D32" s="25">
        <v>0.38</v>
      </c>
      <c r="E32" s="546">
        <f>VLOOKUP($A32,EFROGS!$A$1:$J$44,(IF($B32=2015,4,IF($B32=2016,5,IF($B32=2017,6,IF($B32=2018,7,IF($B32=2019,8,IF($B32=2020,9,0))))))),FALSE)</f>
        <v>8.119224107646289E-2</v>
      </c>
      <c r="F32" s="546">
        <f>VLOOKUP($A32,EFCOS!$A$1:$J$44,(IF($B32=2015,4,IF($B32=2016,5,IF($B32=2017,6,IF($B32=2018,7,IF($B32=2019,8,IF($B32=2020,9,0))))))),FALSE)</f>
        <v>0.37994200133931877</v>
      </c>
      <c r="G32" s="546">
        <f>VLOOKUP($A32,EFNOXS!$A$1:$J$44,(IF($B32=2015,4,IF($B32=2016,5,IF($B32=2017,6,IF($B32=2018,7,IF($B32=2019,8,IF($B32=2020,9,0))))))),FALSE)</f>
        <v>0.48394485675138055</v>
      </c>
      <c r="H32" s="546">
        <f>VLOOKUP($A32,EFSOXS!$A$1:$J$44,(IF($B32=2015,4,IF($B32=2016,5,IF($B32=2017,6,IF($B32=2018,7,IF($B32=2019,8,IF($B32=2020,9,0))))))),FALSE)</f>
        <v>1.873921930245647E-3</v>
      </c>
      <c r="I32" s="546">
        <f>VLOOKUP($A32,EFPMS!$A$1:$J$44,(IF($B32=2015,4,IF($B32=2016,5,IF($B32=2017,6,IF($B32=2018,7,IF($B32=2019,8,IF($B32=2020,9,0))))))),FALSE)</f>
        <v>1.6665559588840455E-2</v>
      </c>
      <c r="J32" s="536">
        <f t="shared" ref="J32:J39" si="78">0.89*I32</f>
        <v>1.4832348034068006E-2</v>
      </c>
      <c r="K32" s="549">
        <f>VLOOKUP($A32,EFCO2S!$A$1:$J$44,(IF($B32=2015,4,IF($B32=2016,5,IF($B32=2017,6,IF($B32=2018,7,IF($B32=2019,8,IF($B32=2020,9,0))))))),FALSE)</f>
        <v>166.54543379579488</v>
      </c>
      <c r="L32" s="546">
        <f>VLOOKUP($A32,EFCH4S!$A$1:$J$44,(IF($B32=2015,4,IF($B32=2016,5,IF($B32=2017,6,IF($B32=2018,7,IF($B32=2019,8,IF($B32=2020,9,0))))))),FALSE)</f>
        <v>9.3996999235005617E-3</v>
      </c>
      <c r="M32" s="540">
        <f t="shared" ref="M32:M39" si="79">0.095*G32</f>
        <v>4.5974761391381153E-2</v>
      </c>
      <c r="N32" s="108">
        <v>1</v>
      </c>
      <c r="O32" s="108">
        <v>6</v>
      </c>
      <c r="P32" s="109">
        <f>3*22</f>
        <v>66</v>
      </c>
      <c r="Q32" s="39">
        <f t="shared" ref="Q32:Q39" si="80">(E32*$N32*$O32)</f>
        <v>0.48715344645877734</v>
      </c>
      <c r="R32" s="29">
        <f t="shared" ref="R32:R39" si="81">(F32*$N32*$O32)</f>
        <v>2.2796520080359128</v>
      </c>
      <c r="S32" s="29">
        <f t="shared" ref="S32:S39" si="82">(G32*$N32*$O32)</f>
        <v>2.9036691405082831</v>
      </c>
      <c r="T32" s="29">
        <f t="shared" ref="T32:T39" si="83">(H32*$N32*$O32)</f>
        <v>1.1243531581473882E-2</v>
      </c>
      <c r="U32" s="29">
        <f t="shared" ref="U32:U39" si="84">(I32*$N32*$O32)</f>
        <v>9.9993357533042726E-2</v>
      </c>
      <c r="V32" s="29">
        <f t="shared" ref="V32:V39" si="85">(J32*$N32*$O32)</f>
        <v>8.8994088204408031E-2</v>
      </c>
      <c r="W32" s="29">
        <f t="shared" ref="W32:W39" si="86">(K32*$N32*$O32)</f>
        <v>999.27260277476921</v>
      </c>
      <c r="X32" s="29">
        <f t="shared" ref="X32:X39" si="87">(L32*$N32*$O32)</f>
        <v>5.639819954100337E-2</v>
      </c>
      <c r="Y32" s="29">
        <f t="shared" ref="Y32:Y39" si="88">(M32*$N32*$O32)</f>
        <v>0.27584856834828692</v>
      </c>
    </row>
    <row r="33" spans="1:25" s="3" customFormat="1" x14ac:dyDescent="0.25">
      <c r="A33" s="27" t="s">
        <v>156</v>
      </c>
      <c r="B33" s="34">
        <v>2018</v>
      </c>
      <c r="C33" s="134">
        <v>37</v>
      </c>
      <c r="D33" s="134">
        <v>0.37</v>
      </c>
      <c r="E33" s="546">
        <f>VLOOKUP($A33,EFROGS!$A$1:$J$44,(IF($B33=2015,4,IF($B33=2016,5,IF($B33=2017,6,IF($B33=2018,7,IF($B33=2019,8,IF($B33=2020,9,0))))))),FALSE)</f>
        <v>2.6321181794284464E-2</v>
      </c>
      <c r="F33" s="546">
        <f>VLOOKUP($A33,EFCOS!$A$1:$J$44,(IF($B33=2015,4,IF($B33=2016,5,IF($B33=2017,6,IF($B33=2018,7,IF($B33=2019,8,IF($B33=2020,9,0))))))),FALSE)</f>
        <v>0.17955203678474077</v>
      </c>
      <c r="G33" s="546">
        <f>VLOOKUP($A33,EFNOXS!$A$1:$J$44,(IF($B33=2015,4,IF($B33=2016,5,IF($B33=2017,6,IF($B33=2018,7,IF($B33=2019,8,IF($B33=2020,9,0))))))),FALSE)</f>
        <v>0.15677301180901521</v>
      </c>
      <c r="H33" s="546">
        <f>VLOOKUP($A33,EFSOXS!$A$1:$J$44,(IF($B33=2015,4,IF($B33=2016,5,IF($B33=2017,6,IF($B33=2018,7,IF($B33=2019,8,IF($B33=2020,9,0))))))),FALSE)</f>
        <v>3.2989903974974726E-4</v>
      </c>
      <c r="I33" s="546">
        <f>VLOOKUP($A33,EFPMS!$A$1:$J$44,(IF($B33=2015,4,IF($B33=2016,5,IF($B33=2017,6,IF($B33=2018,7,IF($B33=2019,8,IF($B33=2020,9,0))))))),FALSE)</f>
        <v>4.7346803420060734E-3</v>
      </c>
      <c r="J33" s="536">
        <f t="shared" si="78"/>
        <v>4.2138655043854056E-3</v>
      </c>
      <c r="K33" s="549">
        <f>VLOOKUP($A33,EFCO2S!$A$1:$J$44,(IF($B33=2015,4,IF($B33=2016,5,IF($B33=2017,6,IF($B33=2018,7,IF($B33=2019,8,IF($B33=2020,9,0))))))),FALSE)</f>
        <v>25.519164465886792</v>
      </c>
      <c r="L33" s="546">
        <f>VLOOKUP($A33,EFCH4S!$A$1:$J$44,(IF($B33=2015,4,IF($B33=2016,5,IF($B33=2017,6,IF($B33=2018,7,IF($B33=2019,8,IF($B33=2020,9,0))))))),FALSE)</f>
        <v>2.3749178457344233E-3</v>
      </c>
      <c r="M33" s="540">
        <f t="shared" si="79"/>
        <v>1.4893436121856445E-2</v>
      </c>
      <c r="N33" s="108">
        <v>1</v>
      </c>
      <c r="O33" s="108">
        <v>2</v>
      </c>
      <c r="P33" s="109">
        <f>0.3*22</f>
        <v>6.6</v>
      </c>
      <c r="Q33" s="39">
        <f t="shared" si="80"/>
        <v>5.2642363588568927E-2</v>
      </c>
      <c r="R33" s="29">
        <f t="shared" si="81"/>
        <v>0.35910407356948154</v>
      </c>
      <c r="S33" s="29">
        <f t="shared" si="82"/>
        <v>0.31354602361803041</v>
      </c>
      <c r="T33" s="29">
        <f t="shared" si="83"/>
        <v>6.5979807949949451E-4</v>
      </c>
      <c r="U33" s="29">
        <f t="shared" si="84"/>
        <v>9.4693606840121469E-3</v>
      </c>
      <c r="V33" s="29">
        <f t="shared" si="85"/>
        <v>8.4277310087708113E-3</v>
      </c>
      <c r="W33" s="29">
        <f t="shared" si="86"/>
        <v>51.038328931773584</v>
      </c>
      <c r="X33" s="29">
        <f t="shared" si="87"/>
        <v>4.7498356914688466E-3</v>
      </c>
      <c r="Y33" s="29">
        <f t="shared" si="88"/>
        <v>2.9786872243712889E-2</v>
      </c>
    </row>
    <row r="34" spans="1:25" s="3" customFormat="1" x14ac:dyDescent="0.25">
      <c r="A34" s="27" t="s">
        <v>202</v>
      </c>
      <c r="B34" s="34">
        <v>2018</v>
      </c>
      <c r="C34" s="25">
        <v>399</v>
      </c>
      <c r="D34" s="25">
        <v>0.28999999999999998</v>
      </c>
      <c r="E34" s="546">
        <f>VLOOKUP($A34,EFROGS!$A$1:$J$44,(IF($B34=2015,4,IF($B34=2016,5,IF($B34=2017,6,IF($B34=2018,7,IF($B34=2019,8,IF($B34=2020,9,0))))))),FALSE)</f>
        <v>9.4826505737279188E-2</v>
      </c>
      <c r="F34" s="546">
        <f>VLOOKUP($A34,EFCOS!$A$1:$J$44,(IF($B34=2015,4,IF($B34=2016,5,IF($B34=2017,6,IF($B34=2018,7,IF($B34=2019,8,IF($B34=2020,9,0))))))),FALSE)</f>
        <v>0.45434236467617739</v>
      </c>
      <c r="G34" s="546">
        <f>VLOOKUP($A34,EFNOXS!$A$1:$J$44,(IF($B34=2015,4,IF($B34=2016,5,IF($B34=2017,6,IF($B34=2018,7,IF($B34=2019,8,IF($B34=2020,9,0))))))),FALSE)</f>
        <v>0.63535292909985608</v>
      </c>
      <c r="H34" s="546">
        <f>VLOOKUP($A34,EFSOXS!$A$1:$J$44,(IF($B34=2015,4,IF($B34=2016,5,IF($B34=2017,6,IF($B34=2018,7,IF($B34=2019,8,IF($B34=2020,9,0))))))),FALSE)</f>
        <v>1.7677529466161633E-3</v>
      </c>
      <c r="I34" s="546">
        <f>VLOOKUP($A34,EFPMS!$A$1:$J$44,(IF($B34=2015,4,IF($B34=2016,5,IF($B34=2017,6,IF($B34=2018,7,IF($B34=2019,8,IF($B34=2020,9,0))))))),FALSE)</f>
        <v>2.3360137726921776E-2</v>
      </c>
      <c r="J34" s="536">
        <f t="shared" si="78"/>
        <v>2.0790522576960381E-2</v>
      </c>
      <c r="K34" s="549">
        <f>VLOOKUP($A34,EFCO2S!$A$1:$J$44,(IF($B34=2015,4,IF($B34=2016,5,IF($B34=2017,6,IF($B34=2018,7,IF($B34=2019,8,IF($B34=2020,9,0))))))),FALSE)</f>
        <v>180.10127182932982</v>
      </c>
      <c r="L34" s="546">
        <f>VLOOKUP($A34,EFCH4S!$A$1:$J$44,(IF($B34=2015,4,IF($B34=2016,5,IF($B34=2017,6,IF($B34=2018,7,IF($B34=2019,8,IF($B34=2020,9,0))))))),FALSE)</f>
        <v>1.0841920844072756E-2</v>
      </c>
      <c r="M34" s="540">
        <f t="shared" si="79"/>
        <v>6.035852826448633E-2</v>
      </c>
      <c r="N34" s="108">
        <v>1</v>
      </c>
      <c r="O34" s="108">
        <v>2</v>
      </c>
      <c r="P34" s="109">
        <f>6*22</f>
        <v>132</v>
      </c>
      <c r="Q34" s="39">
        <f t="shared" ref="Q34" si="89">(E34*$N34*$O34)</f>
        <v>0.18965301147455838</v>
      </c>
      <c r="R34" s="29">
        <f t="shared" ref="R34" si="90">(F34*$N34*$O34)</f>
        <v>0.90868472935235478</v>
      </c>
      <c r="S34" s="29">
        <f t="shared" ref="S34" si="91">(G34*$N34*$O34)</f>
        <v>1.2707058581997122</v>
      </c>
      <c r="T34" s="29">
        <f t="shared" ref="T34" si="92">(H34*$N34*$O34)</f>
        <v>3.5355058932323266E-3</v>
      </c>
      <c r="U34" s="29">
        <f t="shared" ref="U34" si="93">(I34*$N34*$O34)</f>
        <v>4.6720275453843552E-2</v>
      </c>
      <c r="V34" s="29">
        <f t="shared" ref="V34" si="94">(J34*$N34*$O34)</f>
        <v>4.1581045153920762E-2</v>
      </c>
      <c r="W34" s="29">
        <f t="shared" ref="W34" si="95">(K34*$N34*$O34)</f>
        <v>360.20254365865964</v>
      </c>
      <c r="X34" s="29">
        <f t="shared" ref="X34" si="96">(L34*$N34*$O34)</f>
        <v>2.1683841688145512E-2</v>
      </c>
      <c r="Y34" s="29">
        <f t="shared" ref="Y34" si="97">(M34*$N34*$O34)</f>
        <v>0.12071705652897266</v>
      </c>
    </row>
    <row r="35" spans="1:25" s="3" customFormat="1" x14ac:dyDescent="0.25">
      <c r="A35" s="27" t="s">
        <v>163</v>
      </c>
      <c r="B35" s="34">
        <v>2018</v>
      </c>
      <c r="C35" s="25">
        <v>75</v>
      </c>
      <c r="D35" s="25">
        <v>0.31</v>
      </c>
      <c r="E35" s="546">
        <f>VLOOKUP($A35,EFROGS!$A$1:$J$44,(IF($B35=2015,4,IF($B35=2016,5,IF($B35=2017,6,IF($B35=2018,7,IF($B35=2019,8,IF($B35=2020,9,0))))))),FALSE)</f>
        <v>2.503304302758573E-2</v>
      </c>
      <c r="F35" s="546">
        <f>VLOOKUP($A35,EFCOS!$A$1:$J$44,(IF($B35=2015,4,IF($B35=2016,5,IF($B35=2017,6,IF($B35=2018,7,IF($B35=2019,8,IF($B35=2020,9,0))))))),FALSE)</f>
        <v>0.21923257911050123</v>
      </c>
      <c r="G35" s="546">
        <f>VLOOKUP($A35,EFNOXS!$A$1:$J$44,(IF($B35=2015,4,IF($B35=2016,5,IF($B35=2017,6,IF($B35=2018,7,IF($B35=2019,8,IF($B35=2020,9,0))))))),FALSE)</f>
        <v>0.18418335618414555</v>
      </c>
      <c r="H35" s="546">
        <f>VLOOKUP($A35,EFSOXS!$A$1:$J$44,(IF($B35=2015,4,IF($B35=2016,5,IF($B35=2017,6,IF($B35=2018,7,IF($B35=2019,8,IF($B35=2020,9,0))))))),FALSE)</f>
        <v>4.466019753080203E-4</v>
      </c>
      <c r="I35" s="546">
        <f>VLOOKUP($A35,EFPMS!$A$1:$J$44,(IF($B35=2015,4,IF($B35=2016,5,IF($B35=2017,6,IF($B35=2018,7,IF($B35=2019,8,IF($B35=2020,9,0))))))),FALSE)</f>
        <v>1.2096076420543793E-2</v>
      </c>
      <c r="J35" s="536">
        <f t="shared" si="78"/>
        <v>1.0765508014283977E-2</v>
      </c>
      <c r="K35" s="549">
        <f>VLOOKUP($A35,EFCO2S!$A$1:$J$44,(IF($B35=2015,4,IF($B35=2016,5,IF($B35=2017,6,IF($B35=2018,7,IF($B35=2019,8,IF($B35=2020,9,0))))))),FALSE)</f>
        <v>38.071830204285249</v>
      </c>
      <c r="L35" s="546">
        <f>VLOOKUP($A35,EFCH4S!$A$1:$J$44,(IF($B35=2015,4,IF($B35=2016,5,IF($B35=2017,6,IF($B35=2018,7,IF($B35=2019,8,IF($B35=2020,9,0))))))),FALSE)</f>
        <v>2.9492141591912126E-3</v>
      </c>
      <c r="M35" s="540">
        <f t="shared" si="79"/>
        <v>1.7497418837493828E-2</v>
      </c>
      <c r="N35" s="108">
        <v>1</v>
      </c>
      <c r="O35" s="108">
        <v>6</v>
      </c>
      <c r="P35" s="109">
        <f>6*22</f>
        <v>132</v>
      </c>
      <c r="Q35" s="39">
        <f t="shared" si="80"/>
        <v>0.15019825816551438</v>
      </c>
      <c r="R35" s="29">
        <f t="shared" si="81"/>
        <v>1.3153954746630074</v>
      </c>
      <c r="S35" s="29">
        <f t="shared" si="82"/>
        <v>1.1051001371048734</v>
      </c>
      <c r="T35" s="29">
        <f t="shared" si="83"/>
        <v>2.6796118518481217E-3</v>
      </c>
      <c r="U35" s="29">
        <f t="shared" si="84"/>
        <v>7.2576458523262763E-2</v>
      </c>
      <c r="V35" s="29">
        <f t="shared" si="85"/>
        <v>6.4593048085703861E-2</v>
      </c>
      <c r="W35" s="29">
        <f t="shared" si="86"/>
        <v>228.43098122571149</v>
      </c>
      <c r="X35" s="29">
        <f t="shared" si="87"/>
        <v>1.7695284955147276E-2</v>
      </c>
      <c r="Y35" s="29">
        <f t="shared" si="88"/>
        <v>0.10498451302496298</v>
      </c>
    </row>
    <row r="36" spans="1:25" s="3" customFormat="1" x14ac:dyDescent="0.25">
      <c r="A36" s="27" t="s">
        <v>165</v>
      </c>
      <c r="B36" s="34">
        <v>2018</v>
      </c>
      <c r="C36" s="25">
        <v>525</v>
      </c>
      <c r="D36" s="25">
        <v>1</v>
      </c>
      <c r="E36" s="546">
        <f>VLOOKUP($A36,EFROGS!$A$1:$J$44,(IF($B36=2015,4,IF($B36=2016,5,IF($B36=2017,6,IF($B36=2018,7,IF($B36=2019,8,IF($B36=2020,9,0))))))),FALSE)</f>
        <v>0</v>
      </c>
      <c r="F36" s="546">
        <f>VLOOKUP($A36,EFCOS!$A$1:$J$44,(IF($B36=2015,4,IF($B36=2016,5,IF($B36=2017,6,IF($B36=2018,7,IF($B36=2019,8,IF($B36=2020,9,0))))))),FALSE)</f>
        <v>0</v>
      </c>
      <c r="G36" s="546">
        <f>VLOOKUP($A36,EFNOXS!$A$1:$J$44,(IF($B36=2015,4,IF($B36=2016,5,IF($B36=2017,6,IF($B36=2018,7,IF($B36=2019,8,IF($B36=2020,9,0))))))),FALSE)</f>
        <v>0</v>
      </c>
      <c r="H36" s="546">
        <f>VLOOKUP($A36,EFSOXS!$A$1:$J$44,(IF($B36=2015,4,IF($B36=2016,5,IF($B36=2017,6,IF($B36=2018,7,IF($B36=2019,8,IF($B36=2020,9,0))))))),FALSE)</f>
        <v>0</v>
      </c>
      <c r="I36" s="546">
        <f>VLOOKUP($A36,EFPMS!$A$1:$J$44,(IF($B36=2015,4,IF($B36=2016,5,IF($B36=2017,6,IF($B36=2018,7,IF($B36=2019,8,IF($B36=2020,9,0))))))),FALSE)</f>
        <v>0</v>
      </c>
      <c r="J36" s="536">
        <f t="shared" si="78"/>
        <v>0</v>
      </c>
      <c r="K36" s="549">
        <f>VLOOKUP($A36,EFCO2S!$A$1:$J$44,(IF($B36=2015,4,IF($B36=2016,5,IF($B36=2017,6,IF($B36=2018,7,IF($B36=2019,8,IF($B36=2020,9,0))))))),FALSE)</f>
        <v>0</v>
      </c>
      <c r="L36" s="546">
        <f>VLOOKUP($A36,EFCH4S!$A$1:$J$44,(IF($B36=2015,4,IF($B36=2016,5,IF($B36=2017,6,IF($B36=2018,7,IF($B36=2019,8,IF($B36=2020,9,0))))))),FALSE)</f>
        <v>0</v>
      </c>
      <c r="M36" s="540">
        <f t="shared" si="79"/>
        <v>0</v>
      </c>
      <c r="N36" s="108">
        <v>1</v>
      </c>
      <c r="O36" s="108">
        <v>1</v>
      </c>
      <c r="P36" s="109">
        <v>22</v>
      </c>
      <c r="Q36" s="39">
        <f t="shared" si="80"/>
        <v>0</v>
      </c>
      <c r="R36" s="29">
        <f t="shared" si="81"/>
        <v>0</v>
      </c>
      <c r="S36" s="29">
        <f t="shared" si="82"/>
        <v>0</v>
      </c>
      <c r="T36" s="29">
        <f t="shared" si="83"/>
        <v>0</v>
      </c>
      <c r="U36" s="29">
        <f t="shared" si="84"/>
        <v>0</v>
      </c>
      <c r="V36" s="29">
        <f t="shared" si="85"/>
        <v>0</v>
      </c>
      <c r="W36" s="29">
        <f t="shared" si="86"/>
        <v>0</v>
      </c>
      <c r="X36" s="29">
        <f t="shared" si="87"/>
        <v>0</v>
      </c>
      <c r="Y36" s="29">
        <f t="shared" si="88"/>
        <v>0</v>
      </c>
    </row>
    <row r="37" spans="1:25" s="3" customFormat="1" x14ac:dyDescent="0.25">
      <c r="A37" s="27" t="s">
        <v>166</v>
      </c>
      <c r="B37" s="34">
        <v>2018</v>
      </c>
      <c r="C37" s="25">
        <v>300</v>
      </c>
      <c r="D37" s="25">
        <v>0.42</v>
      </c>
      <c r="E37" s="546">
        <f>VLOOKUP($A37,EFROGS!$A$1:$J$44,(IF($B37=2015,4,IF($B37=2016,5,IF($B37=2017,6,IF($B37=2018,7,IF($B37=2019,8,IF($B37=2020,9,0))))))),FALSE)</f>
        <v>8.9114694806079767E-2</v>
      </c>
      <c r="F37" s="546">
        <f>VLOOKUP($A37,EFCOS!$A$1:$J$44,(IF($B37=2015,4,IF($B37=2016,5,IF($B37=2017,6,IF($B37=2018,7,IF($B37=2019,8,IF($B37=2020,9,0))))))),FALSE)</f>
        <v>0.49788582627608957</v>
      </c>
      <c r="G37" s="546">
        <f>VLOOKUP($A37,EFNOXS!$A$1:$J$44,(IF($B37=2015,4,IF($B37=2016,5,IF($B37=2017,6,IF($B37=2018,7,IF($B37=2019,8,IF($B37=2020,9,0))))))),FALSE)</f>
        <v>0.58288128371480197</v>
      </c>
      <c r="H37" s="546">
        <f>VLOOKUP($A37,EFSOXS!$A$1:$J$44,(IF($B37=2015,4,IF($B37=2016,5,IF($B37=2017,6,IF($B37=2018,7,IF($B37=2019,8,IF($B37=2020,9,0))))))),FALSE)</f>
        <v>2.4954338651265763E-3</v>
      </c>
      <c r="I37" s="546">
        <f>VLOOKUP($A37,EFPMS!$A$1:$J$44,(IF($B37=2015,4,IF($B37=2016,5,IF($B37=2017,6,IF($B37=2018,7,IF($B37=2019,8,IF($B37=2020,9,0))))))),FALSE)</f>
        <v>2.0403482403565855E-2</v>
      </c>
      <c r="J37" s="536">
        <f t="shared" si="78"/>
        <v>1.8159099339173611E-2</v>
      </c>
      <c r="K37" s="549">
        <f>VLOOKUP($A37,EFCO2S!$A$1:$J$44,(IF($B37=2015,4,IF($B37=2016,5,IF($B37=2017,6,IF($B37=2018,7,IF($B37=2019,8,IF($B37=2020,9,0))))))),FALSE)</f>
        <v>254.23847108919361</v>
      </c>
      <c r="L37" s="546">
        <f>VLOOKUP($A37,EFCH4S!$A$1:$J$44,(IF($B37=2015,4,IF($B37=2016,5,IF($B37=2017,6,IF($B37=2018,7,IF($B37=2019,8,IF($B37=2020,9,0))))))),FALSE)</f>
        <v>1.0126092850486785E-2</v>
      </c>
      <c r="M37" s="540">
        <f t="shared" si="79"/>
        <v>5.5373721952906185E-2</v>
      </c>
      <c r="N37" s="108">
        <v>1</v>
      </c>
      <c r="O37" s="108">
        <v>1</v>
      </c>
      <c r="P37" s="109">
        <v>22</v>
      </c>
      <c r="Q37" s="39">
        <f t="shared" si="80"/>
        <v>8.9114694806079767E-2</v>
      </c>
      <c r="R37" s="29">
        <f t="shared" si="81"/>
        <v>0.49788582627608957</v>
      </c>
      <c r="S37" s="29">
        <f t="shared" si="82"/>
        <v>0.58288128371480197</v>
      </c>
      <c r="T37" s="29">
        <f t="shared" si="83"/>
        <v>2.4954338651265763E-3</v>
      </c>
      <c r="U37" s="29">
        <f t="shared" si="84"/>
        <v>2.0403482403565855E-2</v>
      </c>
      <c r="V37" s="29">
        <f t="shared" si="85"/>
        <v>1.8159099339173611E-2</v>
      </c>
      <c r="W37" s="29">
        <f t="shared" si="86"/>
        <v>254.23847108919361</v>
      </c>
      <c r="X37" s="29">
        <f t="shared" si="87"/>
        <v>1.0126092850486785E-2</v>
      </c>
      <c r="Y37" s="29">
        <f t="shared" si="88"/>
        <v>5.5373721952906185E-2</v>
      </c>
    </row>
    <row r="38" spans="1:25" s="3" customFormat="1" x14ac:dyDescent="0.25">
      <c r="A38" s="27" t="s">
        <v>203</v>
      </c>
      <c r="B38" s="34">
        <v>2018</v>
      </c>
      <c r="C38" s="25">
        <v>175</v>
      </c>
      <c r="D38" s="25">
        <v>0.38</v>
      </c>
      <c r="E38" s="546">
        <f>VLOOKUP($A38,EFROGS!$A$1:$J$44,(IF($B38=2015,4,IF($B38=2016,5,IF($B38=2017,6,IF($B38=2018,7,IF($B38=2019,8,IF($B38=2020,9,0))))))),FALSE)</f>
        <v>7.9081129965351771E-2</v>
      </c>
      <c r="F38" s="546">
        <f>VLOOKUP($A38,EFCOS!$A$1:$J$44,(IF($B38=2015,4,IF($B38=2016,5,IF($B38=2017,6,IF($B38=2018,7,IF($B38=2019,8,IF($B38=2020,9,0))))))),FALSE)</f>
        <v>0.34676739816471558</v>
      </c>
      <c r="G38" s="546">
        <f>VLOOKUP($A38,EFNOXS!$A$1:$J$44,(IF($B38=2015,4,IF($B38=2016,5,IF($B38=2017,6,IF($B38=2018,7,IF($B38=2019,8,IF($B38=2020,9,0))))))),FALSE)</f>
        <v>0.47942104722757106</v>
      </c>
      <c r="H38" s="546">
        <f>VLOOKUP($A38,EFSOXS!$A$1:$J$44,(IF($B38=2015,4,IF($B38=2016,5,IF($B38=2017,6,IF($B38=2018,7,IF($B38=2019,8,IF($B38=2020,9,0))))))),FALSE)</f>
        <v>1.873921930245647E-3</v>
      </c>
      <c r="I38" s="546">
        <f>VLOOKUP($A38,EFPMS!$A$1:$J$44,(IF($B38=2015,4,IF($B38=2016,5,IF($B38=2017,6,IF($B38=2018,7,IF($B38=2019,8,IF($B38=2020,9,0))))))),FALSE)</f>
        <v>1.6439369112649978E-2</v>
      </c>
      <c r="J38" s="536">
        <f t="shared" si="78"/>
        <v>1.463103851025848E-2</v>
      </c>
      <c r="K38" s="549">
        <f>VLOOKUP($A38,EFCO2S!$A$1:$J$44,(IF($B38=2015,4,IF($B38=2016,5,IF($B38=2017,6,IF($B38=2018,7,IF($B38=2019,8,IF($B38=2020,9,0))))))),FALSE)</f>
        <v>166.54543379579488</v>
      </c>
      <c r="L38" s="546">
        <f>VLOOKUP($A38,EFCH4S!$A$1:$J$44,(IF($B38=2015,4,IF($B38=2016,5,IF($B38=2017,6,IF($B38=2018,7,IF($B38=2019,8,IF($B38=2020,9,0))))))),FALSE)</f>
        <v>9.3996999235005617E-3</v>
      </c>
      <c r="M38" s="540">
        <f t="shared" si="79"/>
        <v>4.5544999486619255E-2</v>
      </c>
      <c r="N38" s="135">
        <v>2</v>
      </c>
      <c r="O38" s="135">
        <v>1</v>
      </c>
      <c r="P38" s="109">
        <f>6*22</f>
        <v>132</v>
      </c>
      <c r="Q38" s="39">
        <f t="shared" si="80"/>
        <v>0.15816225993070354</v>
      </c>
      <c r="R38" s="39">
        <f t="shared" si="81"/>
        <v>0.69353479632943116</v>
      </c>
      <c r="S38" s="39">
        <f t="shared" si="82"/>
        <v>0.95884209445514212</v>
      </c>
      <c r="T38" s="39">
        <f t="shared" si="83"/>
        <v>3.7478438604912939E-3</v>
      </c>
      <c r="U38" s="39">
        <f t="shared" si="84"/>
        <v>3.2878738225299957E-2</v>
      </c>
      <c r="V38" s="39">
        <f t="shared" si="85"/>
        <v>2.9262077020516961E-2</v>
      </c>
      <c r="W38" s="39">
        <f t="shared" si="86"/>
        <v>333.09086759158976</v>
      </c>
      <c r="X38" s="39">
        <f t="shared" si="87"/>
        <v>1.8799399847001123E-2</v>
      </c>
      <c r="Y38" s="39">
        <f t="shared" si="88"/>
        <v>9.1089998973238509E-2</v>
      </c>
    </row>
    <row r="39" spans="1:25" s="3" customFormat="1" x14ac:dyDescent="0.25">
      <c r="A39" s="27" t="s">
        <v>192</v>
      </c>
      <c r="B39" s="34">
        <v>2018</v>
      </c>
      <c r="C39" s="25">
        <v>45</v>
      </c>
      <c r="D39" s="25">
        <v>1</v>
      </c>
      <c r="E39" s="546">
        <f>VLOOKUP($A39,EFROGS!$A$1:$J$44,(IF($B39=2015,4,IF($B39=2016,5,IF($B39=2017,6,IF($B39=2018,7,IF($B39=2019,8,IF($B39=2020,9,0))))))),FALSE)</f>
        <v>3.624756413896417E-2</v>
      </c>
      <c r="F39" s="546">
        <f>VLOOKUP($A39,EFCOS!$A$1:$J$44,(IF($B39=2015,4,IF($B39=2016,5,IF($B39=2017,6,IF($B39=2018,7,IF($B39=2019,8,IF($B39=2020,9,0))))))),FALSE)</f>
        <v>0.2719453796022327</v>
      </c>
      <c r="G39" s="546">
        <f>VLOOKUP($A39,EFNOXS!$A$1:$J$44,(IF($B39=2015,4,IF($B39=2016,5,IF($B39=2017,6,IF($B39=2018,7,IF($B39=2019,8,IF($B39=2020,9,0))))))),FALSE)</f>
        <v>0.23351800673201462</v>
      </c>
      <c r="H39" s="546">
        <f>VLOOKUP($A39,EFSOXS!$A$1:$J$44,(IF($B39=2015,4,IF($B39=2016,5,IF($B39=2017,6,IF($B39=2018,7,IF($B39=2019,8,IF($B39=2020,9,0))))))),FALSE)</f>
        <v>2.8791179873332629E-4</v>
      </c>
      <c r="I39" s="546">
        <f>VLOOKUP($A39,EFPMS!$A$1:$J$44,(IF($B39=2015,4,IF($B39=2016,5,IF($B39=2017,6,IF($B39=2018,7,IF($B39=2019,8,IF($B39=2020,9,0))))))),FALSE)</f>
        <v>9.7345573023806791E-3</v>
      </c>
      <c r="J39" s="536">
        <f t="shared" si="78"/>
        <v>8.6637559991188037E-3</v>
      </c>
      <c r="K39" s="549">
        <f>VLOOKUP($A39,EFCO2S!$A$1:$J$44,(IF($B39=2015,4,IF($B39=2016,5,IF($B39=2017,6,IF($B39=2018,7,IF($B39=2019,8,IF($B39=2020,9,0))))))),FALSE)</f>
        <v>22.27125815267382</v>
      </c>
      <c r="L39" s="546">
        <f>VLOOKUP($A39,EFCH4S!$A$1:$J$44,(IF($B39=2015,4,IF($B39=2016,5,IF($B39=2017,6,IF($B39=2018,7,IF($B39=2019,8,IF($B39=2020,9,0))))))),FALSE)</f>
        <v>4.6722271755845939E-3</v>
      </c>
      <c r="M39" s="540">
        <f t="shared" si="79"/>
        <v>2.2184210639541388E-2</v>
      </c>
      <c r="N39" s="135">
        <v>1</v>
      </c>
      <c r="O39" s="135">
        <v>8</v>
      </c>
      <c r="P39" s="109">
        <f>6*22</f>
        <v>132</v>
      </c>
      <c r="Q39" s="39">
        <f t="shared" si="80"/>
        <v>0.28998051311171336</v>
      </c>
      <c r="R39" s="39">
        <f t="shared" si="81"/>
        <v>2.1755630368178616</v>
      </c>
      <c r="S39" s="39">
        <f t="shared" si="82"/>
        <v>1.8681440538561169</v>
      </c>
      <c r="T39" s="39">
        <f t="shared" si="83"/>
        <v>2.3032943898666104E-3</v>
      </c>
      <c r="U39" s="39">
        <f t="shared" si="84"/>
        <v>7.7876458419045433E-2</v>
      </c>
      <c r="V39" s="39">
        <f t="shared" si="85"/>
        <v>6.931004799295043E-2</v>
      </c>
      <c r="W39" s="39">
        <f t="shared" si="86"/>
        <v>178.17006522139056</v>
      </c>
      <c r="X39" s="39">
        <f t="shared" si="87"/>
        <v>3.7377817404676751E-2</v>
      </c>
      <c r="Y39" s="39">
        <f t="shared" si="88"/>
        <v>0.1774736851163311</v>
      </c>
    </row>
    <row r="40" spans="1:25" s="3" customFormat="1" x14ac:dyDescent="0.25">
      <c r="A40" s="19" t="s">
        <v>38</v>
      </c>
      <c r="B40" s="34"/>
      <c r="C40" s="25"/>
      <c r="D40" s="20"/>
      <c r="E40" s="26"/>
      <c r="F40" s="26"/>
      <c r="G40" s="26"/>
      <c r="H40" s="26"/>
      <c r="I40" s="26"/>
      <c r="J40" s="27"/>
      <c r="K40" s="28"/>
      <c r="L40" s="26"/>
      <c r="M40" s="38"/>
      <c r="N40" s="135"/>
      <c r="O40" s="135"/>
      <c r="P40" s="136"/>
      <c r="Q40" s="138">
        <f t="shared" ref="Q40:Y40" si="98">SUM(Q32:Q39)</f>
        <v>1.4169045475359159</v>
      </c>
      <c r="R40" s="138">
        <f t="shared" si="98"/>
        <v>8.2298199450441381</v>
      </c>
      <c r="S40" s="138">
        <f t="shared" si="98"/>
        <v>9.0028885914569603</v>
      </c>
      <c r="T40" s="138">
        <f t="shared" si="98"/>
        <v>2.6665019521538304E-2</v>
      </c>
      <c r="U40" s="138">
        <f t="shared" si="98"/>
        <v>0.35991813124207245</v>
      </c>
      <c r="V40" s="138">
        <f t="shared" si="98"/>
        <v>0.32032713680544445</v>
      </c>
      <c r="W40" s="138">
        <f t="shared" si="98"/>
        <v>2404.4438604930874</v>
      </c>
      <c r="X40" s="138">
        <f t="shared" si="98"/>
        <v>0.16683047197792966</v>
      </c>
      <c r="Y40" s="138">
        <f t="shared" si="98"/>
        <v>0.85527441618841127</v>
      </c>
    </row>
    <row r="41" spans="1:25" x14ac:dyDescent="0.25">
      <c r="A41" s="125"/>
      <c r="B41" s="126"/>
      <c r="C41" s="127"/>
      <c r="D41" s="127"/>
      <c r="E41" s="131"/>
      <c r="F41" s="131"/>
      <c r="G41" s="131"/>
      <c r="H41" s="131"/>
      <c r="I41" s="131"/>
      <c r="J41" s="132"/>
      <c r="K41" s="133"/>
      <c r="L41" s="131"/>
      <c r="M41" s="128"/>
      <c r="N41" s="129"/>
      <c r="O41" s="129"/>
      <c r="P41" s="129"/>
      <c r="Q41" s="130"/>
      <c r="R41" s="130"/>
      <c r="S41" s="130"/>
      <c r="T41" s="130"/>
      <c r="U41" s="130"/>
      <c r="V41" s="130"/>
      <c r="W41" s="130"/>
      <c r="X41" s="130"/>
      <c r="Y41" s="130"/>
    </row>
    <row r="42" spans="1:25" x14ac:dyDescent="0.25">
      <c r="E42" s="623" t="s">
        <v>2</v>
      </c>
      <c r="F42" s="623"/>
      <c r="G42" s="623"/>
      <c r="H42" s="623"/>
      <c r="I42" s="623"/>
      <c r="J42" s="623"/>
      <c r="K42" s="623"/>
      <c r="L42" s="623"/>
      <c r="M42"/>
    </row>
    <row r="43" spans="1:25" ht="39.6" x14ac:dyDescent="0.25">
      <c r="A43" s="12" t="s">
        <v>131</v>
      </c>
      <c r="B43" s="13" t="s">
        <v>3</v>
      </c>
      <c r="C43" s="13" t="s">
        <v>4</v>
      </c>
      <c r="E43" s="18" t="s">
        <v>27</v>
      </c>
      <c r="F43" s="18" t="s">
        <v>28</v>
      </c>
      <c r="G43" s="18" t="s">
        <v>29</v>
      </c>
      <c r="H43" s="18" t="s">
        <v>30</v>
      </c>
      <c r="I43" s="18" t="s">
        <v>31</v>
      </c>
      <c r="J43" s="18" t="s">
        <v>32</v>
      </c>
      <c r="K43" s="17" t="s">
        <v>33</v>
      </c>
      <c r="L43" s="18" t="s">
        <v>34</v>
      </c>
      <c r="M43" s="18" t="s">
        <v>35</v>
      </c>
    </row>
    <row r="44" spans="1:25" hidden="1" x14ac:dyDescent="0.25">
      <c r="A44" s="12" t="str">
        <f>A7</f>
        <v>Talega Substation Site Development</v>
      </c>
      <c r="B44" s="13"/>
      <c r="C44" s="13"/>
      <c r="E44" s="18"/>
      <c r="F44" s="18"/>
      <c r="G44" s="18"/>
      <c r="H44" s="18"/>
      <c r="I44" s="18"/>
      <c r="J44" s="18"/>
      <c r="K44" s="17"/>
      <c r="L44" s="18"/>
      <c r="M44" s="18"/>
    </row>
    <row r="45" spans="1:25" hidden="1" x14ac:dyDescent="0.25">
      <c r="A45" s="137" t="str">
        <f t="shared" ref="A45:A53" si="99">A8</f>
        <v>Bulldozer</v>
      </c>
      <c r="B45" s="13"/>
      <c r="C45" s="13"/>
      <c r="E45" s="30">
        <f>(Q8*$P8)/2000</f>
        <v>0</v>
      </c>
      <c r="F45" s="30">
        <f t="shared" ref="F45" si="100">(R8*$P8)/2000</f>
        <v>0</v>
      </c>
      <c r="G45" s="30">
        <f t="shared" ref="G45" si="101">(S8*$P8)/2000</f>
        <v>0</v>
      </c>
      <c r="H45" s="30">
        <f t="shared" ref="H45" si="102">(T8*$P8)/2000</f>
        <v>0</v>
      </c>
      <c r="I45" s="30">
        <f t="shared" ref="I45" si="103">(U8*$P8)/2000</f>
        <v>0</v>
      </c>
      <c r="J45" s="30">
        <f t="shared" ref="J45" si="104">(V8*$P8)/2000</f>
        <v>0</v>
      </c>
      <c r="K45" s="30">
        <f t="shared" ref="K45" si="105">(W8*$P8)/2000</f>
        <v>0</v>
      </c>
      <c r="L45" s="30">
        <f t="shared" ref="L45" si="106">(X8*$P8)/2000</f>
        <v>0</v>
      </c>
      <c r="M45" s="30">
        <f t="shared" ref="M45" si="107">(Y8*$P8)/2000</f>
        <v>0</v>
      </c>
    </row>
    <row r="46" spans="1:25" hidden="1" x14ac:dyDescent="0.25">
      <c r="A46" s="137" t="str">
        <f t="shared" si="99"/>
        <v>Road Grader/Blade</v>
      </c>
      <c r="B46" s="13"/>
      <c r="C46" s="13"/>
      <c r="E46" s="30">
        <f t="shared" ref="E46:E53" si="108">(Q9*$P9)/2000</f>
        <v>0</v>
      </c>
      <c r="F46" s="30">
        <f t="shared" ref="F46:F53" si="109">(R9*$P9)/2000</f>
        <v>0</v>
      </c>
      <c r="G46" s="30">
        <f t="shared" ref="G46:G53" si="110">(S9*$P9)/2000</f>
        <v>0</v>
      </c>
      <c r="H46" s="30">
        <f t="shared" ref="H46:H53" si="111">(T9*$P9)/2000</f>
        <v>0</v>
      </c>
      <c r="I46" s="30">
        <f t="shared" ref="I46:I53" si="112">(U9*$P9)/2000</f>
        <v>0</v>
      </c>
      <c r="J46" s="30">
        <f t="shared" ref="J46:J53" si="113">(V9*$P9)/2000</f>
        <v>0</v>
      </c>
      <c r="K46" s="30">
        <f t="shared" ref="K46:K53" si="114">(W9*$P9)/2000</f>
        <v>0</v>
      </c>
      <c r="L46" s="30">
        <f t="shared" ref="L46:L53" si="115">(X9*$P9)/2000</f>
        <v>0</v>
      </c>
      <c r="M46" s="30">
        <f t="shared" ref="M46:M53" si="116">(Y9*$P9)/2000</f>
        <v>0</v>
      </c>
    </row>
    <row r="47" spans="1:25" hidden="1" x14ac:dyDescent="0.25">
      <c r="A47" s="137" t="str">
        <f t="shared" si="99"/>
        <v>Scraper</v>
      </c>
      <c r="B47" s="13"/>
      <c r="C47" s="13"/>
      <c r="E47" s="30">
        <f t="shared" si="108"/>
        <v>0</v>
      </c>
      <c r="F47" s="30">
        <f t="shared" si="109"/>
        <v>0</v>
      </c>
      <c r="G47" s="30">
        <f t="shared" si="110"/>
        <v>0</v>
      </c>
      <c r="H47" s="30">
        <f t="shared" si="111"/>
        <v>0</v>
      </c>
      <c r="I47" s="30">
        <f t="shared" si="112"/>
        <v>0</v>
      </c>
      <c r="J47" s="30">
        <f t="shared" si="113"/>
        <v>0</v>
      </c>
      <c r="K47" s="30">
        <f t="shared" si="114"/>
        <v>0</v>
      </c>
      <c r="L47" s="30">
        <f t="shared" si="115"/>
        <v>0</v>
      </c>
      <c r="M47" s="30">
        <f t="shared" si="116"/>
        <v>0</v>
      </c>
    </row>
    <row r="48" spans="1:25" hidden="1" x14ac:dyDescent="0.25">
      <c r="A48" s="137" t="str">
        <f t="shared" si="99"/>
        <v>Compactor</v>
      </c>
      <c r="B48" s="13"/>
      <c r="C48" s="13"/>
      <c r="E48" s="30">
        <f t="shared" si="108"/>
        <v>0</v>
      </c>
      <c r="F48" s="30">
        <f t="shared" si="109"/>
        <v>0</v>
      </c>
      <c r="G48" s="30">
        <f t="shared" si="110"/>
        <v>0</v>
      </c>
      <c r="H48" s="30">
        <f t="shared" si="111"/>
        <v>0</v>
      </c>
      <c r="I48" s="30">
        <f t="shared" si="112"/>
        <v>0</v>
      </c>
      <c r="J48" s="30">
        <f t="shared" si="113"/>
        <v>0</v>
      </c>
      <c r="K48" s="30">
        <f t="shared" si="114"/>
        <v>0</v>
      </c>
      <c r="L48" s="30">
        <f t="shared" si="115"/>
        <v>0</v>
      </c>
      <c r="M48" s="30">
        <f t="shared" si="116"/>
        <v>0</v>
      </c>
    </row>
    <row r="49" spans="1:13" hidden="1" x14ac:dyDescent="0.25">
      <c r="A49" s="137" t="str">
        <f t="shared" si="99"/>
        <v>Loader</v>
      </c>
      <c r="B49" s="13"/>
      <c r="C49" s="13"/>
      <c r="E49" s="30">
        <f t="shared" si="108"/>
        <v>0</v>
      </c>
      <c r="F49" s="30">
        <f t="shared" si="109"/>
        <v>0</v>
      </c>
      <c r="G49" s="30">
        <f t="shared" si="110"/>
        <v>0</v>
      </c>
      <c r="H49" s="30">
        <f t="shared" si="111"/>
        <v>0</v>
      </c>
      <c r="I49" s="30">
        <f t="shared" si="112"/>
        <v>0</v>
      </c>
      <c r="J49" s="30">
        <f t="shared" si="113"/>
        <v>0</v>
      </c>
      <c r="K49" s="30">
        <f t="shared" si="114"/>
        <v>0</v>
      </c>
      <c r="L49" s="30">
        <f t="shared" si="115"/>
        <v>0</v>
      </c>
      <c r="M49" s="30">
        <f t="shared" si="116"/>
        <v>0</v>
      </c>
    </row>
    <row r="50" spans="1:13" hidden="1" x14ac:dyDescent="0.25">
      <c r="A50" s="137" t="str">
        <f t="shared" si="99"/>
        <v>Backhoe</v>
      </c>
      <c r="B50" s="13"/>
      <c r="C50" s="13"/>
      <c r="E50" s="30">
        <f t="shared" si="108"/>
        <v>0</v>
      </c>
      <c r="F50" s="30">
        <f t="shared" si="109"/>
        <v>0</v>
      </c>
      <c r="G50" s="30">
        <f t="shared" si="110"/>
        <v>0</v>
      </c>
      <c r="H50" s="30">
        <f t="shared" si="111"/>
        <v>0</v>
      </c>
      <c r="I50" s="30">
        <f t="shared" si="112"/>
        <v>0</v>
      </c>
      <c r="J50" s="30">
        <f t="shared" si="113"/>
        <v>0</v>
      </c>
      <c r="K50" s="30">
        <f t="shared" si="114"/>
        <v>0</v>
      </c>
      <c r="L50" s="30">
        <f t="shared" si="115"/>
        <v>0</v>
      </c>
      <c r="M50" s="30">
        <f t="shared" si="116"/>
        <v>0</v>
      </c>
    </row>
    <row r="51" spans="1:13" hidden="1" x14ac:dyDescent="0.25">
      <c r="A51" s="137" t="str">
        <f t="shared" si="99"/>
        <v>Water Truck</v>
      </c>
      <c r="B51" s="13"/>
      <c r="C51" s="13"/>
      <c r="E51" s="30">
        <f t="shared" si="108"/>
        <v>0</v>
      </c>
      <c r="F51" s="30">
        <f t="shared" si="109"/>
        <v>0</v>
      </c>
      <c r="G51" s="30">
        <f t="shared" si="110"/>
        <v>0</v>
      </c>
      <c r="H51" s="30">
        <f t="shared" si="111"/>
        <v>0</v>
      </c>
      <c r="I51" s="30">
        <f t="shared" si="112"/>
        <v>0</v>
      </c>
      <c r="J51" s="30">
        <f t="shared" si="113"/>
        <v>0</v>
      </c>
      <c r="K51" s="30">
        <f t="shared" si="114"/>
        <v>0</v>
      </c>
      <c r="L51" s="30">
        <f t="shared" si="115"/>
        <v>0</v>
      </c>
      <c r="M51" s="30">
        <f t="shared" si="116"/>
        <v>0</v>
      </c>
    </row>
    <row r="52" spans="1:13" hidden="1" x14ac:dyDescent="0.25">
      <c r="A52" s="137" t="str">
        <f t="shared" si="99"/>
        <v>Dump/Haul Truck</v>
      </c>
      <c r="B52" s="13"/>
      <c r="C52" s="13"/>
      <c r="E52" s="30">
        <f t="shared" si="108"/>
        <v>0</v>
      </c>
      <c r="F52" s="30">
        <f t="shared" si="109"/>
        <v>0</v>
      </c>
      <c r="G52" s="30">
        <f t="shared" si="110"/>
        <v>0</v>
      </c>
      <c r="H52" s="30">
        <f t="shared" si="111"/>
        <v>0</v>
      </c>
      <c r="I52" s="30">
        <f t="shared" si="112"/>
        <v>0</v>
      </c>
      <c r="J52" s="30">
        <f t="shared" si="113"/>
        <v>0</v>
      </c>
      <c r="K52" s="30">
        <f t="shared" si="114"/>
        <v>0</v>
      </c>
      <c r="L52" s="30">
        <f t="shared" si="115"/>
        <v>0</v>
      </c>
      <c r="M52" s="30">
        <f t="shared" si="116"/>
        <v>0</v>
      </c>
    </row>
    <row r="53" spans="1:13" hidden="1" x14ac:dyDescent="0.25">
      <c r="A53" s="137" t="str">
        <f t="shared" si="99"/>
        <v>Excavator</v>
      </c>
      <c r="B53" s="13"/>
      <c r="C53" s="13"/>
      <c r="E53" s="30">
        <f t="shared" si="108"/>
        <v>0</v>
      </c>
      <c r="F53" s="30">
        <f t="shared" si="109"/>
        <v>0</v>
      </c>
      <c r="G53" s="30">
        <f t="shared" si="110"/>
        <v>0</v>
      </c>
      <c r="H53" s="30">
        <f t="shared" si="111"/>
        <v>0</v>
      </c>
      <c r="I53" s="30">
        <f t="shared" si="112"/>
        <v>0</v>
      </c>
      <c r="J53" s="30">
        <f t="shared" si="113"/>
        <v>0</v>
      </c>
      <c r="K53" s="30">
        <f t="shared" si="114"/>
        <v>0</v>
      </c>
      <c r="L53" s="30">
        <f t="shared" si="115"/>
        <v>0</v>
      </c>
      <c r="M53" s="30">
        <f t="shared" si="116"/>
        <v>0</v>
      </c>
    </row>
    <row r="54" spans="1:13" hidden="1" x14ac:dyDescent="0.25">
      <c r="A54" s="12" t="s">
        <v>38</v>
      </c>
      <c r="B54" s="13"/>
      <c r="C54" s="13"/>
      <c r="E54" s="18">
        <f>SUM(E45:E53)</f>
        <v>0</v>
      </c>
      <c r="F54" s="18">
        <f t="shared" ref="F54:M54" si="117">SUM(F45:F53)</f>
        <v>0</v>
      </c>
      <c r="G54" s="18">
        <f t="shared" si="117"/>
        <v>0</v>
      </c>
      <c r="H54" s="18">
        <f t="shared" si="117"/>
        <v>0</v>
      </c>
      <c r="I54" s="18">
        <f t="shared" si="117"/>
        <v>0</v>
      </c>
      <c r="J54" s="18">
        <f t="shared" si="117"/>
        <v>0</v>
      </c>
      <c r="K54" s="18">
        <f t="shared" si="117"/>
        <v>0</v>
      </c>
      <c r="L54" s="18">
        <f t="shared" si="117"/>
        <v>0</v>
      </c>
      <c r="M54" s="18">
        <f t="shared" si="117"/>
        <v>0</v>
      </c>
    </row>
    <row r="55" spans="1:13" hidden="1" x14ac:dyDescent="0.25">
      <c r="A55" s="12"/>
      <c r="B55" s="13"/>
      <c r="C55" s="13"/>
      <c r="E55" s="18"/>
      <c r="F55" s="18"/>
      <c r="G55" s="18"/>
      <c r="H55" s="18"/>
      <c r="I55" s="18"/>
      <c r="J55" s="18"/>
      <c r="K55" s="17"/>
      <c r="L55" s="18"/>
      <c r="M55" s="18"/>
    </row>
    <row r="56" spans="1:13" x14ac:dyDescent="0.25">
      <c r="A56" s="12" t="str">
        <f t="shared" ref="A56:A66" si="118">A19</f>
        <v>Talega Substation Below Grade</v>
      </c>
      <c r="B56" s="13"/>
      <c r="C56" s="13"/>
      <c r="E56" s="18"/>
      <c r="F56" s="18"/>
      <c r="G56" s="18"/>
      <c r="H56" s="18"/>
      <c r="I56" s="18"/>
      <c r="J56" s="18"/>
      <c r="K56" s="17"/>
      <c r="L56" s="18"/>
      <c r="M56" s="18"/>
    </row>
    <row r="57" spans="1:13" x14ac:dyDescent="0.25">
      <c r="A57" s="137" t="str">
        <f t="shared" si="118"/>
        <v>CAT 416 Rubber Tire Backhoe</v>
      </c>
      <c r="B57" s="13"/>
      <c r="C57" s="13"/>
      <c r="E57" s="30">
        <f>(Q20*$P20)/2000</f>
        <v>2.3255867917143396E-3</v>
      </c>
      <c r="F57" s="30">
        <f t="shared" ref="F57:M57" si="119">(R20*$P20)/2000</f>
        <v>1.2889981508773086E-2</v>
      </c>
      <c r="G57" s="30">
        <f t="shared" si="119"/>
        <v>1.4405388992696708E-2</v>
      </c>
      <c r="H57" s="30">
        <f t="shared" si="119"/>
        <v>2.2805822707545216E-5</v>
      </c>
      <c r="I57" s="30">
        <f t="shared" si="119"/>
        <v>1.1523632481854793E-3</v>
      </c>
      <c r="J57" s="30">
        <f t="shared" si="119"/>
        <v>1.0256032908850768E-3</v>
      </c>
      <c r="K57" s="30">
        <f t="shared" si="119"/>
        <v>1.9441462699106169</v>
      </c>
      <c r="L57" s="30">
        <f t="shared" si="119"/>
        <v>2.3002431918794027E-4</v>
      </c>
      <c r="M57" s="30">
        <f t="shared" si="119"/>
        <v>1.3685119543061872E-3</v>
      </c>
    </row>
    <row r="58" spans="1:13" x14ac:dyDescent="0.25">
      <c r="A58" s="137" t="str">
        <f t="shared" si="118"/>
        <v>Drill Rig</v>
      </c>
      <c r="B58" s="13"/>
      <c r="C58" s="13"/>
      <c r="E58" s="30">
        <f t="shared" ref="E58:M58" si="120">(Q21*$P21)/2000</f>
        <v>1.0783371247874633E-3</v>
      </c>
      <c r="F58" s="30">
        <f t="shared" si="120"/>
        <v>1.4975744967049698E-2</v>
      </c>
      <c r="G58" s="30">
        <f t="shared" si="120"/>
        <v>9.9138755160879423E-3</v>
      </c>
      <c r="H58" s="30">
        <f t="shared" si="120"/>
        <v>2.985436886039855E-5</v>
      </c>
      <c r="I58" s="30">
        <f t="shared" si="120"/>
        <v>3.7526600369996581E-4</v>
      </c>
      <c r="J58" s="30">
        <f t="shared" si="120"/>
        <v>3.3398674329296958E-4</v>
      </c>
      <c r="K58" s="30">
        <f t="shared" si="120"/>
        <v>2.5450177505478688</v>
      </c>
      <c r="L58" s="30">
        <f t="shared" si="120"/>
        <v>1.0392082170577418E-4</v>
      </c>
      <c r="M58" s="30">
        <f t="shared" si="120"/>
        <v>9.4181817402835463E-4</v>
      </c>
    </row>
    <row r="59" spans="1:13" x14ac:dyDescent="0.25">
      <c r="A59" s="137" t="str">
        <f t="shared" si="118"/>
        <v>Loader</v>
      </c>
      <c r="B59" s="13"/>
      <c r="C59" s="13"/>
      <c r="E59" s="30">
        <f t="shared" ref="E59:M59" si="121">(Q22*$P22)/2000</f>
        <v>1.2843326061740408E-2</v>
      </c>
      <c r="F59" s="30">
        <f t="shared" si="121"/>
        <v>4.4487860430938657E-2</v>
      </c>
      <c r="G59" s="30">
        <f t="shared" si="121"/>
        <v>0.10632668760929005</v>
      </c>
      <c r="H59" s="30">
        <f t="shared" si="121"/>
        <v>2.2126405143146476E-4</v>
      </c>
      <c r="I59" s="30">
        <f t="shared" si="121"/>
        <v>3.6246398406713379E-3</v>
      </c>
      <c r="J59" s="30">
        <f t="shared" si="121"/>
        <v>3.2259294581974914E-3</v>
      </c>
      <c r="K59" s="30">
        <f t="shared" si="121"/>
        <v>19.664920166925782</v>
      </c>
      <c r="L59" s="30">
        <f t="shared" si="121"/>
        <v>1.2581841382534424E-3</v>
      </c>
      <c r="M59" s="30">
        <f t="shared" si="121"/>
        <v>1.0101035322882555E-2</v>
      </c>
    </row>
    <row r="60" spans="1:13" x14ac:dyDescent="0.25">
      <c r="A60" s="137" t="str">
        <f t="shared" si="118"/>
        <v>Dump Trucks</v>
      </c>
      <c r="B60" s="13"/>
      <c r="C60" s="13"/>
      <c r="E60" s="30">
        <f t="shared" ref="E60:M60" si="122">(Q23*$P23)/2000</f>
        <v>5.9887387717540916E-3</v>
      </c>
      <c r="F60" s="30">
        <f t="shared" si="122"/>
        <v>2.0455656520602983E-2</v>
      </c>
      <c r="G60" s="30">
        <f t="shared" si="122"/>
        <v>4.3281659475806589E-2</v>
      </c>
      <c r="H60" s="30">
        <f t="shared" si="122"/>
        <v>1.0306569623957418E-4</v>
      </c>
      <c r="I60" s="30">
        <f t="shared" si="122"/>
        <v>1.4538064914359312E-3</v>
      </c>
      <c r="J60" s="30">
        <f t="shared" si="122"/>
        <v>1.2938877773779789E-3</v>
      </c>
      <c r="K60" s="30">
        <f t="shared" si="122"/>
        <v>9.1599978593488878</v>
      </c>
      <c r="L60" s="30">
        <f t="shared" si="122"/>
        <v>5.8519631377329875E-4</v>
      </c>
      <c r="M60" s="30">
        <f t="shared" si="122"/>
        <v>4.1117576502016267E-3</v>
      </c>
    </row>
    <row r="61" spans="1:13" x14ac:dyDescent="0.25">
      <c r="A61" s="137" t="str">
        <f t="shared" si="118"/>
        <v>Skid Steer Loaders</v>
      </c>
      <c r="B61" s="13"/>
      <c r="C61" s="13"/>
      <c r="E61" s="30">
        <f t="shared" ref="E61:M61" si="123">(Q24*$P24)/2000</f>
        <v>4.2653674062945839E-3</v>
      </c>
      <c r="F61" s="30">
        <f t="shared" si="123"/>
        <v>2.6449324298738124E-2</v>
      </c>
      <c r="G61" s="30">
        <f t="shared" si="123"/>
        <v>2.459363114141698E-2</v>
      </c>
      <c r="H61" s="30">
        <f t="shared" si="123"/>
        <v>4.3546667786904583E-5</v>
      </c>
      <c r="I61" s="30">
        <f t="shared" si="123"/>
        <v>1.1289371351894814E-3</v>
      </c>
      <c r="J61" s="30">
        <f t="shared" si="123"/>
        <v>1.0047540503186382E-3</v>
      </c>
      <c r="K61" s="30">
        <f t="shared" si="123"/>
        <v>3.3685285824103182</v>
      </c>
      <c r="L61" s="30">
        <f t="shared" si="123"/>
        <v>3.8485731618674026E-4</v>
      </c>
      <c r="M61" s="30">
        <f t="shared" si="123"/>
        <v>2.3363949584346132E-3</v>
      </c>
    </row>
    <row r="62" spans="1:13" x14ac:dyDescent="0.25">
      <c r="A62" s="137" t="str">
        <f t="shared" si="118"/>
        <v>Water Truck</v>
      </c>
      <c r="B62" s="13"/>
      <c r="C62" s="13"/>
      <c r="E62" s="30">
        <f t="shared" ref="E62:M62" si="124">(Q25*$P25)/2000</f>
        <v>3.5700210408302325E-3</v>
      </c>
      <c r="F62" s="30">
        <f t="shared" si="124"/>
        <v>1.1908473277441153E-2</v>
      </c>
      <c r="G62" s="30">
        <f t="shared" si="124"/>
        <v>2.5919233780722049E-2</v>
      </c>
      <c r="H62" s="30">
        <f t="shared" si="124"/>
        <v>6.1839417743744506E-5</v>
      </c>
      <c r="I62" s="30">
        <f t="shared" si="124"/>
        <v>8.6979579962346339E-4</v>
      </c>
      <c r="J62" s="30">
        <f t="shared" si="124"/>
        <v>7.7411826166488254E-4</v>
      </c>
      <c r="K62" s="30">
        <f t="shared" si="124"/>
        <v>5.495998715609332</v>
      </c>
      <c r="L62" s="30">
        <f t="shared" si="124"/>
        <v>3.5111778826397923E-4</v>
      </c>
      <c r="M62" s="30">
        <f t="shared" si="124"/>
        <v>2.462327209168595E-3</v>
      </c>
    </row>
    <row r="63" spans="1:13" x14ac:dyDescent="0.25">
      <c r="A63" s="137" t="str">
        <f t="shared" si="118"/>
        <v>Concrete Trucks</v>
      </c>
      <c r="B63" s="13"/>
      <c r="C63" s="13"/>
      <c r="E63" s="30">
        <f t="shared" ref="E63:M63" si="125">(Q26*$P26)/2000</f>
        <v>5.9887387717540916E-3</v>
      </c>
      <c r="F63" s="30">
        <f t="shared" si="125"/>
        <v>2.0455656520602983E-2</v>
      </c>
      <c r="G63" s="30">
        <f t="shared" si="125"/>
        <v>4.3281659475806589E-2</v>
      </c>
      <c r="H63" s="30">
        <f t="shared" si="125"/>
        <v>1.0306569623957418E-4</v>
      </c>
      <c r="I63" s="30">
        <f t="shared" si="125"/>
        <v>1.4538064914359312E-3</v>
      </c>
      <c r="J63" s="30">
        <f t="shared" si="125"/>
        <v>1.2938877773779789E-3</v>
      </c>
      <c r="K63" s="30">
        <f t="shared" si="125"/>
        <v>9.1599978593488878</v>
      </c>
      <c r="L63" s="30">
        <f t="shared" si="125"/>
        <v>5.8519631377329875E-4</v>
      </c>
      <c r="M63" s="30">
        <f t="shared" si="125"/>
        <v>4.1117576502016267E-3</v>
      </c>
    </row>
    <row r="64" spans="1:13" x14ac:dyDescent="0.25">
      <c r="A64" s="137" t="str">
        <f t="shared" si="118"/>
        <v>Ditch Witch</v>
      </c>
      <c r="B64" s="13"/>
      <c r="C64" s="13"/>
      <c r="E64" s="30">
        <f t="shared" ref="E64:M64" si="126">(Q27*$P27)/2000</f>
        <v>1.340726080473109E-2</v>
      </c>
      <c r="F64" s="30">
        <f t="shared" si="126"/>
        <v>0.1111089406454744</v>
      </c>
      <c r="G64" s="30">
        <f t="shared" si="126"/>
        <v>0.10526328058099113</v>
      </c>
      <c r="H64" s="30">
        <f t="shared" si="126"/>
        <v>2.3730025377149006E-4</v>
      </c>
      <c r="I64" s="30">
        <f t="shared" si="126"/>
        <v>5.22385711504849E-3</v>
      </c>
      <c r="J64" s="30">
        <f t="shared" si="126"/>
        <v>4.6492328323931558E-3</v>
      </c>
      <c r="K64" s="30">
        <f t="shared" si="126"/>
        <v>21.090139671537774</v>
      </c>
      <c r="L64" s="30">
        <f t="shared" si="126"/>
        <v>1.3016710875946693E-3</v>
      </c>
      <c r="M64" s="30">
        <f t="shared" si="126"/>
        <v>1.0000011655194157E-2</v>
      </c>
    </row>
    <row r="65" spans="1:13" x14ac:dyDescent="0.25">
      <c r="A65" s="137" t="str">
        <f t="shared" si="118"/>
        <v>Handheld Compactor</v>
      </c>
      <c r="B65" s="13"/>
      <c r="C65" s="13"/>
      <c r="E65" s="30">
        <f t="shared" ref="E65:M65" si="127">(Q28*$P28)/2000</f>
        <v>2.0707243153236243E-3</v>
      </c>
      <c r="F65" s="30">
        <f t="shared" si="127"/>
        <v>9.7756104476891363E-3</v>
      </c>
      <c r="G65" s="30">
        <f t="shared" si="127"/>
        <v>1.1670895952541976E-2</v>
      </c>
      <c r="H65" s="30">
        <f t="shared" si="127"/>
        <v>2.7681131938664073E-5</v>
      </c>
      <c r="I65" s="30">
        <f t="shared" si="127"/>
        <v>4.560449242559249E-4</v>
      </c>
      <c r="J65" s="30">
        <f t="shared" si="127"/>
        <v>4.0587998258777313E-4</v>
      </c>
      <c r="K65" s="30">
        <f t="shared" si="127"/>
        <v>1.7788918280788286</v>
      </c>
      <c r="L65" s="30">
        <f t="shared" si="127"/>
        <v>1.8683809878799649E-4</v>
      </c>
      <c r="M65" s="30">
        <f t="shared" si="127"/>
        <v>1.1087351154914877E-3</v>
      </c>
    </row>
    <row r="66" spans="1:13" x14ac:dyDescent="0.25">
      <c r="A66" s="12" t="str">
        <f t="shared" si="118"/>
        <v>Subtotal</v>
      </c>
      <c r="B66" s="13"/>
      <c r="C66" s="13"/>
      <c r="E66" s="24">
        <f>SUM(E57:E65)</f>
        <v>5.1538101088929922E-2</v>
      </c>
      <c r="F66" s="24">
        <f t="shared" ref="F66:M66" si="128">SUM(F57:F65)</f>
        <v>0.27250724861731024</v>
      </c>
      <c r="G66" s="24">
        <f t="shared" si="128"/>
        <v>0.38465631252536003</v>
      </c>
      <c r="H66" s="24">
        <f t="shared" si="128"/>
        <v>8.5042310671936002E-4</v>
      </c>
      <c r="I66" s="24">
        <f t="shared" si="128"/>
        <v>1.5738517049546003E-2</v>
      </c>
      <c r="J66" s="24">
        <f t="shared" si="128"/>
        <v>1.4007280174095945E-2</v>
      </c>
      <c r="K66" s="24">
        <f t="shared" si="128"/>
        <v>74.207638703718288</v>
      </c>
      <c r="L66" s="24">
        <f t="shared" si="128"/>
        <v>4.98700619752714E-3</v>
      </c>
      <c r="M66" s="24">
        <f t="shared" si="128"/>
        <v>3.6542349689909208E-2</v>
      </c>
    </row>
    <row r="67" spans="1:13" x14ac:dyDescent="0.25">
      <c r="A67" s="12"/>
      <c r="B67" s="13"/>
      <c r="C67" s="13"/>
      <c r="E67" s="30"/>
      <c r="F67" s="30"/>
      <c r="G67" s="30"/>
      <c r="H67" s="30"/>
      <c r="I67" s="30"/>
      <c r="J67" s="30"/>
      <c r="K67" s="30"/>
      <c r="L67" s="30"/>
      <c r="M67" s="30"/>
    </row>
    <row r="68" spans="1:13" x14ac:dyDescent="0.25">
      <c r="A68" s="12" t="str">
        <f t="shared" ref="A68:A74" si="129">A31</f>
        <v>Talega Substation Construction</v>
      </c>
      <c r="B68" s="13"/>
      <c r="C68" s="13"/>
      <c r="E68" s="30">
        <f t="shared" ref="E68:M68" si="130">(Q31*$P31)/2000</f>
        <v>0</v>
      </c>
      <c r="F68" s="30">
        <f t="shared" si="130"/>
        <v>0</v>
      </c>
      <c r="G68" s="30">
        <f t="shared" si="130"/>
        <v>0</v>
      </c>
      <c r="H68" s="30">
        <f t="shared" si="130"/>
        <v>0</v>
      </c>
      <c r="I68" s="30">
        <f t="shared" si="130"/>
        <v>0</v>
      </c>
      <c r="J68" s="30">
        <f t="shared" si="130"/>
        <v>0</v>
      </c>
      <c r="K68" s="30">
        <f t="shared" si="130"/>
        <v>0</v>
      </c>
      <c r="L68" s="30">
        <f t="shared" si="130"/>
        <v>0</v>
      </c>
      <c r="M68" s="30">
        <f t="shared" si="130"/>
        <v>0</v>
      </c>
    </row>
    <row r="69" spans="1:13" x14ac:dyDescent="0.25">
      <c r="A69" s="137" t="str">
        <f t="shared" si="129"/>
        <v>Boom Truck</v>
      </c>
      <c r="B69" s="13"/>
      <c r="C69" s="13"/>
      <c r="E69" s="30">
        <f t="shared" ref="E69:M69" si="131">(Q32*$P32)/2000</f>
        <v>1.6076063733139651E-2</v>
      </c>
      <c r="F69" s="30">
        <f t="shared" si="131"/>
        <v>7.5228516265185119E-2</v>
      </c>
      <c r="G69" s="30">
        <f t="shared" si="131"/>
        <v>9.5821081636773345E-2</v>
      </c>
      <c r="H69" s="30">
        <f t="shared" si="131"/>
        <v>3.7103654218863811E-4</v>
      </c>
      <c r="I69" s="30">
        <f t="shared" si="131"/>
        <v>3.2997807985904099E-3</v>
      </c>
      <c r="J69" s="30">
        <f t="shared" si="131"/>
        <v>2.936804910745465E-3</v>
      </c>
      <c r="K69" s="30">
        <f t="shared" si="131"/>
        <v>32.975995891567386</v>
      </c>
      <c r="L69" s="30">
        <f t="shared" si="131"/>
        <v>1.8611405848531113E-3</v>
      </c>
      <c r="M69" s="30">
        <f t="shared" si="131"/>
        <v>9.1030027554934688E-3</v>
      </c>
    </row>
    <row r="70" spans="1:13" x14ac:dyDescent="0.25">
      <c r="A70" s="137" t="str">
        <f t="shared" si="129"/>
        <v>Skid Steer Loaders</v>
      </c>
      <c r="B70" s="13"/>
      <c r="C70" s="13"/>
      <c r="E70" s="30">
        <f t="shared" ref="E70:M70" si="132">(Q33*$P33)/2000</f>
        <v>1.7371979984227745E-4</v>
      </c>
      <c r="F70" s="30">
        <f t="shared" si="132"/>
        <v>1.1850434427792891E-3</v>
      </c>
      <c r="G70" s="30">
        <f t="shared" si="132"/>
        <v>1.0347018779395002E-3</v>
      </c>
      <c r="H70" s="30">
        <f t="shared" si="132"/>
        <v>2.1773336623483315E-6</v>
      </c>
      <c r="I70" s="30">
        <f t="shared" si="132"/>
        <v>3.1248890257240082E-5</v>
      </c>
      <c r="J70" s="30">
        <f t="shared" si="132"/>
        <v>2.7811512328943675E-5</v>
      </c>
      <c r="K70" s="30">
        <f t="shared" si="132"/>
        <v>0.16842648547485284</v>
      </c>
      <c r="L70" s="30">
        <f t="shared" si="132"/>
        <v>1.5674457781847195E-5</v>
      </c>
      <c r="M70" s="30">
        <f t="shared" si="132"/>
        <v>9.8296678404252529E-5</v>
      </c>
    </row>
    <row r="71" spans="1:13" x14ac:dyDescent="0.25">
      <c r="A71" s="137" t="str">
        <f t="shared" si="129"/>
        <v>Crane</v>
      </c>
      <c r="B71" s="13"/>
      <c r="C71" s="13"/>
      <c r="E71" s="30">
        <f t="shared" ref="E71" si="133">(Q34*$P34)/2000</f>
        <v>1.2517098757320853E-2</v>
      </c>
      <c r="F71" s="30">
        <f t="shared" ref="F71" si="134">(R34*$P34)/2000</f>
        <v>5.9973192137255417E-2</v>
      </c>
      <c r="G71" s="30">
        <f t="shared" ref="G71" si="135">(S34*$P34)/2000</f>
        <v>8.3866586641181004E-2</v>
      </c>
      <c r="H71" s="30">
        <f t="shared" ref="H71" si="136">(T34*$P34)/2000</f>
        <v>2.3334338895333358E-4</v>
      </c>
      <c r="I71" s="30">
        <f t="shared" ref="I71" si="137">(U34*$P34)/2000</f>
        <v>3.0835381799536746E-3</v>
      </c>
      <c r="J71" s="30">
        <f t="shared" ref="J71" si="138">(V34*$P34)/2000</f>
        <v>2.7443489801587703E-3</v>
      </c>
      <c r="K71" s="30">
        <f t="shared" ref="K71" si="139">(W34*$P34)/2000</f>
        <v>23.773367881471536</v>
      </c>
      <c r="L71" s="30">
        <f t="shared" ref="L71" si="140">(X34*$P34)/2000</f>
        <v>1.4311335514176039E-3</v>
      </c>
      <c r="M71" s="30">
        <f t="shared" ref="M71" si="141">(Y34*$P34)/2000</f>
        <v>7.9673257309121961E-3</v>
      </c>
    </row>
    <row r="72" spans="1:13" x14ac:dyDescent="0.25">
      <c r="A72" s="137" t="str">
        <f t="shared" si="129"/>
        <v>Manlift</v>
      </c>
      <c r="B72" s="13"/>
      <c r="C72" s="13"/>
      <c r="E72" s="30">
        <f t="shared" ref="E72:M72" si="142">(Q35*$P35)/2000</f>
        <v>9.9130850389239494E-3</v>
      </c>
      <c r="F72" s="30">
        <f t="shared" si="142"/>
        <v>8.6816101327758494E-2</v>
      </c>
      <c r="G72" s="30">
        <f t="shared" si="142"/>
        <v>7.2936609048921644E-2</v>
      </c>
      <c r="H72" s="30">
        <f t="shared" si="142"/>
        <v>1.7685438222197602E-4</v>
      </c>
      <c r="I72" s="30">
        <f t="shared" si="142"/>
        <v>4.7900462625353425E-3</v>
      </c>
      <c r="J72" s="30">
        <f t="shared" si="142"/>
        <v>4.2631411736564545E-3</v>
      </c>
      <c r="K72" s="30">
        <f t="shared" si="142"/>
        <v>15.076444760896958</v>
      </c>
      <c r="L72" s="30">
        <f t="shared" si="142"/>
        <v>1.1678888070397202E-3</v>
      </c>
      <c r="M72" s="30">
        <f t="shared" si="142"/>
        <v>6.9289778596475565E-3</v>
      </c>
    </row>
    <row r="73" spans="1:13" x14ac:dyDescent="0.25">
      <c r="A73" s="137" t="str">
        <f t="shared" si="129"/>
        <v>Cable Dolly</v>
      </c>
      <c r="B73" s="13"/>
      <c r="C73" s="13"/>
      <c r="E73" s="30">
        <f t="shared" ref="E73:M73" si="143">(Q36*$P36)/2000</f>
        <v>0</v>
      </c>
      <c r="F73" s="30">
        <f t="shared" si="143"/>
        <v>0</v>
      </c>
      <c r="G73" s="30">
        <f t="shared" si="143"/>
        <v>0</v>
      </c>
      <c r="H73" s="30">
        <f t="shared" si="143"/>
        <v>0</v>
      </c>
      <c r="I73" s="30">
        <f t="shared" si="143"/>
        <v>0</v>
      </c>
      <c r="J73" s="30">
        <f t="shared" si="143"/>
        <v>0</v>
      </c>
      <c r="K73" s="30">
        <f t="shared" si="143"/>
        <v>0</v>
      </c>
      <c r="L73" s="30">
        <f t="shared" si="143"/>
        <v>0</v>
      </c>
      <c r="M73" s="30">
        <f t="shared" si="143"/>
        <v>0</v>
      </c>
    </row>
    <row r="74" spans="1:13" x14ac:dyDescent="0.25">
      <c r="A74" s="137" t="str">
        <f t="shared" si="129"/>
        <v>Stringing Rigs</v>
      </c>
      <c r="B74" s="20"/>
      <c r="C74" s="20"/>
      <c r="E74" s="30">
        <f t="shared" ref="E74:M74" si="144">(Q37*$P37)/2000</f>
        <v>9.8026164286687742E-4</v>
      </c>
      <c r="F74" s="30">
        <f t="shared" si="144"/>
        <v>5.4767440890369848E-3</v>
      </c>
      <c r="G74" s="30">
        <f t="shared" si="144"/>
        <v>6.4116941208628214E-3</v>
      </c>
      <c r="H74" s="30">
        <f t="shared" si="144"/>
        <v>2.7449772516392338E-5</v>
      </c>
      <c r="I74" s="30">
        <f t="shared" si="144"/>
        <v>2.244383064392244E-4</v>
      </c>
      <c r="J74" s="30">
        <f t="shared" si="144"/>
        <v>1.9975009273090971E-4</v>
      </c>
      <c r="K74" s="30">
        <f t="shared" si="144"/>
        <v>2.7966231819811296</v>
      </c>
      <c r="L74" s="30">
        <f t="shared" si="144"/>
        <v>1.1138702135535464E-4</v>
      </c>
      <c r="M74" s="30">
        <f t="shared" si="144"/>
        <v>6.0911094148196796E-4</v>
      </c>
    </row>
    <row r="75" spans="1:13" x14ac:dyDescent="0.25">
      <c r="A75" s="137" t="str">
        <f>A39</f>
        <v>Air Compressor</v>
      </c>
      <c r="B75" s="36"/>
      <c r="C75" s="20"/>
      <c r="E75" s="30">
        <f t="shared" ref="E75" si="145">(Q39*$P39)/2000</f>
        <v>1.913871386537308E-2</v>
      </c>
      <c r="F75" s="30">
        <f t="shared" ref="F75" si="146">(R39*$P39)/2000</f>
        <v>0.14358716042997888</v>
      </c>
      <c r="G75" s="30">
        <f t="shared" ref="G75" si="147">(S39*$P39)/2000</f>
        <v>0.12329750755450371</v>
      </c>
      <c r="H75" s="30">
        <f t="shared" ref="H75" si="148">(T39*$P39)/2000</f>
        <v>1.5201742973119627E-4</v>
      </c>
      <c r="I75" s="30">
        <f t="shared" ref="I75" si="149">(U39*$P39)/2000</f>
        <v>5.1398462556569982E-3</v>
      </c>
      <c r="J75" s="30">
        <f t="shared" ref="J75" si="150">(V39*$P39)/2000</f>
        <v>4.5744631675347282E-3</v>
      </c>
      <c r="K75" s="30">
        <f t="shared" ref="K75" si="151">(W39*$P39)/2000</f>
        <v>11.759224304611777</v>
      </c>
      <c r="L75" s="30">
        <f t="shared" ref="L75" si="152">(X39*$P39)/2000</f>
        <v>2.4669359487086658E-3</v>
      </c>
      <c r="M75" s="30">
        <f t="shared" ref="M75" si="153">(Y39*$P39)/2000</f>
        <v>1.1713263217677853E-2</v>
      </c>
    </row>
    <row r="76" spans="1:13" x14ac:dyDescent="0.25">
      <c r="A76" s="12" t="str">
        <f>A40</f>
        <v>Subtotal</v>
      </c>
      <c r="B76" s="36"/>
      <c r="C76" s="20"/>
      <c r="E76" s="24">
        <f>SUM(E68:E75)</f>
        <v>5.8798942837466686E-2</v>
      </c>
      <c r="F76" s="24">
        <f t="shared" ref="F76:M76" si="154">SUM(F68:F75)</f>
        <v>0.37226675769199413</v>
      </c>
      <c r="G76" s="24">
        <f t="shared" si="154"/>
        <v>0.38336818088018204</v>
      </c>
      <c r="H76" s="24">
        <f t="shared" si="154"/>
        <v>9.6287884927388464E-4</v>
      </c>
      <c r="I76" s="24">
        <f t="shared" si="154"/>
        <v>1.656889869343289E-2</v>
      </c>
      <c r="J76" s="24">
        <f t="shared" si="154"/>
        <v>1.4746319837155273E-2</v>
      </c>
      <c r="K76" s="24">
        <f t="shared" si="154"/>
        <v>86.550082506003648</v>
      </c>
      <c r="L76" s="24">
        <f t="shared" si="154"/>
        <v>7.0541603711563022E-3</v>
      </c>
      <c r="M76" s="24">
        <f t="shared" si="154"/>
        <v>3.6419977183617294E-2</v>
      </c>
    </row>
  </sheetData>
  <mergeCells count="3">
    <mergeCell ref="E3:L3"/>
    <mergeCell ref="Q3:X3"/>
    <mergeCell ref="E42:L42"/>
  </mergeCells>
  <pageMargins left="0.75" right="0.75" top="1" bottom="1" header="0.5" footer="0.5"/>
  <pageSetup scale="47" orientation="landscape" r:id="rId1"/>
  <headerFooter alignWithMargins="0">
    <oddHeader xml:space="preserve">&amp;CTable A-8
Construction Heavy Equipment Emissions
South Orange County Reliability Project
Talega Substation
</oddHeader>
    <oddFooter>&amp;CA-8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27"/>
  <sheetViews>
    <sheetView topLeftCell="A7" zoomScale="75" zoomScaleNormal="75" workbookViewId="0">
      <selection activeCell="B42" sqref="B42"/>
    </sheetView>
  </sheetViews>
  <sheetFormatPr defaultRowHeight="13.2" x14ac:dyDescent="0.25"/>
  <cols>
    <col min="1" max="1" width="61.44140625" customWidth="1"/>
    <col min="2" max="2" width="9.109375" style="1"/>
    <col min="3" max="3" width="7.33203125" style="1" customWidth="1"/>
    <col min="4" max="4" width="7.5546875" style="1" customWidth="1"/>
    <col min="5" max="5" width="11" style="2" customWidth="1"/>
    <col min="6" max="6" width="10.44140625" style="2" customWidth="1"/>
    <col min="7" max="7" width="11" style="2" customWidth="1"/>
    <col min="8" max="10" width="10.44140625" style="2" customWidth="1"/>
    <col min="11" max="11" width="11.6640625" style="2" customWidth="1"/>
    <col min="12" max="13" width="10.44140625" style="2" customWidth="1"/>
    <col min="14" max="14" width="12" style="3" customWidth="1"/>
    <col min="15" max="15" width="5.6640625" customWidth="1"/>
    <col min="16" max="16" width="8.44140625" customWidth="1"/>
    <col min="17" max="17" width="10.33203125" style="4" bestFit="1" customWidth="1"/>
    <col min="18" max="22" width="9.109375" style="4"/>
    <col min="23" max="23" width="11.33203125" style="5" customWidth="1"/>
    <col min="24" max="25" width="9.109375" style="4"/>
    <col min="26" max="27" width="7.6640625" style="6" customWidth="1"/>
    <col min="28" max="28" width="8.33203125" style="6" customWidth="1"/>
    <col min="29" max="29" width="7.88671875" style="6" customWidth="1"/>
    <col min="30" max="31" width="7.6640625" style="6" customWidth="1"/>
    <col min="32" max="32" width="10.44140625" style="7" customWidth="1"/>
  </cols>
  <sheetData>
    <row r="2" spans="1:25" x14ac:dyDescent="0.25">
      <c r="A2" s="581" t="s">
        <v>620</v>
      </c>
    </row>
    <row r="3" spans="1:25" x14ac:dyDescent="0.25">
      <c r="A3" s="8"/>
      <c r="B3" s="9"/>
      <c r="C3" s="9"/>
      <c r="D3" s="9"/>
      <c r="E3" s="620" t="s">
        <v>0</v>
      </c>
      <c r="F3" s="621"/>
      <c r="G3" s="621"/>
      <c r="H3" s="621"/>
      <c r="I3" s="621"/>
      <c r="J3" s="621"/>
      <c r="K3" s="621"/>
      <c r="L3" s="621"/>
      <c r="M3" s="146"/>
      <c r="N3" s="8"/>
      <c r="O3" s="8"/>
      <c r="P3" s="8"/>
      <c r="Q3" s="622" t="s">
        <v>1</v>
      </c>
      <c r="R3" s="621"/>
      <c r="S3" s="621"/>
      <c r="T3" s="621"/>
      <c r="U3" s="621"/>
      <c r="V3" s="621"/>
      <c r="W3" s="621"/>
      <c r="X3" s="621"/>
      <c r="Y3" s="11"/>
    </row>
    <row r="4" spans="1:25" ht="39.6" x14ac:dyDescent="0.25">
      <c r="A4" s="12" t="s">
        <v>131</v>
      </c>
      <c r="B4" s="13" t="s">
        <v>3</v>
      </c>
      <c r="C4" s="13" t="s">
        <v>4</v>
      </c>
      <c r="D4" s="13" t="s">
        <v>5</v>
      </c>
      <c r="E4" s="14" t="s">
        <v>6</v>
      </c>
      <c r="F4" s="14" t="s">
        <v>7</v>
      </c>
      <c r="G4" s="14" t="s">
        <v>8</v>
      </c>
      <c r="H4" s="14" t="s">
        <v>9</v>
      </c>
      <c r="I4" s="14" t="s">
        <v>10</v>
      </c>
      <c r="J4" s="14" t="s">
        <v>11</v>
      </c>
      <c r="K4" s="15" t="s">
        <v>12</v>
      </c>
      <c r="L4" s="15" t="s">
        <v>13</v>
      </c>
      <c r="M4" s="15" t="s">
        <v>14</v>
      </c>
      <c r="N4" s="13" t="s">
        <v>15</v>
      </c>
      <c r="O4" s="13" t="s">
        <v>16</v>
      </c>
      <c r="P4" s="13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7" t="s">
        <v>24</v>
      </c>
      <c r="X4" s="16" t="s">
        <v>25</v>
      </c>
      <c r="Y4" s="16" t="s">
        <v>26</v>
      </c>
    </row>
    <row r="5" spans="1:25" s="3" customFormat="1" hidden="1" x14ac:dyDescent="0.25">
      <c r="A5" s="19" t="s">
        <v>36</v>
      </c>
      <c r="B5" s="20"/>
      <c r="C5" s="20"/>
      <c r="D5" s="20"/>
      <c r="E5" s="21"/>
      <c r="F5" s="21"/>
      <c r="G5" s="21"/>
      <c r="H5" s="21"/>
      <c r="I5" s="21"/>
      <c r="J5" s="21"/>
      <c r="K5" s="21"/>
      <c r="L5" s="21"/>
      <c r="M5" s="21"/>
      <c r="N5" s="19"/>
      <c r="O5" s="19"/>
      <c r="P5" s="19"/>
      <c r="Q5" s="22"/>
      <c r="R5" s="22"/>
      <c r="S5" s="22"/>
      <c r="T5" s="22"/>
      <c r="U5" s="22"/>
      <c r="V5" s="22"/>
      <c r="W5" s="23"/>
      <c r="X5" s="22"/>
      <c r="Y5" s="22"/>
    </row>
    <row r="6" spans="1:25" s="3" customFormat="1" hidden="1" x14ac:dyDescent="0.25">
      <c r="A6" s="19"/>
      <c r="B6" s="20"/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19"/>
      <c r="O6" s="19"/>
      <c r="P6" s="19"/>
      <c r="Q6" s="22"/>
      <c r="R6" s="22"/>
      <c r="S6" s="22"/>
      <c r="T6" s="22"/>
      <c r="U6" s="22"/>
      <c r="V6" s="22"/>
      <c r="W6" s="23"/>
      <c r="X6" s="22"/>
      <c r="Y6" s="22"/>
    </row>
    <row r="7" spans="1:25" s="3" customFormat="1" x14ac:dyDescent="0.25">
      <c r="A7" s="19" t="s">
        <v>210</v>
      </c>
      <c r="B7" s="25">
        <v>2015</v>
      </c>
      <c r="C7" s="25"/>
      <c r="D7" s="20"/>
      <c r="E7" s="26"/>
      <c r="F7" s="26"/>
      <c r="G7" s="26"/>
      <c r="H7" s="26"/>
      <c r="I7" s="26"/>
      <c r="J7" s="27"/>
      <c r="K7" s="28"/>
      <c r="L7" s="26"/>
      <c r="M7" s="38"/>
      <c r="N7" s="135"/>
      <c r="O7" s="135"/>
      <c r="P7" s="136"/>
      <c r="Q7" s="39"/>
      <c r="R7" s="29"/>
      <c r="S7" s="29"/>
      <c r="T7" s="29"/>
      <c r="U7" s="29"/>
      <c r="V7" s="29"/>
      <c r="W7" s="29"/>
      <c r="X7" s="29"/>
      <c r="Y7" s="29"/>
    </row>
    <row r="8" spans="1:25" s="3" customFormat="1" x14ac:dyDescent="0.25">
      <c r="A8" s="27" t="s">
        <v>205</v>
      </c>
      <c r="B8" s="25">
        <v>2015</v>
      </c>
      <c r="C8" s="25">
        <v>235</v>
      </c>
      <c r="D8" s="134">
        <v>0.38</v>
      </c>
      <c r="E8" s="546">
        <f>VLOOKUP($A8,EFROGS!$A$1:$J$44,(IF($B8=2015,4,IF($B8=2016,5,IF($B8=2017,6,IF($B8=2018,7,IF($B8=2019,8,IF($B8=2020,9,0))))))),FALSE)</f>
        <v>0.12027312265814816</v>
      </c>
      <c r="F8" s="546">
        <f>VLOOKUP($A8,EFCOS!$A$1:$J$44,(IF($B8=2015,4,IF($B8=2016,5,IF($B8=2017,6,IF($B8=2018,7,IF($B8=2019,8,IF($B8=2020,9,0))))))),FALSE)</f>
        <v>0.37726446207654918</v>
      </c>
      <c r="G8" s="546">
        <f>VLOOKUP($A8,EFNOXS!$A$1:$J$44,(IF($B8=2015,4,IF($B8=2016,5,IF($B8=2017,6,IF($B8=2018,7,IF($B8=2019,8,IF($B8=2020,9,0))))))),FALSE)</f>
        <v>0.94745273894088322</v>
      </c>
      <c r="H8" s="546">
        <f>VLOOKUP($A8,EFSOXS!$A$1:$J$44,(IF($B8=2015,4,IF($B8=2016,5,IF($B8=2017,6,IF($B8=2018,7,IF($B8=2019,8,IF($B8=2020,9,0))))))),FALSE)</f>
        <v>1.8739213528134147E-3</v>
      </c>
      <c r="I8" s="546">
        <f>VLOOKUP($A8,EFPMS!$A$1:$J$44,(IF($B8=2015,4,IF($B8=2016,5,IF($B8=2017,6,IF($B8=2018,7,IF($B8=2019,8,IF($B8=2020,9,0))))))),FALSE)</f>
        <v>3.1278738047599536E-2</v>
      </c>
      <c r="J8" s="536">
        <f t="shared" ref="J8:J13" si="0">0.89*I8</f>
        <v>2.7838076862363587E-2</v>
      </c>
      <c r="K8" s="549">
        <f>VLOOKUP($A8,EFCO2S!$A$1:$J$44,(IF($B8=2015,4,IF($B8=2016,5,IF($B8=2017,6,IF($B8=2018,7,IF($B8=2019,8,IF($B8=2020,9,0))))))),FALSE)</f>
        <v>166.54539483446186</v>
      </c>
      <c r="L8" s="546">
        <f>VLOOKUP($A8,EFCH4S!$A$1:$J$44,(IF($B8=2015,4,IF($B8=2016,5,IF($B8=2017,6,IF($B8=2018,7,IF($B8=2019,8,IF($B8=2020,9,0))))))),FALSE)</f>
        <v>1.1292325418869483E-2</v>
      </c>
      <c r="M8" s="540">
        <f t="shared" ref="M8:M13" si="1">0.095*G8</f>
        <v>9.0008010199383912E-2</v>
      </c>
      <c r="N8" s="135">
        <v>1</v>
      </c>
      <c r="O8" s="135">
        <v>1</v>
      </c>
      <c r="P8" s="136">
        <f>2*22</f>
        <v>44</v>
      </c>
      <c r="Q8" s="39">
        <f t="shared" ref="Q8:Q13" si="2">(E8*$N8*$O8)</f>
        <v>0.12027312265814816</v>
      </c>
      <c r="R8" s="29">
        <f t="shared" ref="R8:R13" si="3">(F8*$N8*$O8)</f>
        <v>0.37726446207654918</v>
      </c>
      <c r="S8" s="29">
        <f t="shared" ref="S8:S13" si="4">(G8*$N8*$O8)</f>
        <v>0.94745273894088322</v>
      </c>
      <c r="T8" s="29">
        <f t="shared" ref="T8:T13" si="5">(H8*$N8*$O8)</f>
        <v>1.8739213528134147E-3</v>
      </c>
      <c r="U8" s="29">
        <f t="shared" ref="U8:U13" si="6">(I8*$N8*$O8)</f>
        <v>3.1278738047599536E-2</v>
      </c>
      <c r="V8" s="29">
        <f t="shared" ref="V8:V13" si="7">(J8*$N8*$O8)</f>
        <v>2.7838076862363587E-2</v>
      </c>
      <c r="W8" s="29">
        <f t="shared" ref="W8:W13" si="8">(K8*$N8*$O8)</f>
        <v>166.54539483446186</v>
      </c>
      <c r="X8" s="29">
        <f t="shared" ref="X8:X13" si="9">(L8*$N8*$O8)</f>
        <v>1.1292325418869483E-2</v>
      </c>
      <c r="Y8" s="29">
        <f t="shared" ref="Y8:Y13" si="10">(M8*$N8*$O8)</f>
        <v>9.0008010199383912E-2</v>
      </c>
    </row>
    <row r="9" spans="1:25" s="3" customFormat="1" x14ac:dyDescent="0.25">
      <c r="A9" s="27" t="s">
        <v>163</v>
      </c>
      <c r="B9" s="25">
        <v>2015</v>
      </c>
      <c r="C9" s="25">
        <v>75</v>
      </c>
      <c r="D9" s="134">
        <v>0.31</v>
      </c>
      <c r="E9" s="546">
        <f>VLOOKUP($A9,EFROGS!$A$1:$J$44,(IF($B9=2015,4,IF($B9=2016,5,IF($B9=2017,6,IF($B9=2018,7,IF($B9=2019,8,IF($B9=2020,9,0))))))),FALSE)</f>
        <v>4.4076900613026021E-2</v>
      </c>
      <c r="F9" s="546">
        <f>VLOOKUP($A9,EFCOS!$A$1:$J$44,(IF($B9=2015,4,IF($B9=2016,5,IF($B9=2017,6,IF($B9=2018,7,IF($B9=2019,8,IF($B9=2020,9,0))))))),FALSE)</f>
        <v>0.23533863205747899</v>
      </c>
      <c r="G9" s="546">
        <f>VLOOKUP($A9,EFNOXS!$A$1:$J$44,(IF($B9=2015,4,IF($B9=2016,5,IF($B9=2017,6,IF($B9=2018,7,IF($B9=2019,8,IF($B9=2020,9,0))))))),FALSE)</f>
        <v>0.3172440428712176</v>
      </c>
      <c r="H9" s="546">
        <f>VLOOKUP($A9,EFSOXS!$A$1:$J$44,(IF($B9=2015,4,IF($B9=2016,5,IF($B9=2017,6,IF($B9=2018,7,IF($B9=2019,8,IF($B9=2020,9,0))))))),FALSE)</f>
        <v>4.4660189176329328E-4</v>
      </c>
      <c r="I9" s="546">
        <f>VLOOKUP($A9,EFPMS!$A$1:$J$44,(IF($B9=2015,4,IF($B9=2016,5,IF($B9=2017,6,IF($B9=2018,7,IF($B9=2019,8,IF($B9=2020,9,0))))))),FALSE)</f>
        <v>2.3373300034597182E-2</v>
      </c>
      <c r="J9" s="536">
        <f t="shared" si="0"/>
        <v>2.0802237030791492E-2</v>
      </c>
      <c r="K9" s="549">
        <f>VLOOKUP($A9,EFCO2S!$A$1:$J$44,(IF($B9=2015,4,IF($B9=2016,5,IF($B9=2017,6,IF($B9=2018,7,IF($B9=2019,8,IF($B9=2020,9,0))))))),FALSE)</f>
        <v>38.071821072900271</v>
      </c>
      <c r="L9" s="546">
        <f>VLOOKUP($A9,EFCH4S!$A$1:$J$44,(IF($B9=2015,4,IF($B9=2016,5,IF($B9=2017,6,IF($B9=2018,7,IF($B9=2019,8,IF($B9=2020,9,0))))))),FALSE)</f>
        <v>4.1522265780973748E-3</v>
      </c>
      <c r="M9" s="540">
        <f t="shared" si="1"/>
        <v>3.0138184072765674E-2</v>
      </c>
      <c r="N9" s="135">
        <v>1</v>
      </c>
      <c r="O9" s="135">
        <v>6</v>
      </c>
      <c r="P9" s="136">
        <f>2*22</f>
        <v>44</v>
      </c>
      <c r="Q9" s="39">
        <f t="shared" si="2"/>
        <v>0.26446140367815613</v>
      </c>
      <c r="R9" s="29">
        <f t="shared" si="3"/>
        <v>1.412031792344874</v>
      </c>
      <c r="S9" s="29">
        <f t="shared" si="4"/>
        <v>1.9034642572273057</v>
      </c>
      <c r="T9" s="29">
        <f t="shared" si="5"/>
        <v>2.6796113505797598E-3</v>
      </c>
      <c r="U9" s="29">
        <f t="shared" si="6"/>
        <v>0.14023980020758309</v>
      </c>
      <c r="V9" s="29">
        <f t="shared" si="7"/>
        <v>0.12481342218474895</v>
      </c>
      <c r="W9" s="29">
        <f t="shared" si="8"/>
        <v>228.43092643740164</v>
      </c>
      <c r="X9" s="29">
        <f t="shared" si="9"/>
        <v>2.4913359468584251E-2</v>
      </c>
      <c r="Y9" s="29">
        <f t="shared" si="10"/>
        <v>0.18082910443659406</v>
      </c>
    </row>
    <row r="10" spans="1:25" s="3" customFormat="1" x14ac:dyDescent="0.25">
      <c r="A10" s="27" t="s">
        <v>201</v>
      </c>
      <c r="B10" s="25">
        <v>2015</v>
      </c>
      <c r="C10" s="25">
        <v>300</v>
      </c>
      <c r="D10" s="134">
        <v>0.38</v>
      </c>
      <c r="E10" s="546">
        <f>VLOOKUP($A10,EFROGS!$A$1:$J$44,(IF($B10=2015,4,IF($B10=2016,5,IF($B10=2017,6,IF($B10=2018,7,IF($B10=2019,8,IF($B10=2020,9,0))))))),FALSE)</f>
        <v>0.15156273531486869</v>
      </c>
      <c r="F10" s="546">
        <f>VLOOKUP($A10,EFCOS!$A$1:$J$44,(IF($B10=2015,4,IF($B10=2016,5,IF($B10=2017,6,IF($B10=2018,7,IF($B10=2019,8,IF($B10=2020,9,0))))))),FALSE)</f>
        <v>0.5042955535817204</v>
      </c>
      <c r="G10" s="546">
        <f>VLOOKUP($A10,EFNOXS!$A$1:$J$44,(IF($B10=2015,4,IF($B10=2016,5,IF($B10=2017,6,IF($B10=2018,7,IF($B10=2019,8,IF($B10=2020,9,0))))))),FALSE)</f>
        <v>1.1226784907797649</v>
      </c>
      <c r="H10" s="546">
        <f>VLOOKUP($A10,EFSOXS!$A$1:$J$44,(IF($B10=2015,4,IF($B10=2016,5,IF($B10=2017,6,IF($B10=2018,7,IF($B10=2019,8,IF($B10=2020,9,0))))))),FALSE)</f>
        <v>2.2941891037024571E-3</v>
      </c>
      <c r="I10" s="546">
        <f>VLOOKUP($A10,EFPMS!$A$1:$J$44,(IF($B10=2015,4,IF($B10=2016,5,IF($B10=2017,6,IF($B10=2018,7,IF($B10=2019,8,IF($B10=2020,9,0))))))),FALSE)</f>
        <v>3.945202890717215E-2</v>
      </c>
      <c r="J10" s="536">
        <f t="shared" si="0"/>
        <v>3.5112305727383213E-2</v>
      </c>
      <c r="K10" s="549">
        <f>VLOOKUP($A10,EFCO2S!$A$1:$J$44,(IF($B10=2015,4,IF($B10=2016,5,IF($B10=2017,6,IF($B10=2018,7,IF($B10=2019,8,IF($B10=2020,9,0))))))),FALSE)</f>
        <v>233.73532966705815</v>
      </c>
      <c r="L10" s="546">
        <f>VLOOKUP($A10,EFCH4S!$A$1:$J$44,(IF($B10=2015,4,IF($B10=2016,5,IF($B10=2017,6,IF($B10=2018,7,IF($B10=2019,8,IF($B10=2020,9,0))))))),FALSE)</f>
        <v>1.4227923455147638E-2</v>
      </c>
      <c r="M10" s="540">
        <f t="shared" si="1"/>
        <v>0.10665445662407766</v>
      </c>
      <c r="N10" s="135">
        <v>1</v>
      </c>
      <c r="O10" s="135">
        <v>6</v>
      </c>
      <c r="P10" s="136">
        <f>2*22</f>
        <v>44</v>
      </c>
      <c r="Q10" s="39">
        <f t="shared" si="2"/>
        <v>0.90937641188921214</v>
      </c>
      <c r="R10" s="29">
        <f t="shared" si="3"/>
        <v>3.0257733214903224</v>
      </c>
      <c r="S10" s="29">
        <f t="shared" si="4"/>
        <v>6.7360709446785894</v>
      </c>
      <c r="T10" s="29">
        <f t="shared" si="5"/>
        <v>1.3765134622214743E-2</v>
      </c>
      <c r="U10" s="29">
        <f t="shared" si="6"/>
        <v>0.23671217344303291</v>
      </c>
      <c r="V10" s="29">
        <f t="shared" si="7"/>
        <v>0.21067383436429926</v>
      </c>
      <c r="W10" s="29">
        <f t="shared" si="8"/>
        <v>1402.4119780023489</v>
      </c>
      <c r="X10" s="29">
        <f t="shared" si="9"/>
        <v>8.536754073088583E-2</v>
      </c>
      <c r="Y10" s="29">
        <f t="shared" si="10"/>
        <v>0.6399267397444659</v>
      </c>
    </row>
    <row r="11" spans="1:25" s="3" customFormat="1" x14ac:dyDescent="0.25">
      <c r="A11" s="27" t="s">
        <v>209</v>
      </c>
      <c r="B11" s="25">
        <v>2015</v>
      </c>
      <c r="C11" s="25">
        <v>25</v>
      </c>
      <c r="D11" s="134">
        <v>1</v>
      </c>
      <c r="E11" s="546">
        <f>VLOOKUP($A11,EFROGS!$A$1:$J$44,(IF($B11=2015,4,IF($B11=2016,5,IF($B11=2017,6,IF($B11=2018,7,IF($B11=2019,8,IF($B11=2020,9,0))))))),FALSE)</f>
        <v>1.5948887253296615E-2</v>
      </c>
      <c r="F11" s="546">
        <f>VLOOKUP($A11,EFCOS!$A$1:$J$44,(IF($B11=2015,4,IF($B11=2016,5,IF($B11=2017,6,IF($B11=2018,7,IF($B11=2019,8,IF($B11=2020,9,0))))))),FALSE)</f>
        <v>6.3000141533904722E-2</v>
      </c>
      <c r="G11" s="546">
        <f>VLOOKUP($A11,EFNOXS!$A$1:$J$44,(IF($B11=2015,4,IF($B11=2016,5,IF($B11=2017,6,IF($B11=2018,7,IF($B11=2019,8,IF($B11=2020,9,0))))))),FALSE)</f>
        <v>0.11120375249615494</v>
      </c>
      <c r="H11" s="546">
        <f>VLOOKUP($A11,EFSOXS!$A$1:$J$44,(IF($B11=2015,4,IF($B11=2016,5,IF($B11=2017,6,IF($B11=2018,7,IF($B11=2019,8,IF($B11=2020,9,0))))))),FALSE)</f>
        <v>1.6770241908781297E-4</v>
      </c>
      <c r="I11" s="546">
        <f>VLOOKUP($A11,EFPMS!$A$1:$J$44,(IF($B11=2015,4,IF($B11=2016,5,IF($B11=2017,6,IF($B11=2018,7,IF($B11=2019,8,IF($B11=2020,9,0))))))),FALSE)</f>
        <v>4.2762722436368722E-3</v>
      </c>
      <c r="J11" s="536">
        <f t="shared" si="0"/>
        <v>3.8058822968368164E-3</v>
      </c>
      <c r="K11" s="549">
        <f>VLOOKUP($A11,EFCO2S!$A$1:$J$44,(IF($B11=2015,4,IF($B11=2016,5,IF($B11=2017,6,IF($B11=2018,7,IF($B11=2019,8,IF($B11=2020,9,0))))))),FALSE)</f>
        <v>13.217293885230841</v>
      </c>
      <c r="L11" s="546">
        <f>VLOOKUP($A11,EFCH4S!$A$1:$J$44,(IF($B11=2015,4,IF($B11=2016,5,IF($B11=2017,6,IF($B11=2018,7,IF($B11=2019,8,IF($B11=2020,9,0))))))),FALSE)</f>
        <v>1.4390426214159915E-3</v>
      </c>
      <c r="M11" s="540">
        <f t="shared" si="1"/>
        <v>1.056435648713472E-2</v>
      </c>
      <c r="N11" s="135">
        <v>2</v>
      </c>
      <c r="O11" s="135">
        <v>6</v>
      </c>
      <c r="P11" s="136">
        <f>2*22</f>
        <v>44</v>
      </c>
      <c r="Q11" s="39">
        <f t="shared" si="2"/>
        <v>0.19138664703955938</v>
      </c>
      <c r="R11" s="29">
        <f t="shared" si="3"/>
        <v>0.75600169840685671</v>
      </c>
      <c r="S11" s="29">
        <f t="shared" si="4"/>
        <v>1.3344450299538593</v>
      </c>
      <c r="T11" s="29">
        <f t="shared" si="5"/>
        <v>2.0124290290537555E-3</v>
      </c>
      <c r="U11" s="29">
        <f t="shared" si="6"/>
        <v>5.1315266923642466E-2</v>
      </c>
      <c r="V11" s="29">
        <f t="shared" si="7"/>
        <v>4.5670587562041801E-2</v>
      </c>
      <c r="W11" s="29">
        <f t="shared" si="8"/>
        <v>158.60752662277008</v>
      </c>
      <c r="X11" s="29">
        <f t="shared" si="9"/>
        <v>1.7268511456991899E-2</v>
      </c>
      <c r="Y11" s="29">
        <f t="shared" si="10"/>
        <v>0.12677227784561665</v>
      </c>
    </row>
    <row r="12" spans="1:25" s="3" customFormat="1" x14ac:dyDescent="0.25">
      <c r="A12" s="37" t="s">
        <v>61</v>
      </c>
      <c r="B12" s="25">
        <v>2015</v>
      </c>
      <c r="C12" s="25">
        <v>235</v>
      </c>
      <c r="D12" s="134">
        <v>0.38</v>
      </c>
      <c r="E12" s="546">
        <f>VLOOKUP($A12,EFROGS!$A$1:$J$44,(IF($B12=2015,4,IF($B12=2016,5,IF($B12=2017,6,IF($B12=2018,7,IF($B12=2019,8,IF($B12=2020,9,0))))))),FALSE)</f>
        <v>0.12027312265814816</v>
      </c>
      <c r="F12" s="546">
        <f>VLOOKUP($A12,EFCOS!$A$1:$J$44,(IF($B12=2015,4,IF($B12=2016,5,IF($B12=2017,6,IF($B12=2018,7,IF($B12=2019,8,IF($B12=2020,9,0))))))),FALSE)</f>
        <v>0.37726446207654918</v>
      </c>
      <c r="G12" s="546">
        <f>VLOOKUP($A12,EFNOXS!$A$1:$J$44,(IF($B12=2015,4,IF($B12=2016,5,IF($B12=2017,6,IF($B12=2018,7,IF($B12=2019,8,IF($B12=2020,9,0))))))),FALSE)</f>
        <v>0.94745273894088322</v>
      </c>
      <c r="H12" s="546">
        <f>VLOOKUP($A12,EFSOXS!$A$1:$J$44,(IF($B12=2015,4,IF($B12=2016,5,IF($B12=2017,6,IF($B12=2018,7,IF($B12=2019,8,IF($B12=2020,9,0))))))),FALSE)</f>
        <v>1.8739213528134147E-3</v>
      </c>
      <c r="I12" s="546">
        <f>VLOOKUP($A12,EFPMS!$A$1:$J$44,(IF($B12=2015,4,IF($B12=2016,5,IF($B12=2017,6,IF($B12=2018,7,IF($B12=2019,8,IF($B12=2020,9,0))))))),FALSE)</f>
        <v>3.1278738047599536E-2</v>
      </c>
      <c r="J12" s="536">
        <f t="shared" si="0"/>
        <v>2.7838076862363587E-2</v>
      </c>
      <c r="K12" s="549">
        <f>VLOOKUP($A12,EFCO2S!$A$1:$J$44,(IF($B12=2015,4,IF($B12=2016,5,IF($B12=2017,6,IF($B12=2018,7,IF($B12=2019,8,IF($B12=2020,9,0))))))),FALSE)</f>
        <v>166.54539483446186</v>
      </c>
      <c r="L12" s="546">
        <f>VLOOKUP($A12,EFCH4S!$A$1:$J$44,(IF($B12=2015,4,IF($B12=2016,5,IF($B12=2017,6,IF($B12=2018,7,IF($B12=2019,8,IF($B12=2020,9,0))))))),FALSE)</f>
        <v>1.1292325418869483E-2</v>
      </c>
      <c r="M12" s="540">
        <f t="shared" si="1"/>
        <v>9.0008010199383912E-2</v>
      </c>
      <c r="N12" s="135">
        <v>8</v>
      </c>
      <c r="O12" s="135">
        <v>1</v>
      </c>
      <c r="P12" s="136">
        <f>2*22</f>
        <v>44</v>
      </c>
      <c r="Q12" s="39">
        <f t="shared" si="2"/>
        <v>0.96218498126518526</v>
      </c>
      <c r="R12" s="29">
        <f t="shared" si="3"/>
        <v>3.0181156966123934</v>
      </c>
      <c r="S12" s="29">
        <f t="shared" si="4"/>
        <v>7.5796219115270658</v>
      </c>
      <c r="T12" s="29">
        <f t="shared" si="5"/>
        <v>1.4991370822507318E-2</v>
      </c>
      <c r="U12" s="29">
        <f t="shared" si="6"/>
        <v>0.25022990438079629</v>
      </c>
      <c r="V12" s="29">
        <f t="shared" si="7"/>
        <v>0.22270461489890869</v>
      </c>
      <c r="W12" s="29">
        <f t="shared" si="8"/>
        <v>1332.3631586756949</v>
      </c>
      <c r="X12" s="29">
        <f t="shared" si="9"/>
        <v>9.0338603350955865E-2</v>
      </c>
      <c r="Y12" s="29">
        <f t="shared" si="10"/>
        <v>0.72006408159507129</v>
      </c>
    </row>
    <row r="13" spans="1:25" s="3" customFormat="1" x14ac:dyDescent="0.25">
      <c r="A13" s="27" t="s">
        <v>202</v>
      </c>
      <c r="B13" s="25">
        <v>2015</v>
      </c>
      <c r="C13" s="25">
        <v>399</v>
      </c>
      <c r="D13" s="134">
        <v>0.28999999999999998</v>
      </c>
      <c r="E13" s="546">
        <f>VLOOKUP($A13,EFROGS!$A$1:$J$44,(IF($B13=2015,4,IF($B13=2016,5,IF($B13=2017,6,IF($B13=2018,7,IF($B13=2019,8,IF($B13=2020,9,0))))))),FALSE)</f>
        <v>0.13409687669306566</v>
      </c>
      <c r="F13" s="546">
        <f>VLOOKUP($A13,EFCOS!$A$1:$J$44,(IF($B13=2015,4,IF($B13=2016,5,IF($B13=2017,6,IF($B13=2018,7,IF($B13=2019,8,IF($B13=2020,9,0))))))),FALSE)</f>
        <v>0.47613955125877999</v>
      </c>
      <c r="G13" s="546">
        <f>VLOOKUP($A13,EFNOXS!$A$1:$J$44,(IF($B13=2015,4,IF($B13=2016,5,IF($B13=2017,6,IF($B13=2018,7,IF($B13=2019,8,IF($B13=2020,9,0))))))),FALSE)</f>
        <v>1.1412855646229325</v>
      </c>
      <c r="H13" s="546">
        <f>VLOOKUP($A13,EFSOXS!$A$1:$J$44,(IF($B13=2015,4,IF($B13=2016,5,IF($B13=2017,6,IF($B13=2018,7,IF($B13=2019,8,IF($B13=2020,9,0))))))),FALSE)</f>
        <v>1.7677534033125378E-3</v>
      </c>
      <c r="I13" s="546">
        <f>VLOOKUP($A13,EFPMS!$A$1:$J$44,(IF($B13=2015,4,IF($B13=2016,5,IF($B13=2017,6,IF($B13=2018,7,IF($B13=2019,8,IF($B13=2020,9,0))))))),FALSE)</f>
        <v>4.0693642888068586E-2</v>
      </c>
      <c r="J13" s="536">
        <f t="shared" si="0"/>
        <v>3.6217342170381042E-2</v>
      </c>
      <c r="K13" s="549">
        <f>VLOOKUP($A13,EFCO2S!$A$1:$J$44,(IF($B13=2015,4,IF($B13=2016,5,IF($B13=2017,6,IF($B13=2018,7,IF($B13=2019,8,IF($B13=2020,9,0))))))),FALSE)</f>
        <v>180.10128501905464</v>
      </c>
      <c r="L13" s="546">
        <f>VLOOKUP($A13,EFCH4S!$A$1:$J$44,(IF($B13=2015,4,IF($B13=2016,5,IF($B13=2017,6,IF($B13=2018,7,IF($B13=2019,8,IF($B13=2020,9,0))))))),FALSE)</f>
        <v>1.256655716560515E-2</v>
      </c>
      <c r="M13" s="540">
        <f t="shared" si="1"/>
        <v>0.10842212863917859</v>
      </c>
      <c r="N13" s="135">
        <v>1</v>
      </c>
      <c r="O13" s="135">
        <v>6</v>
      </c>
      <c r="P13" s="136">
        <f>1*22</f>
        <v>22</v>
      </c>
      <c r="Q13" s="39">
        <f t="shared" si="2"/>
        <v>0.80458126015839393</v>
      </c>
      <c r="R13" s="29">
        <f t="shared" si="3"/>
        <v>2.8568373075526798</v>
      </c>
      <c r="S13" s="29">
        <f t="shared" si="4"/>
        <v>6.8477133877375955</v>
      </c>
      <c r="T13" s="29">
        <f t="shared" si="5"/>
        <v>1.0606520419875226E-2</v>
      </c>
      <c r="U13" s="29">
        <f t="shared" si="6"/>
        <v>0.2441618573284115</v>
      </c>
      <c r="V13" s="29">
        <f t="shared" si="7"/>
        <v>0.21730405302228625</v>
      </c>
      <c r="W13" s="29">
        <f t="shared" si="8"/>
        <v>1080.6077101143278</v>
      </c>
      <c r="X13" s="29">
        <f t="shared" si="9"/>
        <v>7.5399342993630908E-2</v>
      </c>
      <c r="Y13" s="29">
        <f t="shared" si="10"/>
        <v>0.65053277183507152</v>
      </c>
    </row>
    <row r="14" spans="1:25" s="3" customFormat="1" x14ac:dyDescent="0.25">
      <c r="A14" s="19" t="s">
        <v>38</v>
      </c>
      <c r="B14" s="34"/>
      <c r="C14" s="25"/>
      <c r="D14" s="134"/>
      <c r="E14" s="26"/>
      <c r="F14" s="26"/>
      <c r="G14" s="26"/>
      <c r="H14" s="26"/>
      <c r="I14" s="26"/>
      <c r="J14" s="27"/>
      <c r="K14" s="28"/>
      <c r="L14" s="26"/>
      <c r="M14" s="38"/>
      <c r="N14" s="135"/>
      <c r="O14" s="135"/>
      <c r="P14" s="136"/>
      <c r="Q14" s="138">
        <f t="shared" ref="Q14:Y14" si="11">SUM(Q8:Q13)</f>
        <v>3.2522638266886554</v>
      </c>
      <c r="R14" s="31">
        <f t="shared" si="11"/>
        <v>11.446024278483677</v>
      </c>
      <c r="S14" s="31">
        <f t="shared" si="11"/>
        <v>25.3487682700653</v>
      </c>
      <c r="T14" s="31">
        <f t="shared" si="11"/>
        <v>4.5928987597044217E-2</v>
      </c>
      <c r="U14" s="31">
        <f t="shared" si="11"/>
        <v>0.95393774033106582</v>
      </c>
      <c r="V14" s="31">
        <f t="shared" si="11"/>
        <v>0.84900458889464858</v>
      </c>
      <c r="W14" s="31">
        <f t="shared" si="11"/>
        <v>4368.9666946870057</v>
      </c>
      <c r="X14" s="31">
        <f t="shared" si="11"/>
        <v>0.30457968341991826</v>
      </c>
      <c r="Y14" s="31">
        <f t="shared" si="11"/>
        <v>2.4081329856562035</v>
      </c>
    </row>
    <row r="15" spans="1:25" s="3" customFormat="1" x14ac:dyDescent="0.25">
      <c r="A15" s="19"/>
      <c r="B15" s="34"/>
      <c r="C15" s="25"/>
      <c r="D15" s="134"/>
      <c r="E15" s="26"/>
      <c r="F15" s="26"/>
      <c r="G15" s="26"/>
      <c r="H15" s="26"/>
      <c r="I15" s="26"/>
      <c r="J15" s="27"/>
      <c r="K15" s="28"/>
      <c r="L15" s="26"/>
      <c r="M15" s="38"/>
      <c r="N15" s="135"/>
      <c r="O15" s="135"/>
      <c r="P15" s="136"/>
      <c r="Q15" s="39"/>
      <c r="R15" s="29"/>
      <c r="S15" s="29"/>
      <c r="T15" s="29"/>
      <c r="U15" s="29"/>
      <c r="V15" s="29"/>
      <c r="W15" s="29"/>
      <c r="X15" s="29"/>
      <c r="Y15" s="29"/>
    </row>
    <row r="16" spans="1:25" s="3" customFormat="1" x14ac:dyDescent="0.25">
      <c r="A16" s="19" t="s">
        <v>211</v>
      </c>
      <c r="B16" s="25">
        <v>2015</v>
      </c>
      <c r="C16" s="25"/>
      <c r="D16" s="134"/>
      <c r="E16" s="26"/>
      <c r="F16" s="26"/>
      <c r="G16" s="26"/>
      <c r="H16" s="26"/>
      <c r="I16" s="26"/>
      <c r="J16" s="27"/>
      <c r="K16" s="28"/>
      <c r="L16" s="26"/>
      <c r="M16" s="38"/>
      <c r="N16" s="135"/>
      <c r="O16" s="135"/>
      <c r="P16" s="136"/>
      <c r="Q16" s="39"/>
      <c r="R16" s="29"/>
      <c r="S16" s="29"/>
      <c r="T16" s="29"/>
      <c r="U16" s="29"/>
      <c r="V16" s="29"/>
      <c r="W16" s="29"/>
      <c r="X16" s="29"/>
      <c r="Y16" s="29"/>
    </row>
    <row r="17" spans="1:25" s="3" customFormat="1" x14ac:dyDescent="0.25">
      <c r="A17" s="27" t="s">
        <v>193</v>
      </c>
      <c r="B17" s="25">
        <v>2015</v>
      </c>
      <c r="C17" s="25">
        <v>350</v>
      </c>
      <c r="D17" s="134">
        <v>0.4</v>
      </c>
      <c r="E17" s="546">
        <f>VLOOKUP($A17,EFROGS!$A$1:$J$44,(IF($B17=2015,4,IF($B17=2016,5,IF($B17=2017,6,IF($B17=2018,7,IF($B17=2019,8,IF($B17=2020,9,0))))))),FALSE)</f>
        <v>0.28066021184881418</v>
      </c>
      <c r="F17" s="546">
        <f>VLOOKUP($A17,EFCOS!$A$1:$J$44,(IF($B17=2015,4,IF($B17=2016,5,IF($B17=2017,6,IF($B17=2018,7,IF($B17=2019,8,IF($B17=2020,9,0))))))),FALSE)</f>
        <v>1.2234716378508228</v>
      </c>
      <c r="G17" s="546">
        <f>VLOOKUP($A17,EFNOXS!$A$1:$J$44,(IF($B17=2015,4,IF($B17=2016,5,IF($B17=2017,6,IF($B17=2018,7,IF($B17=2019,8,IF($B17=2020,9,0))))))),FALSE)</f>
        <v>2.2984677151643464</v>
      </c>
      <c r="H17" s="546">
        <f>VLOOKUP($A17,EFSOXS!$A$1:$J$44,(IF($B17=2015,4,IF($B17=2016,5,IF($B17=2017,6,IF($B17=2018,7,IF($B17=2019,8,IF($B17=2020,9,0))))))),FALSE)</f>
        <v>2.5998102444893035E-3</v>
      </c>
      <c r="I17" s="546">
        <f>VLOOKUP($A17,EFPMS!$A$1:$J$44,(IF($B17=2015,4,IF($B17=2016,5,IF($B17=2017,6,IF($B17=2018,7,IF($B17=2019,8,IF($B17=2020,9,0))))))),FALSE)</f>
        <v>9.3824024160305358E-2</v>
      </c>
      <c r="J17" s="536">
        <f t="shared" ref="J17:J25" si="12">0.89*I17</f>
        <v>8.3503381502671767E-2</v>
      </c>
      <c r="K17" s="549">
        <f>VLOOKUP($A17,EFCO2S!$A$1:$J$44,(IF($B17=2015,4,IF($B17=2016,5,IF($B17=2017,6,IF($B17=2018,7,IF($B17=2019,8,IF($B17=2020,9,0))))))),FALSE)</f>
        <v>264.8725636721183</v>
      </c>
      <c r="L17" s="546">
        <f>VLOOKUP($A17,EFCH4S!$A$1:$J$44,(IF($B17=2015,4,IF($B17=2016,5,IF($B17=2017,6,IF($B17=2018,7,IF($B17=2019,8,IF($B17=2020,9,0))))))),FALSE)</f>
        <v>2.6451144743432839E-2</v>
      </c>
      <c r="M17" s="540">
        <f t="shared" ref="M17:M25" si="13">0.095*G17</f>
        <v>0.21835443294061291</v>
      </c>
      <c r="N17" s="135">
        <v>2</v>
      </c>
      <c r="O17" s="135">
        <v>8</v>
      </c>
      <c r="P17" s="136">
        <f>4*22</f>
        <v>88</v>
      </c>
      <c r="Q17" s="39">
        <f t="shared" ref="Q17:Q25" si="14">(E17*$N17*$O17)</f>
        <v>4.4905633895810269</v>
      </c>
      <c r="R17" s="29">
        <f t="shared" ref="R17:R25" si="15">(F17*$N17*$O17)</f>
        <v>19.575546205613165</v>
      </c>
      <c r="S17" s="29">
        <f t="shared" ref="S17:S25" si="16">(G17*$N17*$O17)</f>
        <v>36.775483442629543</v>
      </c>
      <c r="T17" s="29">
        <f t="shared" ref="T17:T25" si="17">(H17*$N17*$O17)</f>
        <v>4.1596963911828856E-2</v>
      </c>
      <c r="U17" s="29">
        <f t="shared" ref="U17:U25" si="18">(I17*$N17*$O17)</f>
        <v>1.5011843865648857</v>
      </c>
      <c r="V17" s="29">
        <f t="shared" ref="V17:V25" si="19">(J17*$N17*$O17)</f>
        <v>1.3360541040427483</v>
      </c>
      <c r="W17" s="29">
        <f t="shared" ref="W17:W25" si="20">(K17*$N17*$O17)</f>
        <v>4237.9610187538929</v>
      </c>
      <c r="X17" s="29">
        <f t="shared" ref="X17:X25" si="21">(L17*$N17*$O17)</f>
        <v>0.42321831589492542</v>
      </c>
      <c r="Y17" s="29">
        <f t="shared" ref="Y17:Y25" si="22">(M17*$N17*$O17)</f>
        <v>3.4936709270498065</v>
      </c>
    </row>
    <row r="18" spans="1:25" s="3" customFormat="1" x14ac:dyDescent="0.25">
      <c r="A18" s="27" t="s">
        <v>194</v>
      </c>
      <c r="B18" s="25">
        <v>2015</v>
      </c>
      <c r="C18" s="25">
        <v>350</v>
      </c>
      <c r="D18" s="134">
        <v>0.41</v>
      </c>
      <c r="E18" s="546">
        <f>VLOOKUP($A18,EFROGS!$A$1:$J$44,(IF($B18=2015,4,IF($B18=2016,5,IF($B18=2017,6,IF($B18=2018,7,IF($B18=2019,8,IF($B18=2020,9,0))))))),FALSE)</f>
        <v>0.16050268261922351</v>
      </c>
      <c r="F18" s="546">
        <f>VLOOKUP($A18,EFCOS!$A$1:$J$44,(IF($B18=2015,4,IF($B18=2016,5,IF($B18=2017,6,IF($B18=2018,7,IF($B18=2019,8,IF($B18=2020,9,0))))))),FALSE)</f>
        <v>0.58634095857918989</v>
      </c>
      <c r="G18" s="546">
        <f>VLOOKUP($A18,EFNOXS!$A$1:$J$44,(IF($B18=2015,4,IF($B18=2016,5,IF($B18=2017,6,IF($B18=2018,7,IF($B18=2019,8,IF($B18=2020,9,0))))))),FALSE)</f>
        <v>1.3309478779062127</v>
      </c>
      <c r="H18" s="546">
        <f>VLOOKUP($A18,EFSOXS!$A$1:$J$44,(IF($B18=2015,4,IF($B18=2016,5,IF($B18=2017,6,IF($B18=2018,7,IF($B18=2019,8,IF($B18=2020,9,0))))))),FALSE)</f>
        <v>2.2524633622208845E-3</v>
      </c>
      <c r="I18" s="546">
        <f>VLOOKUP($A18,EFPMS!$A$1:$J$44,(IF($B18=2015,4,IF($B18=2016,5,IF($B18=2017,6,IF($B18=2018,7,IF($B18=2019,8,IF($B18=2020,9,0))))))),FALSE)</f>
        <v>4.7321529971864722E-2</v>
      </c>
      <c r="J18" s="536">
        <f t="shared" si="12"/>
        <v>4.2116161674959601E-2</v>
      </c>
      <c r="K18" s="549">
        <f>VLOOKUP($A18,EFCO2S!$A$1:$J$44,(IF($B18=2015,4,IF($B18=2016,5,IF($B18=2017,6,IF($B18=2018,7,IF($B18=2019,8,IF($B18=2020,9,0))))))),FALSE)</f>
        <v>229.48430404511782</v>
      </c>
      <c r="L18" s="546">
        <f>VLOOKUP($A18,EFCH4S!$A$1:$J$44,(IF($B18=2015,4,IF($B18=2016,5,IF($B18=2017,6,IF($B18=2018,7,IF($B18=2019,8,IF($B18=2020,9,0))))))),FALSE)</f>
        <v>1.5033778692192376E-2</v>
      </c>
      <c r="M18" s="540">
        <f t="shared" si="13"/>
        <v>0.12644004840109022</v>
      </c>
      <c r="N18" s="135">
        <v>2</v>
      </c>
      <c r="O18" s="135">
        <v>8</v>
      </c>
      <c r="P18" s="136">
        <f>4*22</f>
        <v>88</v>
      </c>
      <c r="Q18" s="39">
        <f t="shared" si="14"/>
        <v>2.5680429219075762</v>
      </c>
      <c r="R18" s="29">
        <f t="shared" si="15"/>
        <v>9.3814553372670382</v>
      </c>
      <c r="S18" s="29">
        <f t="shared" si="16"/>
        <v>21.295166046499403</v>
      </c>
      <c r="T18" s="29">
        <f t="shared" si="17"/>
        <v>3.6039413795534152E-2</v>
      </c>
      <c r="U18" s="29">
        <f t="shared" si="18"/>
        <v>0.75714447954983555</v>
      </c>
      <c r="V18" s="29">
        <f t="shared" si="19"/>
        <v>0.67385858679935362</v>
      </c>
      <c r="W18" s="29">
        <f t="shared" si="20"/>
        <v>3671.7488647218852</v>
      </c>
      <c r="X18" s="29">
        <f t="shared" si="21"/>
        <v>0.24054045907507801</v>
      </c>
      <c r="Y18" s="29">
        <f t="shared" si="22"/>
        <v>2.0230407744174435</v>
      </c>
    </row>
    <row r="19" spans="1:25" s="3" customFormat="1" x14ac:dyDescent="0.25">
      <c r="A19" s="27" t="s">
        <v>195</v>
      </c>
      <c r="B19" s="25">
        <v>2015</v>
      </c>
      <c r="C19" s="25">
        <v>350</v>
      </c>
      <c r="D19" s="134">
        <v>0.48</v>
      </c>
      <c r="E19" s="546">
        <f>VLOOKUP($A19,EFROGS!$A$1:$J$44,(IF($B19=2015,4,IF($B19=2016,5,IF($B19=2017,6,IF($B19=2018,7,IF($B19=2019,8,IF($B19=2020,9,0))))))),FALSE)</f>
        <v>0.27645201730360836</v>
      </c>
      <c r="F19" s="546">
        <f>VLOOKUP($A19,EFCOS!$A$1:$J$44,(IF($B19=2015,4,IF($B19=2016,5,IF($B19=2017,6,IF($B19=2018,7,IF($B19=2019,8,IF($B19=2020,9,0))))))),FALSE)</f>
        <v>1.0635193230957918</v>
      </c>
      <c r="G19" s="546">
        <f>VLOOKUP($A19,EFNOXS!$A$1:$J$44,(IF($B19=2015,4,IF($B19=2016,5,IF($B19=2017,6,IF($B19=2018,7,IF($B19=2019,8,IF($B19=2020,9,0))))))),FALSE)</f>
        <v>2.3176715449187282</v>
      </c>
      <c r="H19" s="546">
        <f>VLOOKUP($A19,EFSOXS!$A$1:$J$44,(IF($B19=2015,4,IF($B19=2016,5,IF($B19=2017,6,IF($B19=2018,7,IF($B19=2019,8,IF($B19=2020,9,0))))))),FALSE)</f>
        <v>3.1549252143876689E-3</v>
      </c>
      <c r="I19" s="546">
        <f>VLOOKUP($A19,EFPMS!$A$1:$J$44,(IF($B19=2015,4,IF($B19=2016,5,IF($B19=2017,6,IF($B19=2018,7,IF($B19=2019,8,IF($B19=2020,9,0))))))),FALSE)</f>
        <v>8.8586968740131236E-2</v>
      </c>
      <c r="J19" s="536">
        <f t="shared" si="12"/>
        <v>7.8842402178716797E-2</v>
      </c>
      <c r="K19" s="549">
        <f>VLOOKUP($A19,EFCO2S!$A$1:$J$44,(IF($B19=2015,4,IF($B19=2016,5,IF($B19=2017,6,IF($B19=2018,7,IF($B19=2019,8,IF($B19=2020,9,0))))))),FALSE)</f>
        <v>321.42846035935588</v>
      </c>
      <c r="L19" s="546">
        <f>VLOOKUP($A19,EFCH4S!$A$1:$J$44,(IF($B19=2015,4,IF($B19=2016,5,IF($B19=2017,6,IF($B19=2018,7,IF($B19=2019,8,IF($B19=2020,9,0))))))),FALSE)</f>
        <v>2.6010420981454316E-2</v>
      </c>
      <c r="M19" s="540">
        <f t="shared" si="13"/>
        <v>0.22017879676727917</v>
      </c>
      <c r="N19" s="135">
        <v>2</v>
      </c>
      <c r="O19" s="135">
        <v>8</v>
      </c>
      <c r="P19" s="136">
        <f>4*22</f>
        <v>88</v>
      </c>
      <c r="Q19" s="39">
        <f t="shared" si="14"/>
        <v>4.4232322768577337</v>
      </c>
      <c r="R19" s="29">
        <f t="shared" si="15"/>
        <v>17.016309169532668</v>
      </c>
      <c r="S19" s="29">
        <f t="shared" si="16"/>
        <v>37.082744718699651</v>
      </c>
      <c r="T19" s="29">
        <f t="shared" si="17"/>
        <v>5.0478803430202702E-2</v>
      </c>
      <c r="U19" s="29">
        <f t="shared" si="18"/>
        <v>1.4173914998420998</v>
      </c>
      <c r="V19" s="29">
        <f t="shared" si="19"/>
        <v>1.2614784348594688</v>
      </c>
      <c r="W19" s="29">
        <f t="shared" si="20"/>
        <v>5142.8553657496941</v>
      </c>
      <c r="X19" s="29">
        <f t="shared" si="21"/>
        <v>0.41616673570326906</v>
      </c>
      <c r="Y19" s="29">
        <f t="shared" si="22"/>
        <v>3.5228607482764667</v>
      </c>
    </row>
    <row r="20" spans="1:25" s="3" customFormat="1" x14ac:dyDescent="0.25">
      <c r="A20" s="27" t="s">
        <v>196</v>
      </c>
      <c r="B20" s="25">
        <v>2015</v>
      </c>
      <c r="C20" s="25">
        <v>250</v>
      </c>
      <c r="D20" s="134">
        <v>0.38</v>
      </c>
      <c r="E20" s="546">
        <f>VLOOKUP($A20,EFROGS!$A$1:$J$44,(IF($B20=2015,4,IF($B20=2016,5,IF($B20=2017,6,IF($B20=2018,7,IF($B20=2019,8,IF($B20=2020,9,0))))))),FALSE)</f>
        <v>0.10659360197116201</v>
      </c>
      <c r="F20" s="546">
        <f>VLOOKUP($A20,EFCOS!$A$1:$J$44,(IF($B20=2015,4,IF($B20=2016,5,IF($B20=2017,6,IF($B20=2018,7,IF($B20=2019,8,IF($B20=2020,9,0))))))),FALSE)</f>
        <v>0.36686319474726009</v>
      </c>
      <c r="G20" s="546">
        <f>VLOOKUP($A20,EFNOXS!$A$1:$J$44,(IF($B20=2015,4,IF($B20=2016,5,IF($B20=2017,6,IF($B20=2018,7,IF($B20=2019,8,IF($B20=2020,9,0))))))),FALSE)</f>
        <v>1.0557516810303123</v>
      </c>
      <c r="H20" s="546">
        <f>VLOOKUP($A20,EFSOXS!$A$1:$J$44,(IF($B20=2015,4,IF($B20=2016,5,IF($B20=2017,6,IF($B20=2018,7,IF($B20=2019,8,IF($B20=2020,9,0))))))),FALSE)</f>
        <v>1.7225234988951081E-3</v>
      </c>
      <c r="I20" s="546">
        <f>VLOOKUP($A20,EFPMS!$A$1:$J$44,(IF($B20=2015,4,IF($B20=2016,5,IF($B20=2017,6,IF($B20=2018,7,IF($B20=2019,8,IF($B20=2020,9,0))))))),FALSE)</f>
        <v>3.5131941225937512E-2</v>
      </c>
      <c r="J20" s="536">
        <f t="shared" si="12"/>
        <v>3.1267427691084385E-2</v>
      </c>
      <c r="K20" s="549">
        <f>VLOOKUP($A20,EFCO2S!$A$1:$J$44,(IF($B20=2015,4,IF($B20=2016,5,IF($B20=2017,6,IF($B20=2018,7,IF($B20=2019,8,IF($B20=2020,9,0))))))),FALSE)</f>
        <v>153.0897857268109</v>
      </c>
      <c r="L20" s="546">
        <f>VLOOKUP($A20,EFCH4S!$A$1:$J$44,(IF($B20=2015,4,IF($B20=2016,5,IF($B20=2017,6,IF($B20=2018,7,IF($B20=2019,8,IF($B20=2020,9,0))))))),FALSE)</f>
        <v>9.9847277011502044E-3</v>
      </c>
      <c r="M20" s="540">
        <f t="shared" si="13"/>
        <v>0.10029640969787966</v>
      </c>
      <c r="N20" s="135">
        <v>1</v>
      </c>
      <c r="O20" s="135">
        <v>8</v>
      </c>
      <c r="P20" s="136">
        <f>6*22</f>
        <v>132</v>
      </c>
      <c r="Q20" s="39">
        <f t="shared" si="14"/>
        <v>0.85274881576929606</v>
      </c>
      <c r="R20" s="29">
        <f t="shared" si="15"/>
        <v>2.9349055579780807</v>
      </c>
      <c r="S20" s="29">
        <f t="shared" si="16"/>
        <v>8.446013448242498</v>
      </c>
      <c r="T20" s="29">
        <f t="shared" si="17"/>
        <v>1.3780187991160864E-2</v>
      </c>
      <c r="U20" s="29">
        <f t="shared" si="18"/>
        <v>0.28105552980750009</v>
      </c>
      <c r="V20" s="29">
        <f t="shared" si="19"/>
        <v>0.25013942152867508</v>
      </c>
      <c r="W20" s="29">
        <f t="shared" si="20"/>
        <v>1224.7182858144872</v>
      </c>
      <c r="X20" s="29">
        <f t="shared" si="21"/>
        <v>7.9877821609201635E-2</v>
      </c>
      <c r="Y20" s="29">
        <f t="shared" si="22"/>
        <v>0.80237127758303728</v>
      </c>
    </row>
    <row r="21" spans="1:25" s="3" customFormat="1" x14ac:dyDescent="0.25">
      <c r="A21" s="27" t="s">
        <v>197</v>
      </c>
      <c r="B21" s="25">
        <v>2015</v>
      </c>
      <c r="C21" s="134">
        <v>200</v>
      </c>
      <c r="D21" s="134">
        <v>0.36</v>
      </c>
      <c r="E21" s="546">
        <f>VLOOKUP($A21,EFROGS!$A$1:$J$44,(IF($B21=2015,4,IF($B21=2016,5,IF($B21=2017,6,IF($B21=2018,7,IF($B21=2019,8,IF($B21=2020,9,0))))))),FALSE)</f>
        <v>0.10736823912786365</v>
      </c>
      <c r="F21" s="546">
        <f>VLOOKUP($A21,EFCOS!$A$1:$J$44,(IF($B21=2015,4,IF($B21=2016,5,IF($B21=2017,6,IF($B21=2018,7,IF($B21=2019,8,IF($B21=2020,9,0))))))),FALSE)</f>
        <v>0.34779590495709528</v>
      </c>
      <c r="G21" s="546">
        <f>VLOOKUP($A21,EFNOXS!$A$1:$J$44,(IF($B21=2015,4,IF($B21=2016,5,IF($B21=2017,6,IF($B21=2018,7,IF($B21=2019,8,IF($B21=2020,9,0))))))),FALSE)</f>
        <v>0.95148079591778234</v>
      </c>
      <c r="H21" s="546">
        <f>VLOOKUP($A21,EFSOXS!$A$1:$J$44,(IF($B21=2015,4,IF($B21=2016,5,IF($B21=2017,6,IF($B21=2018,7,IF($B21=2019,8,IF($B21=2020,9,0))))))),FALSE)</f>
        <v>1.676243123421701E-3</v>
      </c>
      <c r="I21" s="546">
        <f>VLOOKUP($A21,EFPMS!$A$1:$J$44,(IF($B21=2015,4,IF($B21=2016,5,IF($B21=2017,6,IF($B21=2018,7,IF($B21=2019,8,IF($B21=2020,9,0))))))),FALSE)</f>
        <v>3.2120532550839874E-2</v>
      </c>
      <c r="J21" s="536">
        <f t="shared" si="12"/>
        <v>2.858727397024749E-2</v>
      </c>
      <c r="K21" s="549">
        <f>VLOOKUP($A21,EFCO2S!$A$1:$J$44,(IF($B21=2015,4,IF($B21=2016,5,IF($B21=2017,6,IF($B21=2018,7,IF($B21=2019,8,IF($B21=2020,9,0))))))),FALSE)</f>
        <v>148.97664453593197</v>
      </c>
      <c r="L21" s="546">
        <f>VLOOKUP($A21,EFCH4S!$A$1:$J$44,(IF($B21=2015,4,IF($B21=2016,5,IF($B21=2017,6,IF($B21=2018,7,IF($B21=2019,8,IF($B21=2020,9,0))))))),FALSE)</f>
        <v>1.0092011106863865E-2</v>
      </c>
      <c r="M21" s="540">
        <f t="shared" si="13"/>
        <v>9.0390675612189317E-2</v>
      </c>
      <c r="N21" s="135">
        <v>1</v>
      </c>
      <c r="O21" s="135">
        <v>6</v>
      </c>
      <c r="P21" s="136">
        <f>6*22</f>
        <v>132</v>
      </c>
      <c r="Q21" s="39">
        <f t="shared" si="14"/>
        <v>0.64420943476718195</v>
      </c>
      <c r="R21" s="29">
        <f t="shared" si="15"/>
        <v>2.0867754297425716</v>
      </c>
      <c r="S21" s="29">
        <f t="shared" si="16"/>
        <v>5.7088847755066938</v>
      </c>
      <c r="T21" s="29">
        <f t="shared" si="17"/>
        <v>1.0057458740530207E-2</v>
      </c>
      <c r="U21" s="29">
        <f t="shared" si="18"/>
        <v>0.19272319530503923</v>
      </c>
      <c r="V21" s="29">
        <f t="shared" si="19"/>
        <v>0.17152364382148494</v>
      </c>
      <c r="W21" s="29">
        <f t="shared" si="20"/>
        <v>893.85986721559175</v>
      </c>
      <c r="X21" s="29">
        <f t="shared" si="21"/>
        <v>6.0552066641183191E-2</v>
      </c>
      <c r="Y21" s="29">
        <f t="shared" si="22"/>
        <v>0.54234405367313587</v>
      </c>
    </row>
    <row r="22" spans="1:25" s="3" customFormat="1" x14ac:dyDescent="0.25">
      <c r="A22" s="37" t="s">
        <v>62</v>
      </c>
      <c r="B22" s="25">
        <v>2015</v>
      </c>
      <c r="C22" s="25">
        <v>85</v>
      </c>
      <c r="D22" s="134">
        <v>0.37</v>
      </c>
      <c r="E22" s="546">
        <f>VLOOKUP($A22,EFROGS!$A$1:$J$44,(IF($B22=2015,4,IF($B22=2016,5,IF($B22=2017,6,IF($B22=2018,7,IF($B22=2019,8,IF($B22=2020,9,0))))))),FALSE)</f>
        <v>7.9801484832556724E-2</v>
      </c>
      <c r="F22" s="546">
        <f>VLOOKUP($A22,EFCOS!$A$1:$J$44,(IF($B22=2015,4,IF($B22=2016,5,IF($B22=2017,6,IF($B22=2018,7,IF($B22=2019,8,IF($B22=2020,9,0))))))),FALSE)</f>
        <v>0.40100742191945721</v>
      </c>
      <c r="G22" s="546">
        <f>VLOOKUP($A22,EFNOXS!$A$1:$J$44,(IF($B22=2015,4,IF($B22=2016,5,IF($B22=2017,6,IF($B22=2018,7,IF($B22=2019,8,IF($B22=2020,9,0))))))),FALSE)</f>
        <v>0.50491905800089187</v>
      </c>
      <c r="H22" s="546">
        <f>VLOOKUP($A22,EFSOXS!$A$1:$J$44,(IF($B22=2015,4,IF($B22=2016,5,IF($B22=2017,6,IF($B22=2018,7,IF($B22=2019,8,IF($B22=2020,9,0))))))),FALSE)</f>
        <v>6.9108572612879135E-4</v>
      </c>
      <c r="I22" s="546">
        <f>VLOOKUP($A22,EFPMS!$A$1:$J$44,(IF($B22=2015,4,IF($B22=2016,5,IF($B22=2017,6,IF($B22=2018,7,IF($B22=2019,8,IF($B22=2020,9,0))))))),FALSE)</f>
        <v>4.0955217982968535E-2</v>
      </c>
      <c r="J22" s="536">
        <f t="shared" si="12"/>
        <v>3.6450144004841999E-2</v>
      </c>
      <c r="K22" s="549">
        <f>VLOOKUP($A22,EFCO2S!$A$1:$J$44,(IF($B22=2015,4,IF($B22=2016,5,IF($B22=2017,6,IF($B22=2018,7,IF($B22=2019,8,IF($B22=2020,9,0))))))),FALSE)</f>
        <v>58.913512015277149</v>
      </c>
      <c r="L22" s="546">
        <f>VLOOKUP($A22,EFCH4S!$A$1:$J$44,(IF($B22=2015,4,IF($B22=2016,5,IF($B22=2017,6,IF($B22=2018,7,IF($B22=2019,8,IF($B22=2020,9,0))))))),FALSE)</f>
        <v>7.5344751889799754E-3</v>
      </c>
      <c r="M22" s="540">
        <f t="shared" si="13"/>
        <v>4.7967310510084731E-2</v>
      </c>
      <c r="N22" s="135">
        <v>1</v>
      </c>
      <c r="O22" s="135">
        <v>4</v>
      </c>
      <c r="P22" s="136">
        <f>6*22</f>
        <v>132</v>
      </c>
      <c r="Q22" s="39">
        <f t="shared" si="14"/>
        <v>0.3192059393302269</v>
      </c>
      <c r="R22" s="29">
        <f t="shared" si="15"/>
        <v>1.6040296876778288</v>
      </c>
      <c r="S22" s="29">
        <f t="shared" si="16"/>
        <v>2.0196762320035675</v>
      </c>
      <c r="T22" s="29">
        <f t="shared" si="17"/>
        <v>2.7643429045151654E-3</v>
      </c>
      <c r="U22" s="29">
        <f t="shared" si="18"/>
        <v>0.16382087193187414</v>
      </c>
      <c r="V22" s="29">
        <f t="shared" si="19"/>
        <v>0.14580057601936799</v>
      </c>
      <c r="W22" s="29">
        <f t="shared" si="20"/>
        <v>235.6540480611086</v>
      </c>
      <c r="X22" s="29">
        <f t="shared" si="21"/>
        <v>3.0137900755919902E-2</v>
      </c>
      <c r="Y22" s="29">
        <f t="shared" si="22"/>
        <v>0.19186924204033892</v>
      </c>
    </row>
    <row r="23" spans="1:25" s="3" customFormat="1" x14ac:dyDescent="0.25">
      <c r="A23" s="27" t="s">
        <v>199</v>
      </c>
      <c r="B23" s="25">
        <v>2015</v>
      </c>
      <c r="C23" s="25">
        <v>175</v>
      </c>
      <c r="D23" s="134">
        <v>0.38</v>
      </c>
      <c r="E23" s="546">
        <f>VLOOKUP($A23,EFROGS!$A$1:$J$44,(IF($B23=2015,4,IF($B23=2016,5,IF($B23=2017,6,IF($B23=2018,7,IF($B23=2019,8,IF($B23=2020,9,0))))))),FALSE)</f>
        <v>0.11992127080629632</v>
      </c>
      <c r="F23" s="546">
        <f>VLOOKUP($A23,EFCOS!$A$1:$J$44,(IF($B23=2015,4,IF($B23=2016,5,IF($B23=2017,6,IF($B23=2018,7,IF($B23=2019,8,IF($B23=2020,9,0))))))),FALSE)</f>
        <v>0.37073007054215767</v>
      </c>
      <c r="G23" s="546">
        <f>VLOOKUP($A23,EFNOXS!$A$1:$J$44,(IF($B23=2015,4,IF($B23=2016,5,IF($B23=2017,6,IF($B23=2018,7,IF($B23=2019,8,IF($B23=2020,9,0))))))),FALSE)</f>
        <v>0.94368289767104196</v>
      </c>
      <c r="H23" s="546">
        <f>VLOOKUP($A23,EFSOXS!$A$1:$J$44,(IF($B23=2015,4,IF($B23=2016,5,IF($B23=2017,6,IF($B23=2018,7,IF($B23=2019,8,IF($B23=2020,9,0))))))),FALSE)</f>
        <v>1.8739213528134147E-3</v>
      </c>
      <c r="I23" s="546">
        <f>VLOOKUP($A23,EFPMS!$A$1:$J$44,(IF($B23=2015,4,IF($B23=2016,5,IF($B23=2017,6,IF($B23=2018,7,IF($B23=2019,8,IF($B23=2020,9,0))))))),FALSE)</f>
        <v>3.1241039634901123E-2</v>
      </c>
      <c r="J23" s="536">
        <f t="shared" si="12"/>
        <v>2.7804525275062001E-2</v>
      </c>
      <c r="K23" s="549">
        <f>VLOOKUP($A23,EFCO2S!$A$1:$J$44,(IF($B23=2015,4,IF($B23=2016,5,IF($B23=2017,6,IF($B23=2018,7,IF($B23=2019,8,IF($B23=2020,9,0))))))),FALSE)</f>
        <v>166.54539483446186</v>
      </c>
      <c r="L23" s="546">
        <f>VLOOKUP($A23,EFCH4S!$A$1:$J$44,(IF($B23=2015,4,IF($B23=2016,5,IF($B23=2017,6,IF($B23=2018,7,IF($B23=2019,8,IF($B23=2020,9,0))))))),FALSE)</f>
        <v>1.1292325418869483E-2</v>
      </c>
      <c r="M23" s="540">
        <f t="shared" si="13"/>
        <v>8.9649875278748986E-2</v>
      </c>
      <c r="N23" s="135">
        <v>1</v>
      </c>
      <c r="O23" s="135">
        <v>1</v>
      </c>
      <c r="P23" s="136">
        <f>6*22</f>
        <v>132</v>
      </c>
      <c r="Q23" s="39">
        <f t="shared" si="14"/>
        <v>0.11992127080629632</v>
      </c>
      <c r="R23" s="29">
        <f t="shared" si="15"/>
        <v>0.37073007054215767</v>
      </c>
      <c r="S23" s="29">
        <f t="shared" si="16"/>
        <v>0.94368289767104196</v>
      </c>
      <c r="T23" s="29">
        <f t="shared" si="17"/>
        <v>1.8739213528134147E-3</v>
      </c>
      <c r="U23" s="29">
        <f t="shared" si="18"/>
        <v>3.1241039634901123E-2</v>
      </c>
      <c r="V23" s="29">
        <f t="shared" si="19"/>
        <v>2.7804525275062001E-2</v>
      </c>
      <c r="W23" s="29">
        <f t="shared" si="20"/>
        <v>166.54539483446186</v>
      </c>
      <c r="X23" s="29">
        <f t="shared" si="21"/>
        <v>1.1292325418869483E-2</v>
      </c>
      <c r="Y23" s="29">
        <f t="shared" si="22"/>
        <v>8.9649875278748986E-2</v>
      </c>
    </row>
    <row r="24" spans="1:25" s="3" customFormat="1" x14ac:dyDescent="0.25">
      <c r="A24" s="27" t="s">
        <v>200</v>
      </c>
      <c r="B24" s="25">
        <v>2015</v>
      </c>
      <c r="C24" s="25">
        <v>235</v>
      </c>
      <c r="D24" s="134">
        <v>0.38</v>
      </c>
      <c r="E24" s="546">
        <f>VLOOKUP($A24,EFROGS!$A$1:$J$44,(IF($B24=2015,4,IF($B24=2016,5,IF($B24=2017,6,IF($B24=2018,7,IF($B24=2019,8,IF($B24=2020,9,0))))))),FALSE)</f>
        <v>0.12027312265814816</v>
      </c>
      <c r="F24" s="546">
        <f>VLOOKUP($A24,EFCOS!$A$1:$J$44,(IF($B24=2015,4,IF($B24=2016,5,IF($B24=2017,6,IF($B24=2018,7,IF($B24=2019,8,IF($B24=2020,9,0))))))),FALSE)</f>
        <v>0.37726446207654918</v>
      </c>
      <c r="G24" s="546">
        <f>VLOOKUP($A24,EFNOXS!$A$1:$J$44,(IF($B24=2015,4,IF($B24=2016,5,IF($B24=2017,6,IF($B24=2018,7,IF($B24=2019,8,IF($B24=2020,9,0))))))),FALSE)</f>
        <v>0.94745273894088322</v>
      </c>
      <c r="H24" s="546">
        <f>VLOOKUP($A24,EFSOXS!$A$1:$J$44,(IF($B24=2015,4,IF($B24=2016,5,IF($B24=2017,6,IF($B24=2018,7,IF($B24=2019,8,IF($B24=2020,9,0))))))),FALSE)</f>
        <v>1.8739213528134147E-3</v>
      </c>
      <c r="I24" s="546">
        <f>VLOOKUP($A24,EFPMS!$A$1:$J$44,(IF($B24=2015,4,IF($B24=2016,5,IF($B24=2017,6,IF($B24=2018,7,IF($B24=2019,8,IF($B24=2020,9,0))))))),FALSE)</f>
        <v>3.1278738047599536E-2</v>
      </c>
      <c r="J24" s="536">
        <f t="shared" si="12"/>
        <v>2.7838076862363587E-2</v>
      </c>
      <c r="K24" s="549">
        <f>VLOOKUP($A24,EFCO2S!$A$1:$J$44,(IF($B24=2015,4,IF($B24=2016,5,IF($B24=2017,6,IF($B24=2018,7,IF($B24=2019,8,IF($B24=2020,9,0))))))),FALSE)</f>
        <v>166.54539483446186</v>
      </c>
      <c r="L24" s="546">
        <f>VLOOKUP($A24,EFCH4S!$A$1:$J$44,(IF($B24=2015,4,IF($B24=2016,5,IF($B24=2017,6,IF($B24=2018,7,IF($B24=2019,8,IF($B24=2020,9,0))))))),FALSE)</f>
        <v>1.1292325418869483E-2</v>
      </c>
      <c r="M24" s="540">
        <f t="shared" si="13"/>
        <v>9.0008010199383912E-2</v>
      </c>
      <c r="N24" s="135">
        <v>30</v>
      </c>
      <c r="O24" s="135">
        <v>6</v>
      </c>
      <c r="P24" s="136">
        <f>6*22</f>
        <v>132</v>
      </c>
      <c r="Q24" s="39">
        <f t="shared" si="14"/>
        <v>21.649162078466667</v>
      </c>
      <c r="R24" s="29">
        <f t="shared" si="15"/>
        <v>67.907603173778853</v>
      </c>
      <c r="S24" s="29">
        <f t="shared" si="16"/>
        <v>170.54149300935899</v>
      </c>
      <c r="T24" s="29">
        <f t="shared" si="17"/>
        <v>0.33730584350641468</v>
      </c>
      <c r="U24" s="29">
        <f t="shared" si="18"/>
        <v>5.6301728485679163</v>
      </c>
      <c r="V24" s="29">
        <f t="shared" si="19"/>
        <v>5.0108538352254453</v>
      </c>
      <c r="W24" s="29">
        <f t="shared" si="20"/>
        <v>29978.171070203134</v>
      </c>
      <c r="X24" s="29">
        <f t="shared" si="21"/>
        <v>2.0326185753965067</v>
      </c>
      <c r="Y24" s="29">
        <f t="shared" si="22"/>
        <v>16.201441835889106</v>
      </c>
    </row>
    <row r="25" spans="1:25" s="3" customFormat="1" x14ac:dyDescent="0.25">
      <c r="A25" s="27" t="s">
        <v>201</v>
      </c>
      <c r="B25" s="25">
        <v>2015</v>
      </c>
      <c r="C25" s="25">
        <v>300</v>
      </c>
      <c r="D25" s="134">
        <v>0.38</v>
      </c>
      <c r="E25" s="546">
        <f>VLOOKUP($A25,EFROGS!$A$1:$J$44,(IF($B25=2015,4,IF($B25=2016,5,IF($B25=2017,6,IF($B25=2018,7,IF($B25=2019,8,IF($B25=2020,9,0))))))),FALSE)</f>
        <v>0.15156273531486869</v>
      </c>
      <c r="F25" s="546">
        <f>VLOOKUP($A25,EFCOS!$A$1:$J$44,(IF($B25=2015,4,IF($B25=2016,5,IF($B25=2017,6,IF($B25=2018,7,IF($B25=2019,8,IF($B25=2020,9,0))))))),FALSE)</f>
        <v>0.5042955535817204</v>
      </c>
      <c r="G25" s="546">
        <f>VLOOKUP($A25,EFNOXS!$A$1:$J$44,(IF($B25=2015,4,IF($B25=2016,5,IF($B25=2017,6,IF($B25=2018,7,IF($B25=2019,8,IF($B25=2020,9,0))))))),FALSE)</f>
        <v>1.1226784907797649</v>
      </c>
      <c r="H25" s="546">
        <f>VLOOKUP($A25,EFSOXS!$A$1:$J$44,(IF($B25=2015,4,IF($B25=2016,5,IF($B25=2017,6,IF($B25=2018,7,IF($B25=2019,8,IF($B25=2020,9,0))))))),FALSE)</f>
        <v>2.2941891037024571E-3</v>
      </c>
      <c r="I25" s="546">
        <f>VLOOKUP($A25,EFPMS!$A$1:$J$44,(IF($B25=2015,4,IF($B25=2016,5,IF($B25=2017,6,IF($B25=2018,7,IF($B25=2019,8,IF($B25=2020,9,0))))))),FALSE)</f>
        <v>3.945202890717215E-2</v>
      </c>
      <c r="J25" s="536">
        <f t="shared" si="12"/>
        <v>3.5112305727383213E-2</v>
      </c>
      <c r="K25" s="549">
        <f>VLOOKUP($A25,EFCO2S!$A$1:$J$44,(IF($B25=2015,4,IF($B25=2016,5,IF($B25=2017,6,IF($B25=2018,7,IF($B25=2019,8,IF($B25=2020,9,0))))))),FALSE)</f>
        <v>233.73532966705815</v>
      </c>
      <c r="L25" s="546">
        <f>VLOOKUP($A25,EFCH4S!$A$1:$J$44,(IF($B25=2015,4,IF($B25=2016,5,IF($B25=2017,6,IF($B25=2018,7,IF($B25=2019,8,IF($B25=2020,9,0))))))),FALSE)</f>
        <v>1.4227923455147638E-2</v>
      </c>
      <c r="M25" s="540">
        <f t="shared" si="13"/>
        <v>0.10665445662407766</v>
      </c>
      <c r="N25" s="135">
        <v>1</v>
      </c>
      <c r="O25" s="135">
        <v>1</v>
      </c>
      <c r="P25" s="136">
        <f>2*22</f>
        <v>44</v>
      </c>
      <c r="Q25" s="39">
        <f t="shared" si="14"/>
        <v>0.15156273531486869</v>
      </c>
      <c r="R25" s="29">
        <f t="shared" si="15"/>
        <v>0.5042955535817204</v>
      </c>
      <c r="S25" s="29">
        <f t="shared" si="16"/>
        <v>1.1226784907797649</v>
      </c>
      <c r="T25" s="29">
        <f t="shared" si="17"/>
        <v>2.2941891037024571E-3</v>
      </c>
      <c r="U25" s="29">
        <f t="shared" si="18"/>
        <v>3.945202890717215E-2</v>
      </c>
      <c r="V25" s="29">
        <f t="shared" si="19"/>
        <v>3.5112305727383213E-2</v>
      </c>
      <c r="W25" s="29">
        <f t="shared" si="20"/>
        <v>233.73532966705815</v>
      </c>
      <c r="X25" s="29">
        <f t="shared" si="21"/>
        <v>1.4227923455147638E-2</v>
      </c>
      <c r="Y25" s="29">
        <f t="shared" si="22"/>
        <v>0.10665445662407766</v>
      </c>
    </row>
    <row r="26" spans="1:25" s="3" customFormat="1" x14ac:dyDescent="0.25">
      <c r="A26" s="19" t="s">
        <v>38</v>
      </c>
      <c r="B26" s="34"/>
      <c r="C26" s="25"/>
      <c r="D26" s="134"/>
      <c r="E26" s="26"/>
      <c r="F26" s="26"/>
      <c r="G26" s="26"/>
      <c r="H26" s="26"/>
      <c r="I26" s="26"/>
      <c r="J26" s="27"/>
      <c r="K26" s="28"/>
      <c r="L26" s="26"/>
      <c r="M26" s="38"/>
      <c r="N26" s="135"/>
      <c r="O26" s="135"/>
      <c r="P26" s="136"/>
      <c r="Q26" s="138">
        <f t="shared" ref="Q26:Y26" si="23">SUM(Q17:Q25)</f>
        <v>35.218648862800876</v>
      </c>
      <c r="R26" s="31">
        <f t="shared" si="23"/>
        <v>121.38165018571409</v>
      </c>
      <c r="S26" s="31">
        <f t="shared" si="23"/>
        <v>283.93582306139115</v>
      </c>
      <c r="T26" s="31">
        <f t="shared" si="23"/>
        <v>0.49619112473670252</v>
      </c>
      <c r="U26" s="31">
        <f t="shared" si="23"/>
        <v>10.014185880111226</v>
      </c>
      <c r="V26" s="31">
        <f t="shared" si="23"/>
        <v>8.912625433298988</v>
      </c>
      <c r="W26" s="31">
        <f t="shared" si="23"/>
        <v>45785.24924502131</v>
      </c>
      <c r="X26" s="31">
        <f t="shared" si="23"/>
        <v>3.3086321239501006</v>
      </c>
      <c r="Y26" s="31">
        <f t="shared" si="23"/>
        <v>26.973903190832161</v>
      </c>
    </row>
    <row r="27" spans="1:25" s="3" customFormat="1" x14ac:dyDescent="0.25">
      <c r="A27" s="19"/>
      <c r="B27" s="34"/>
      <c r="C27" s="25"/>
      <c r="D27" s="134"/>
      <c r="E27" s="26"/>
      <c r="F27" s="26"/>
      <c r="G27" s="26"/>
      <c r="H27" s="26"/>
      <c r="I27" s="26"/>
      <c r="J27" s="27"/>
      <c r="K27" s="28"/>
      <c r="L27" s="26"/>
      <c r="M27" s="38"/>
      <c r="N27" s="135"/>
      <c r="O27" s="135"/>
      <c r="P27" s="136"/>
      <c r="Q27" s="39"/>
      <c r="R27" s="29"/>
      <c r="S27" s="29"/>
      <c r="T27" s="29"/>
      <c r="U27" s="29"/>
      <c r="V27" s="29"/>
      <c r="W27" s="29"/>
      <c r="X27" s="29"/>
      <c r="Y27" s="29"/>
    </row>
    <row r="28" spans="1:25" s="3" customFormat="1" x14ac:dyDescent="0.25">
      <c r="A28" s="19" t="s">
        <v>160</v>
      </c>
      <c r="B28" s="25">
        <v>2016</v>
      </c>
      <c r="C28" s="20"/>
      <c r="D28" s="134"/>
      <c r="E28" s="21"/>
      <c r="F28" s="21"/>
      <c r="G28" s="21"/>
      <c r="H28" s="21"/>
      <c r="I28" s="21"/>
      <c r="J28" s="21"/>
      <c r="K28" s="21"/>
      <c r="L28" s="21"/>
      <c r="M28" s="21"/>
      <c r="N28" s="144"/>
      <c r="O28" s="144"/>
      <c r="P28" s="144"/>
      <c r="Q28" s="31"/>
      <c r="R28" s="31"/>
      <c r="S28" s="31"/>
      <c r="T28" s="31"/>
      <c r="U28" s="31"/>
      <c r="V28" s="31"/>
      <c r="W28" s="33"/>
      <c r="X28" s="31"/>
      <c r="Y28" s="31"/>
    </row>
    <row r="29" spans="1:25" s="3" customFormat="1" x14ac:dyDescent="0.25">
      <c r="A29" s="37" t="s">
        <v>62</v>
      </c>
      <c r="B29" s="25">
        <v>2016</v>
      </c>
      <c r="C29" s="25">
        <v>85</v>
      </c>
      <c r="D29" s="134">
        <v>0.36</v>
      </c>
      <c r="E29" s="546">
        <f>VLOOKUP($A29,EFROGS!$A$1:$J$44,(IF($B29=2015,4,IF($B29=2016,5,IF($B29=2017,6,IF($B29=2018,7,IF($B29=2019,8,IF($B29=2020,9,0))))))),FALSE)</f>
        <v>7.0472327021646672E-2</v>
      </c>
      <c r="F29" s="546">
        <f>VLOOKUP($A29,EFCOS!$A$1:$J$44,(IF($B29=2015,4,IF($B29=2016,5,IF($B29=2017,6,IF($B29=2018,7,IF($B29=2019,8,IF($B29=2020,9,0))))))),FALSE)</f>
        <v>0.39060550026585111</v>
      </c>
      <c r="G29" s="546">
        <f>VLOOKUP($A29,EFNOXS!$A$1:$J$44,(IF($B29=2015,4,IF($B29=2016,5,IF($B29=2017,6,IF($B29=2018,7,IF($B29=2019,8,IF($B29=2020,9,0))))))),FALSE)</f>
        <v>0.43652693917262747</v>
      </c>
      <c r="H29" s="546">
        <f>VLOOKUP($A29,EFSOXS!$A$1:$J$44,(IF($B29=2015,4,IF($B29=2016,5,IF($B29=2017,6,IF($B29=2018,7,IF($B29=2019,8,IF($B29=2020,9,0))))))),FALSE)</f>
        <v>6.9108553659227932E-4</v>
      </c>
      <c r="I29" s="546">
        <f>VLOOKUP($A29,EFPMS!$A$1:$J$44,(IF($B29=2015,4,IF($B29=2016,5,IF($B29=2017,6,IF($B29=2018,7,IF($B29=2019,8,IF($B29=2020,9,0))))))),FALSE)</f>
        <v>3.492009842986301E-2</v>
      </c>
      <c r="J29" s="536">
        <f t="shared" ref="J29:J37" si="24">0.89*I29</f>
        <v>3.1078887602578081E-2</v>
      </c>
      <c r="K29" s="549">
        <f>VLOOKUP($A29,EFCO2S!$A$1:$J$44,(IF($B29=2015,4,IF($B29=2016,5,IF($B29=2017,6,IF($B29=2018,7,IF($B29=2019,8,IF($B29=2020,9,0))))))),FALSE)</f>
        <v>58.913523330624749</v>
      </c>
      <c r="L29" s="546">
        <f>VLOOKUP($A29,EFCH4S!$A$1:$J$44,(IF($B29=2015,4,IF($B29=2016,5,IF($B29=2017,6,IF($B29=2018,7,IF($B29=2019,8,IF($B29=2020,9,0))))))),FALSE)</f>
        <v>6.9704339147860696E-3</v>
      </c>
      <c r="M29" s="540">
        <f t="shared" ref="M29:M37" si="25">0.095*G29</f>
        <v>4.1470059221399611E-2</v>
      </c>
      <c r="N29" s="108">
        <v>1</v>
      </c>
      <c r="O29" s="108">
        <v>8</v>
      </c>
      <c r="P29" s="109">
        <f>8*22</f>
        <v>176</v>
      </c>
      <c r="Q29" s="39">
        <f t="shared" ref="Q29:Y37" si="26">(E29*$N29*$O29)</f>
        <v>0.56377861617317337</v>
      </c>
      <c r="R29" s="29">
        <f t="shared" si="26"/>
        <v>3.1248440021268089</v>
      </c>
      <c r="S29" s="29">
        <f t="shared" si="26"/>
        <v>3.4922155133810198</v>
      </c>
      <c r="T29" s="29">
        <f t="shared" si="26"/>
        <v>5.5286842927382346E-3</v>
      </c>
      <c r="U29" s="29">
        <f t="shared" si="26"/>
        <v>0.27936078743890408</v>
      </c>
      <c r="V29" s="29">
        <f t="shared" si="26"/>
        <v>0.24863110082062465</v>
      </c>
      <c r="W29" s="29">
        <f t="shared" si="26"/>
        <v>471.30818664499799</v>
      </c>
      <c r="X29" s="29">
        <f t="shared" si="26"/>
        <v>5.5763471318288557E-2</v>
      </c>
      <c r="Y29" s="29">
        <f t="shared" si="26"/>
        <v>0.33176047377119688</v>
      </c>
    </row>
    <row r="30" spans="1:25" s="3" customFormat="1" x14ac:dyDescent="0.25">
      <c r="A30" s="27" t="s">
        <v>155</v>
      </c>
      <c r="B30" s="25">
        <v>2016</v>
      </c>
      <c r="C30" s="134">
        <v>82</v>
      </c>
      <c r="D30" s="134">
        <v>0.5</v>
      </c>
      <c r="E30" s="546">
        <f>VLOOKUP($A30,EFROGS!$A$1:$J$44,(IF($B30=2015,4,IF($B30=2016,5,IF($B30=2017,6,IF($B30=2018,7,IF($B30=2019,8,IF($B30=2020,9,0))))))),FALSE)</f>
        <v>3.2676882569317077E-2</v>
      </c>
      <c r="F30" s="546">
        <f>VLOOKUP($A30,EFCOS!$A$1:$J$44,(IF($B30=2015,4,IF($B30=2016,5,IF($B30=2017,6,IF($B30=2018,7,IF($B30=2019,8,IF($B30=2020,9,0))))))),FALSE)</f>
        <v>0.45381045354696059</v>
      </c>
      <c r="G30" s="546">
        <f>VLOOKUP($A30,EFNOXS!$A$1:$J$44,(IF($B30=2015,4,IF($B30=2016,5,IF($B30=2017,6,IF($B30=2018,7,IF($B30=2019,8,IF($B30=2020,9,0))))))),FALSE)</f>
        <v>0.30042047018448315</v>
      </c>
      <c r="H30" s="546">
        <f>VLOOKUP($A30,EFSOXS!$A$1:$J$44,(IF($B30=2015,4,IF($B30=2016,5,IF($B30=2017,6,IF($B30=2018,7,IF($B30=2019,8,IF($B30=2020,9,0))))))),FALSE)</f>
        <v>9.0467784425450159E-4</v>
      </c>
      <c r="I30" s="546">
        <f>VLOOKUP($A30,EFPMS!$A$1:$J$44,(IF($B30=2015,4,IF($B30=2016,5,IF($B30=2017,6,IF($B30=2018,7,IF($B30=2019,8,IF($B30=2020,9,0))))))),FALSE)</f>
        <v>1.1371697081817145E-2</v>
      </c>
      <c r="J30" s="536">
        <f t="shared" si="24"/>
        <v>1.012081040281726E-2</v>
      </c>
      <c r="K30" s="549">
        <f>VLOOKUP($A30,EFCO2S!$A$1:$J$44,(IF($B30=2015,4,IF($B30=2016,5,IF($B30=2017,6,IF($B30=2018,7,IF($B30=2019,8,IF($B30=2020,9,0))))))),FALSE)</f>
        <v>77.121750016602093</v>
      </c>
      <c r="L30" s="546">
        <f>VLOOKUP($A30,EFCH4S!$A$1:$J$44,(IF($B30=2015,4,IF($B30=2016,5,IF($B30=2017,6,IF($B30=2018,7,IF($B30=2019,8,IF($B30=2020,9,0))))))),FALSE)</f>
        <v>3.149115809265884E-3</v>
      </c>
      <c r="M30" s="540">
        <f t="shared" si="25"/>
        <v>2.85399446675259E-2</v>
      </c>
      <c r="N30" s="108">
        <v>1</v>
      </c>
      <c r="O30" s="108">
        <v>8</v>
      </c>
      <c r="P30" s="109">
        <v>22</v>
      </c>
      <c r="Q30" s="39">
        <f t="shared" si="26"/>
        <v>0.26141506055453662</v>
      </c>
      <c r="R30" s="29">
        <f t="shared" si="26"/>
        <v>3.6304836283756847</v>
      </c>
      <c r="S30" s="29">
        <f t="shared" si="26"/>
        <v>2.4033637614758652</v>
      </c>
      <c r="T30" s="29">
        <f t="shared" si="26"/>
        <v>7.2374227540360127E-3</v>
      </c>
      <c r="U30" s="29">
        <f t="shared" si="26"/>
        <v>9.0973576654537161E-2</v>
      </c>
      <c r="V30" s="29">
        <f t="shared" si="26"/>
        <v>8.0966483222538077E-2</v>
      </c>
      <c r="W30" s="29">
        <f t="shared" si="26"/>
        <v>616.97400013281674</v>
      </c>
      <c r="X30" s="29">
        <f t="shared" si="26"/>
        <v>2.5192926474127072E-2</v>
      </c>
      <c r="Y30" s="29">
        <f t="shared" si="26"/>
        <v>0.2283195573402072</v>
      </c>
    </row>
    <row r="31" spans="1:25" s="3" customFormat="1" x14ac:dyDescent="0.25">
      <c r="A31" s="27" t="s">
        <v>197</v>
      </c>
      <c r="B31" s="25">
        <v>2016</v>
      </c>
      <c r="C31" s="134">
        <v>200</v>
      </c>
      <c r="D31" s="134">
        <v>0.36</v>
      </c>
      <c r="E31" s="546">
        <f>VLOOKUP($A31,EFROGS!$A$1:$J$44,(IF($B31=2015,4,IF($B31=2016,5,IF($B31=2017,6,IF($B31=2018,7,IF($B31=2019,8,IF($B31=2020,9,0))))))),FALSE)</f>
        <v>9.729792471015461E-2</v>
      </c>
      <c r="F31" s="546">
        <f>VLOOKUP($A31,EFCOS!$A$1:$J$44,(IF($B31=2015,4,IF($B31=2016,5,IF($B31=2017,6,IF($B31=2018,7,IF($B31=2019,8,IF($B31=2020,9,0))))))),FALSE)</f>
        <v>0.33702924568892922</v>
      </c>
      <c r="G31" s="546">
        <f>VLOOKUP($A31,EFNOXS!$A$1:$J$44,(IF($B31=2015,4,IF($B31=2016,5,IF($B31=2017,6,IF($B31=2018,7,IF($B31=2019,8,IF($B31=2020,9,0))))))),FALSE)</f>
        <v>0.80550520916128832</v>
      </c>
      <c r="H31" s="546">
        <f>VLOOKUP($A31,EFSOXS!$A$1:$J$44,(IF($B31=2015,4,IF($B31=2016,5,IF($B31=2017,6,IF($B31=2018,7,IF($B31=2019,8,IF($B31=2020,9,0))))))),FALSE)</f>
        <v>1.6762428138747331E-3</v>
      </c>
      <c r="I31" s="546">
        <f>VLOOKUP($A31,EFPMS!$A$1:$J$44,(IF($B31=2015,4,IF($B31=2016,5,IF($B31=2017,6,IF($B31=2018,7,IF($B31=2019,8,IF($B31=2020,9,0))))))),FALSE)</f>
        <v>2.7459392732358621E-2</v>
      </c>
      <c r="J31" s="536">
        <f t="shared" si="24"/>
        <v>2.4438859531799174E-2</v>
      </c>
      <c r="K31" s="549">
        <f>VLOOKUP($A31,EFCO2S!$A$1:$J$44,(IF($B31=2015,4,IF($B31=2016,5,IF($B31=2017,6,IF($B31=2018,7,IF($B31=2019,8,IF($B31=2020,9,0))))))),FALSE)</f>
        <v>148.97666793125595</v>
      </c>
      <c r="L31" s="546">
        <f>VLOOKUP($A31,EFCH4S!$A$1:$J$44,(IF($B31=2015,4,IF($B31=2016,5,IF($B31=2017,6,IF($B31=2018,7,IF($B31=2019,8,IF($B31=2020,9,0))))))),FALSE)</f>
        <v>9.5316980170715351E-3</v>
      </c>
      <c r="M31" s="540">
        <f t="shared" si="25"/>
        <v>7.6522994870322394E-2</v>
      </c>
      <c r="N31" s="108">
        <v>1</v>
      </c>
      <c r="O31" s="108">
        <v>6</v>
      </c>
      <c r="P31" s="109">
        <f>5*22</f>
        <v>110</v>
      </c>
      <c r="Q31" s="39">
        <f t="shared" si="26"/>
        <v>0.5837875482609276</v>
      </c>
      <c r="R31" s="29">
        <f t="shared" si="26"/>
        <v>2.0221754741335753</v>
      </c>
      <c r="S31" s="29">
        <f t="shared" si="26"/>
        <v>4.8330312549677297</v>
      </c>
      <c r="T31" s="29">
        <f t="shared" si="26"/>
        <v>1.0057456883248399E-2</v>
      </c>
      <c r="U31" s="29">
        <f t="shared" si="26"/>
        <v>0.16475635639415173</v>
      </c>
      <c r="V31" s="29">
        <f t="shared" si="26"/>
        <v>0.14663315719079506</v>
      </c>
      <c r="W31" s="29">
        <f t="shared" si="26"/>
        <v>893.86000758753562</v>
      </c>
      <c r="X31" s="29">
        <f t="shared" si="26"/>
        <v>5.7190188102429207E-2</v>
      </c>
      <c r="Y31" s="29">
        <f t="shared" si="26"/>
        <v>0.45913796922193439</v>
      </c>
    </row>
    <row r="32" spans="1:25" s="3" customFormat="1" x14ac:dyDescent="0.25">
      <c r="A32" s="37" t="s">
        <v>61</v>
      </c>
      <c r="B32" s="25">
        <v>2016</v>
      </c>
      <c r="C32" s="25">
        <v>235</v>
      </c>
      <c r="D32" s="134">
        <v>0.38</v>
      </c>
      <c r="E32" s="546">
        <f>VLOOKUP($A32,EFROGS!$A$1:$J$44,(IF($B32=2015,4,IF($B32=2016,5,IF($B32=2017,6,IF($B32=2018,7,IF($B32=2019,8,IF($B32=2020,9,0))))))),FALSE)</f>
        <v>0.10888615948643803</v>
      </c>
      <c r="F32" s="546">
        <f>VLOOKUP($A32,EFCOS!$A$1:$J$44,(IF($B32=2015,4,IF($B32=2016,5,IF($B32=2017,6,IF($B32=2018,7,IF($B32=2019,8,IF($B32=2020,9,0))))))),FALSE)</f>
        <v>0.37192102764732693</v>
      </c>
      <c r="G32" s="546">
        <f>VLOOKUP($A32,EFNOXS!$A$1:$J$44,(IF($B32=2015,4,IF($B32=2016,5,IF($B32=2017,6,IF($B32=2018,7,IF($B32=2019,8,IF($B32=2020,9,0))))))),FALSE)</f>
        <v>0.78693926319648355</v>
      </c>
      <c r="H32" s="546">
        <f>VLOOKUP($A32,EFSOXS!$A$1:$J$44,(IF($B32=2015,4,IF($B32=2016,5,IF($B32=2017,6,IF($B32=2018,7,IF($B32=2019,8,IF($B32=2020,9,0))))))),FALSE)</f>
        <v>1.8739217498104396E-3</v>
      </c>
      <c r="I32" s="546">
        <f>VLOOKUP($A32,EFPMS!$A$1:$J$44,(IF($B32=2015,4,IF($B32=2016,5,IF($B32=2017,6,IF($B32=2018,7,IF($B32=2019,8,IF($B32=2020,9,0))))))),FALSE)</f>
        <v>2.6432845298835113E-2</v>
      </c>
      <c r="J32" s="536">
        <f t="shared" si="24"/>
        <v>2.3525232315963252E-2</v>
      </c>
      <c r="K32" s="549">
        <f>VLOOKUP($A32,EFCO2S!$A$1:$J$44,(IF($B32=2015,4,IF($B32=2016,5,IF($B32=2017,6,IF($B32=2018,7,IF($B32=2019,8,IF($B32=2020,9,0))))))),FALSE)</f>
        <v>166.54541562452522</v>
      </c>
      <c r="L32" s="546">
        <f>VLOOKUP($A32,EFCH4S!$A$1:$J$44,(IF($B32=2015,4,IF($B32=2016,5,IF($B32=2017,6,IF($B32=2018,7,IF($B32=2019,8,IF($B32=2020,9,0))))))),FALSE)</f>
        <v>1.063993297769634E-2</v>
      </c>
      <c r="M32" s="540">
        <f t="shared" si="25"/>
        <v>7.4759230003665939E-2</v>
      </c>
      <c r="N32" s="108">
        <v>40</v>
      </c>
      <c r="O32" s="108">
        <v>1</v>
      </c>
      <c r="P32" s="109">
        <f>6*22</f>
        <v>132</v>
      </c>
      <c r="Q32" s="39">
        <f t="shared" si="26"/>
        <v>4.3554463794575211</v>
      </c>
      <c r="R32" s="29">
        <f t="shared" si="26"/>
        <v>14.876841105893078</v>
      </c>
      <c r="S32" s="29">
        <f t="shared" si="26"/>
        <v>31.477570527859342</v>
      </c>
      <c r="T32" s="29">
        <f t="shared" si="26"/>
        <v>7.4956869992417588E-2</v>
      </c>
      <c r="U32" s="29">
        <f t="shared" si="26"/>
        <v>1.0573138119534045</v>
      </c>
      <c r="V32" s="29">
        <f t="shared" si="26"/>
        <v>0.94100929263853006</v>
      </c>
      <c r="W32" s="29">
        <f t="shared" si="26"/>
        <v>6661.8166249810092</v>
      </c>
      <c r="X32" s="29">
        <f t="shared" si="26"/>
        <v>0.42559731910785359</v>
      </c>
      <c r="Y32" s="29">
        <f t="shared" si="26"/>
        <v>2.9903692001466373</v>
      </c>
    </row>
    <row r="33" spans="1:25" s="3" customFormat="1" x14ac:dyDescent="0.25">
      <c r="A33" s="27" t="s">
        <v>156</v>
      </c>
      <c r="B33" s="25">
        <v>2016</v>
      </c>
      <c r="C33" s="134">
        <v>37</v>
      </c>
      <c r="D33" s="134">
        <v>0.37</v>
      </c>
      <c r="E33" s="546">
        <f>VLOOKUP($A33,EFROGS!$A$1:$J$44,(IF($B33=2015,4,IF($B33=2016,5,IF($B33=2017,6,IF($B33=2018,7,IF($B33=2019,8,IF($B33=2020,9,0))))))),FALSE)</f>
        <v>3.2313389441625637E-2</v>
      </c>
      <c r="F33" s="546">
        <f>VLOOKUP($A33,EFCOS!$A$1:$J$44,(IF($B33=2015,4,IF($B33=2016,5,IF($B33=2017,6,IF($B33=2018,7,IF($B33=2019,8,IF($B33=2020,9,0))))))),FALSE)</f>
        <v>0.20037366892983427</v>
      </c>
      <c r="G33" s="546">
        <f>VLOOKUP($A33,EFNOXS!$A$1:$J$44,(IF($B33=2015,4,IF($B33=2016,5,IF($B33=2017,6,IF($B33=2018,7,IF($B33=2019,8,IF($B33=2020,9,0))))))),FALSE)</f>
        <v>0.18631538743497714</v>
      </c>
      <c r="H33" s="546">
        <f>VLOOKUP($A33,EFSOXS!$A$1:$J$44,(IF($B33=2015,4,IF($B33=2016,5,IF($B33=2017,6,IF($B33=2018,7,IF($B33=2019,8,IF($B33=2020,9,0))))))),FALSE)</f>
        <v>3.2989899838564078E-4</v>
      </c>
      <c r="I33" s="546">
        <f>VLOOKUP($A33,EFPMS!$A$1:$J$44,(IF($B33=2015,4,IF($B33=2016,5,IF($B33=2017,6,IF($B33=2018,7,IF($B33=2019,8,IF($B33=2020,9,0))))))),FALSE)</f>
        <v>8.5525540544657674E-3</v>
      </c>
      <c r="J33" s="536">
        <f t="shared" si="24"/>
        <v>7.6117731084745328E-3</v>
      </c>
      <c r="K33" s="549">
        <f>VLOOKUP($A33,EFCO2S!$A$1:$J$44,(IF($B33=2015,4,IF($B33=2016,5,IF($B33=2017,6,IF($B33=2018,7,IF($B33=2019,8,IF($B33=2020,9,0))))))),FALSE)</f>
        <v>25.519155927350894</v>
      </c>
      <c r="L33" s="546">
        <f>VLOOKUP($A33,EFCH4S!$A$1:$J$44,(IF($B33=2015,4,IF($B33=2016,5,IF($B33=2017,6,IF($B33=2018,7,IF($B33=2019,8,IF($B33=2020,9,0))))))),FALSE)</f>
        <v>2.915585728687426E-3</v>
      </c>
      <c r="M33" s="540">
        <f t="shared" si="25"/>
        <v>1.7699961806322828E-2</v>
      </c>
      <c r="N33" s="108">
        <v>1</v>
      </c>
      <c r="O33" s="108">
        <v>5</v>
      </c>
      <c r="P33" s="109">
        <f>8*22</f>
        <v>176</v>
      </c>
      <c r="Q33" s="39">
        <f t="shared" si="26"/>
        <v>0.1615669472081282</v>
      </c>
      <c r="R33" s="29">
        <f t="shared" si="26"/>
        <v>1.0018683446491714</v>
      </c>
      <c r="S33" s="29">
        <f t="shared" si="26"/>
        <v>0.93157693717488566</v>
      </c>
      <c r="T33" s="29">
        <f t="shared" si="26"/>
        <v>1.6494949919282039E-3</v>
      </c>
      <c r="U33" s="29">
        <f t="shared" si="26"/>
        <v>4.2762770272328839E-2</v>
      </c>
      <c r="V33" s="29">
        <f t="shared" si="26"/>
        <v>3.8058865542372665E-2</v>
      </c>
      <c r="W33" s="29">
        <f t="shared" si="26"/>
        <v>127.59577963675447</v>
      </c>
      <c r="X33" s="29">
        <f t="shared" si="26"/>
        <v>1.457792864343713E-2</v>
      </c>
      <c r="Y33" s="29">
        <f t="shared" si="26"/>
        <v>8.8499809031614141E-2</v>
      </c>
    </row>
    <row r="34" spans="1:25" s="3" customFormat="1" x14ac:dyDescent="0.25">
      <c r="A34" s="27" t="s">
        <v>199</v>
      </c>
      <c r="B34" s="25">
        <v>2016</v>
      </c>
      <c r="C34" s="25">
        <v>175</v>
      </c>
      <c r="D34" s="134">
        <v>0.38</v>
      </c>
      <c r="E34" s="546">
        <f>VLOOKUP($A34,EFROGS!$A$1:$J$44,(IF($B34=2015,4,IF($B34=2016,5,IF($B34=2017,6,IF($B34=2018,7,IF($B34=2019,8,IF($B34=2020,9,0))))))),FALSE)</f>
        <v>0.10818245578273432</v>
      </c>
      <c r="F34" s="546">
        <f>VLOOKUP($A34,EFCOS!$A$1:$J$44,(IF($B34=2015,4,IF($B34=2016,5,IF($B34=2017,6,IF($B34=2018,7,IF($B34=2019,8,IF($B34=2020,9,0))))))),FALSE)</f>
        <v>0.36086282658912588</v>
      </c>
      <c r="G34" s="546">
        <f>VLOOKUP($A34,EFNOXS!$A$1:$J$44,(IF($B34=2015,4,IF($B34=2016,5,IF($B34=2017,6,IF($B34=2018,7,IF($B34=2019,8,IF($B34=2020,9,0))))))),FALSE)</f>
        <v>0.78543132668854698</v>
      </c>
      <c r="H34" s="546">
        <f>VLOOKUP($A34,EFSOXS!$A$1:$J$44,(IF($B34=2015,4,IF($B34=2016,5,IF($B34=2017,6,IF($B34=2018,7,IF($B34=2019,8,IF($B34=2020,9,0))))))),FALSE)</f>
        <v>1.8739217498104396E-3</v>
      </c>
      <c r="I34" s="546">
        <f>VLOOKUP($A34,EFPMS!$A$1:$J$44,(IF($B34=2015,4,IF($B34=2016,5,IF($B34=2017,6,IF($B34=2018,7,IF($B34=2019,8,IF($B34=2020,9,0))))))),FALSE)</f>
        <v>2.6357448473438287E-2</v>
      </c>
      <c r="J34" s="536">
        <f t="shared" si="24"/>
        <v>2.3458129141360078E-2</v>
      </c>
      <c r="K34" s="549">
        <f>VLOOKUP($A34,EFCO2S!$A$1:$J$44,(IF($B34=2015,4,IF($B34=2016,5,IF($B34=2017,6,IF($B34=2018,7,IF($B34=2019,8,IF($B34=2020,9,0))))))),FALSE)</f>
        <v>166.54541562452522</v>
      </c>
      <c r="L34" s="546">
        <f>VLOOKUP($A34,EFCH4S!$A$1:$J$44,(IF($B34=2015,4,IF($B34=2016,5,IF($B34=2017,6,IF($B34=2018,7,IF($B34=2019,8,IF($B34=2020,9,0))))))),FALSE)</f>
        <v>1.063993297769634E-2</v>
      </c>
      <c r="M34" s="540">
        <f t="shared" si="25"/>
        <v>7.4615976035411966E-2</v>
      </c>
      <c r="N34" s="108">
        <v>1</v>
      </c>
      <c r="O34" s="108">
        <v>2</v>
      </c>
      <c r="P34" s="109">
        <f>8*22</f>
        <v>176</v>
      </c>
      <c r="Q34" s="39">
        <f t="shared" si="26"/>
        <v>0.21636491156546864</v>
      </c>
      <c r="R34" s="29">
        <f t="shared" si="26"/>
        <v>0.72172565317825177</v>
      </c>
      <c r="S34" s="29">
        <f t="shared" si="26"/>
        <v>1.570862653377094</v>
      </c>
      <c r="T34" s="29">
        <f t="shared" si="26"/>
        <v>3.7478434996208792E-3</v>
      </c>
      <c r="U34" s="29">
        <f t="shared" si="26"/>
        <v>5.2714896946876574E-2</v>
      </c>
      <c r="V34" s="29">
        <f t="shared" si="26"/>
        <v>4.6916258282720155E-2</v>
      </c>
      <c r="W34" s="29">
        <f t="shared" si="26"/>
        <v>333.09083124905044</v>
      </c>
      <c r="X34" s="29">
        <f t="shared" si="26"/>
        <v>2.127986595539268E-2</v>
      </c>
      <c r="Y34" s="29">
        <f t="shared" si="26"/>
        <v>0.14923195207082393</v>
      </c>
    </row>
    <row r="35" spans="1:25" s="3" customFormat="1" x14ac:dyDescent="0.25">
      <c r="A35" s="37" t="s">
        <v>157</v>
      </c>
      <c r="B35" s="25">
        <v>2016</v>
      </c>
      <c r="C35" s="25">
        <v>235</v>
      </c>
      <c r="D35" s="134">
        <v>0.38</v>
      </c>
      <c r="E35" s="546">
        <f>VLOOKUP($A35,EFROGS!$A$1:$J$44,(IF($B35=2015,4,IF($B35=2016,5,IF($B35=2017,6,IF($B35=2018,7,IF($B35=2019,8,IF($B35=2020,9,0))))))),FALSE)</f>
        <v>0.10888615948643803</v>
      </c>
      <c r="F35" s="546">
        <f>VLOOKUP($A35,EFCOS!$A$1:$J$44,(IF($B35=2015,4,IF($B35=2016,5,IF($B35=2017,6,IF($B35=2018,7,IF($B35=2019,8,IF($B35=2020,9,0))))))),FALSE)</f>
        <v>0.37192102764732693</v>
      </c>
      <c r="G35" s="546">
        <f>VLOOKUP($A35,EFNOXS!$A$1:$J$44,(IF($B35=2015,4,IF($B35=2016,5,IF($B35=2017,6,IF($B35=2018,7,IF($B35=2019,8,IF($B35=2020,9,0))))))),FALSE)</f>
        <v>0.78693926319648355</v>
      </c>
      <c r="H35" s="546">
        <f>VLOOKUP($A35,EFSOXS!$A$1:$J$44,(IF($B35=2015,4,IF($B35=2016,5,IF($B35=2017,6,IF($B35=2018,7,IF($B35=2019,8,IF($B35=2020,9,0))))))),FALSE)</f>
        <v>1.8739217498104396E-3</v>
      </c>
      <c r="I35" s="546">
        <f>VLOOKUP($A35,EFPMS!$A$1:$J$44,(IF($B35=2015,4,IF($B35=2016,5,IF($B35=2017,6,IF($B35=2018,7,IF($B35=2019,8,IF($B35=2020,9,0))))))),FALSE)</f>
        <v>2.6432845298835113E-2</v>
      </c>
      <c r="J35" s="536">
        <f t="shared" si="24"/>
        <v>2.3525232315963252E-2</v>
      </c>
      <c r="K35" s="549">
        <f>VLOOKUP($A35,EFCO2S!$A$1:$J$44,(IF($B35=2015,4,IF($B35=2016,5,IF($B35=2017,6,IF($B35=2018,7,IF($B35=2019,8,IF($B35=2020,9,0))))))),FALSE)</f>
        <v>166.54541562452522</v>
      </c>
      <c r="L35" s="546">
        <f>VLOOKUP($A35,EFCH4S!$A$1:$J$44,(IF($B35=2015,4,IF($B35=2016,5,IF($B35=2017,6,IF($B35=2018,7,IF($B35=2019,8,IF($B35=2020,9,0))))))),FALSE)</f>
        <v>1.063993297769634E-2</v>
      </c>
      <c r="M35" s="540">
        <f t="shared" si="25"/>
        <v>7.4759230003665939E-2</v>
      </c>
      <c r="N35" s="108">
        <v>60</v>
      </c>
      <c r="O35" s="108">
        <v>0.5</v>
      </c>
      <c r="P35" s="109">
        <v>22</v>
      </c>
      <c r="Q35" s="39">
        <f t="shared" si="26"/>
        <v>3.2665847845931406</v>
      </c>
      <c r="R35" s="29">
        <f t="shared" si="26"/>
        <v>11.157630829419809</v>
      </c>
      <c r="S35" s="29">
        <f t="shared" si="26"/>
        <v>23.608177895894507</v>
      </c>
      <c r="T35" s="29">
        <f t="shared" si="26"/>
        <v>5.6217652494313188E-2</v>
      </c>
      <c r="U35" s="29">
        <f t="shared" si="26"/>
        <v>0.7929853589650534</v>
      </c>
      <c r="V35" s="29">
        <f t="shared" si="26"/>
        <v>0.70575696947889754</v>
      </c>
      <c r="W35" s="29">
        <f t="shared" si="26"/>
        <v>4996.3624687357569</v>
      </c>
      <c r="X35" s="29">
        <f t="shared" si="26"/>
        <v>0.31919798933089022</v>
      </c>
      <c r="Y35" s="29">
        <f t="shared" si="26"/>
        <v>2.2427769001099782</v>
      </c>
    </row>
    <row r="36" spans="1:25" s="3" customFormat="1" x14ac:dyDescent="0.25">
      <c r="A36" s="27" t="s">
        <v>158</v>
      </c>
      <c r="B36" s="25">
        <v>2016</v>
      </c>
      <c r="C36" s="134">
        <v>165</v>
      </c>
      <c r="D36" s="134">
        <v>0.42</v>
      </c>
      <c r="E36" s="546">
        <f>VLOOKUP($A36,EFROGS!$A$1:$J$44,(IF($B36=2015,4,IF($B36=2016,5,IF($B36=2017,6,IF($B36=2018,7,IF($B36=2019,8,IF($B36=2020,9,0))))))),FALSE)</f>
        <v>6.7713438407732779E-2</v>
      </c>
      <c r="F36" s="546">
        <f>VLOOKUP($A36,EFCOS!$A$1:$J$44,(IF($B36=2015,4,IF($B36=2016,5,IF($B36=2017,6,IF($B36=2018,7,IF($B36=2019,8,IF($B36=2020,9,0))))))),FALSE)</f>
        <v>0.56115626588623435</v>
      </c>
      <c r="G36" s="546">
        <f>VLOOKUP($A36,EFNOXS!$A$1:$J$44,(IF($B36=2015,4,IF($B36=2016,5,IF($B36=2017,6,IF($B36=2018,7,IF($B36=2019,8,IF($B36=2020,9,0))))))),FALSE)</f>
        <v>0.53163273020702595</v>
      </c>
      <c r="H36" s="546">
        <f>VLOOKUP($A36,EFSOXS!$A$1:$J$44,(IF($B36=2015,4,IF($B36=2016,5,IF($B36=2017,6,IF($B36=2018,7,IF($B36=2019,8,IF($B36=2020,9,0))))))),FALSE)</f>
        <v>1.1984861301590408E-3</v>
      </c>
      <c r="I36" s="546">
        <f>VLOOKUP($A36,EFPMS!$A$1:$J$44,(IF($B36=2015,4,IF($B36=2016,5,IF($B36=2017,6,IF($B36=2018,7,IF($B36=2019,8,IF($B36=2020,9,0))))))),FALSE)</f>
        <v>2.6383116742669136E-2</v>
      </c>
      <c r="J36" s="536">
        <f t="shared" si="24"/>
        <v>2.3480973900975532E-2</v>
      </c>
      <c r="K36" s="549">
        <f>VLOOKUP($A36,EFCO2S!$A$1:$J$44,(IF($B36=2015,4,IF($B36=2016,5,IF($B36=2017,6,IF($B36=2018,7,IF($B36=2019,8,IF($B36=2020,9,0))))))),FALSE)</f>
        <v>106.51585692695846</v>
      </c>
      <c r="L36" s="546">
        <f>VLOOKUP($A36,EFCH4S!$A$1:$J$44,(IF($B36=2015,4,IF($B36=2016,5,IF($B36=2017,6,IF($B36=2018,7,IF($B36=2019,8,IF($B36=2020,9,0))))))),FALSE)</f>
        <v>6.5740964019932796E-3</v>
      </c>
      <c r="M36" s="540">
        <f t="shared" si="25"/>
        <v>5.0505109369667463E-2</v>
      </c>
      <c r="N36" s="108">
        <v>1</v>
      </c>
      <c r="O36" s="108">
        <v>8</v>
      </c>
      <c r="P36" s="109">
        <f>8*22</f>
        <v>176</v>
      </c>
      <c r="Q36" s="39">
        <f t="shared" si="26"/>
        <v>0.54170750726186223</v>
      </c>
      <c r="R36" s="29">
        <f t="shared" si="26"/>
        <v>4.4892501270898748</v>
      </c>
      <c r="S36" s="29">
        <f t="shared" si="26"/>
        <v>4.2530618416562076</v>
      </c>
      <c r="T36" s="29">
        <f t="shared" si="26"/>
        <v>9.5878890412723263E-3</v>
      </c>
      <c r="U36" s="29">
        <f t="shared" si="26"/>
        <v>0.21106493394135309</v>
      </c>
      <c r="V36" s="29">
        <f t="shared" si="26"/>
        <v>0.18784779120780426</v>
      </c>
      <c r="W36" s="29">
        <f t="shared" si="26"/>
        <v>852.12685541566771</v>
      </c>
      <c r="X36" s="29">
        <f t="shared" si="26"/>
        <v>5.2592771215946237E-2</v>
      </c>
      <c r="Y36" s="29">
        <f t="shared" si="26"/>
        <v>0.4040408749573397</v>
      </c>
    </row>
    <row r="37" spans="1:25" s="3" customFormat="1" x14ac:dyDescent="0.25">
      <c r="A37" s="27" t="s">
        <v>159</v>
      </c>
      <c r="B37" s="25">
        <v>2016</v>
      </c>
      <c r="C37" s="134">
        <v>8</v>
      </c>
      <c r="D37" s="134">
        <v>1</v>
      </c>
      <c r="E37" s="546">
        <f>VLOOKUP($A37,EFROGS!$A$1:$J$44,(IF($B37=2015,4,IF($B37=2016,5,IF($B37=2017,6,IF($B37=2018,7,IF($B37=2019,8,IF($B37=2020,9,0))))))),FALSE)</f>
        <v>1.1765479064338774E-2</v>
      </c>
      <c r="F37" s="546">
        <f>VLOOKUP($A37,EFCOS!$A$1:$J$44,(IF($B37=2015,4,IF($B37=2016,5,IF($B37=2017,6,IF($B37=2018,7,IF($B37=2019,8,IF($B37=2020,9,0))))))),FALSE)</f>
        <v>5.5543241180051911E-2</v>
      </c>
      <c r="G37" s="546">
        <f>VLOOKUP($A37,EFNOXS!$A$1:$J$44,(IF($B37=2015,4,IF($B37=2016,5,IF($B37=2017,6,IF($B37=2018,7,IF($B37=2019,8,IF($B37=2020,9,0))))))),FALSE)</f>
        <v>6.6311908821261228E-2</v>
      </c>
      <c r="H37" s="546">
        <f>VLOOKUP($A37,EFSOXS!$A$1:$J$44,(IF($B37=2015,4,IF($B37=2016,5,IF($B37=2017,6,IF($B37=2018,7,IF($B37=2019,8,IF($B37=2020,9,0))))))),FALSE)</f>
        <v>1.5727915874240951E-4</v>
      </c>
      <c r="I37" s="546">
        <f>VLOOKUP($A37,EFPMS!$A$1:$J$44,(IF($B37=2015,4,IF($B37=2016,5,IF($B37=2017,6,IF($B37=2018,7,IF($B37=2019,8,IF($B37=2020,9,0))))))),FALSE)</f>
        <v>2.5911643423632098E-3</v>
      </c>
      <c r="J37" s="536">
        <f t="shared" si="24"/>
        <v>2.3061362647032566E-3</v>
      </c>
      <c r="K37" s="549">
        <f>VLOOKUP($A37,EFCO2S!$A$1:$J$44,(IF($B37=2015,4,IF($B37=2016,5,IF($B37=2017,6,IF($B37=2018,7,IF($B37=2019,8,IF($B37=2020,9,0))))))),FALSE)</f>
        <v>10.107339932266072</v>
      </c>
      <c r="L37" s="546">
        <f>VLOOKUP($A37,EFCH4S!$A$1:$J$44,(IF($B37=2015,4,IF($B37=2016,5,IF($B37=2017,6,IF($B37=2018,7,IF($B37=2019,8,IF($B37=2020,9,0))))))),FALSE)</f>
        <v>1.0615801067499801E-3</v>
      </c>
      <c r="M37" s="540">
        <f t="shared" si="25"/>
        <v>6.299631338019817E-3</v>
      </c>
      <c r="N37" s="108">
        <v>1</v>
      </c>
      <c r="O37" s="108">
        <v>6</v>
      </c>
      <c r="P37" s="109">
        <f>5*22</f>
        <v>110</v>
      </c>
      <c r="Q37" s="39">
        <f t="shared" si="26"/>
        <v>7.059287438603265E-2</v>
      </c>
      <c r="R37" s="29">
        <f t="shared" si="26"/>
        <v>0.33325944708031147</v>
      </c>
      <c r="S37" s="29">
        <f t="shared" si="26"/>
        <v>0.39787145292756737</v>
      </c>
      <c r="T37" s="29">
        <f t="shared" si="26"/>
        <v>9.4367495245445713E-4</v>
      </c>
      <c r="U37" s="29">
        <f t="shared" si="26"/>
        <v>1.5546986054179259E-2</v>
      </c>
      <c r="V37" s="29">
        <f t="shared" si="26"/>
        <v>1.383681758821954E-2</v>
      </c>
      <c r="W37" s="29">
        <f t="shared" si="26"/>
        <v>60.644039593596432</v>
      </c>
      <c r="X37" s="29">
        <f t="shared" si="26"/>
        <v>6.3694806404998808E-3</v>
      </c>
      <c r="Y37" s="29">
        <f t="shared" si="26"/>
        <v>3.7797788028118902E-2</v>
      </c>
    </row>
    <row r="38" spans="1:25" s="3" customFormat="1" x14ac:dyDescent="0.25">
      <c r="A38" s="19" t="s">
        <v>38</v>
      </c>
      <c r="B38" s="36"/>
      <c r="C38" s="20"/>
      <c r="D38" s="134"/>
      <c r="E38" s="21"/>
      <c r="F38" s="21"/>
      <c r="G38" s="21"/>
      <c r="H38" s="21"/>
      <c r="I38" s="21"/>
      <c r="J38" s="21"/>
      <c r="K38" s="21"/>
      <c r="L38" s="21"/>
      <c r="M38" s="114"/>
      <c r="N38" s="143"/>
      <c r="O38" s="143"/>
      <c r="P38" s="144"/>
      <c r="Q38" s="138">
        <f>SUM(Q29:Q37)</f>
        <v>10.021244629460792</v>
      </c>
      <c r="R38" s="138">
        <f t="shared" ref="R38:Y38" si="27">SUM(R29:R37)</f>
        <v>41.35807861194656</v>
      </c>
      <c r="S38" s="138">
        <f t="shared" si="27"/>
        <v>72.967731838714215</v>
      </c>
      <c r="T38" s="138">
        <f t="shared" si="27"/>
        <v>0.16992698890202929</v>
      </c>
      <c r="U38" s="138">
        <f t="shared" si="27"/>
        <v>2.7074794786207885</v>
      </c>
      <c r="V38" s="138">
        <f t="shared" si="27"/>
        <v>2.4096567359725021</v>
      </c>
      <c r="W38" s="138">
        <f t="shared" si="27"/>
        <v>15013.778793977188</v>
      </c>
      <c r="X38" s="138">
        <f t="shared" si="27"/>
        <v>0.97776194078886447</v>
      </c>
      <c r="Y38" s="138">
        <f t="shared" si="27"/>
        <v>6.9319345246778505</v>
      </c>
    </row>
    <row r="39" spans="1:25" s="3" customFormat="1" x14ac:dyDescent="0.25">
      <c r="A39" s="19"/>
      <c r="B39" s="36"/>
      <c r="C39" s="20"/>
      <c r="D39" s="134"/>
      <c r="E39" s="21"/>
      <c r="F39" s="21"/>
      <c r="G39" s="21"/>
      <c r="H39" s="21"/>
      <c r="I39" s="21"/>
      <c r="J39" s="21"/>
      <c r="K39" s="21"/>
      <c r="L39" s="21"/>
      <c r="M39" s="114"/>
      <c r="N39" s="143"/>
      <c r="O39" s="143"/>
      <c r="P39" s="144"/>
      <c r="Q39" s="138"/>
      <c r="R39" s="31"/>
      <c r="S39" s="31"/>
      <c r="T39" s="31"/>
      <c r="U39" s="31"/>
      <c r="V39" s="31"/>
      <c r="W39" s="33"/>
      <c r="X39" s="31"/>
      <c r="Y39" s="31"/>
    </row>
    <row r="40" spans="1:25" s="3" customFormat="1" x14ac:dyDescent="0.25">
      <c r="A40" s="19" t="s">
        <v>161</v>
      </c>
      <c r="B40" s="25">
        <v>2016</v>
      </c>
      <c r="C40" s="20"/>
      <c r="D40" s="25"/>
      <c r="E40" s="21"/>
      <c r="F40" s="21"/>
      <c r="G40" s="21"/>
      <c r="H40" s="21"/>
      <c r="I40" s="21"/>
      <c r="J40" s="21"/>
      <c r="K40" s="21"/>
      <c r="L40" s="21"/>
      <c r="M40" s="114"/>
      <c r="N40" s="143"/>
      <c r="O40" s="143"/>
      <c r="P40" s="144"/>
      <c r="Q40" s="138"/>
      <c r="R40" s="31"/>
      <c r="S40" s="31"/>
      <c r="T40" s="31"/>
      <c r="U40" s="31"/>
      <c r="V40" s="31"/>
      <c r="W40" s="33"/>
      <c r="X40" s="31"/>
      <c r="Y40" s="31"/>
    </row>
    <row r="41" spans="1:25" s="3" customFormat="1" x14ac:dyDescent="0.25">
      <c r="A41" s="27" t="s">
        <v>162</v>
      </c>
      <c r="B41" s="25">
        <v>2016</v>
      </c>
      <c r="C41" s="25">
        <v>235</v>
      </c>
      <c r="D41" s="25">
        <v>0.38</v>
      </c>
      <c r="E41" s="546">
        <f>VLOOKUP($A41,EFROGS!$A$1:$J$44,(IF($B41=2015,4,IF($B41=2016,5,IF($B41=2017,6,IF($B41=2018,7,IF($B41=2019,8,IF($B41=2020,9,0))))))),FALSE)</f>
        <v>0.10888615948643803</v>
      </c>
      <c r="F41" s="546">
        <f>VLOOKUP($A41,EFCOS!$A$1:$J$44,(IF($B41=2015,4,IF($B41=2016,5,IF($B41=2017,6,IF($B41=2018,7,IF($B41=2019,8,IF($B41=2020,9,0))))))),FALSE)</f>
        <v>0.37192102764732693</v>
      </c>
      <c r="G41" s="546">
        <f>VLOOKUP($A41,EFNOXS!$A$1:$J$44,(IF($B41=2015,4,IF($B41=2016,5,IF($B41=2017,6,IF($B41=2018,7,IF($B41=2019,8,IF($B41=2020,9,0))))))),FALSE)</f>
        <v>0.78693926319648355</v>
      </c>
      <c r="H41" s="546">
        <f>VLOOKUP($A41,EFSOXS!$A$1:$J$44,(IF($B41=2015,4,IF($B41=2016,5,IF($B41=2017,6,IF($B41=2018,7,IF($B41=2019,8,IF($B41=2020,9,0))))))),FALSE)</f>
        <v>1.8739217498104396E-3</v>
      </c>
      <c r="I41" s="546">
        <f>VLOOKUP($A41,EFPMS!$A$1:$J$44,(IF($B41=2015,4,IF($B41=2016,5,IF($B41=2017,6,IF($B41=2018,7,IF($B41=2019,8,IF($B41=2020,9,0))))))),FALSE)</f>
        <v>2.6432845298835113E-2</v>
      </c>
      <c r="J41" s="536">
        <f t="shared" ref="J41:J49" si="28">0.89*I41</f>
        <v>2.3525232315963252E-2</v>
      </c>
      <c r="K41" s="549">
        <f>VLOOKUP($A41,EFCO2S!$A$1:$J$44,(IF($B41=2015,4,IF($B41=2016,5,IF($B41=2017,6,IF($B41=2018,7,IF($B41=2019,8,IF($B41=2020,9,0))))))),FALSE)</f>
        <v>166.54541562452522</v>
      </c>
      <c r="L41" s="546">
        <f>VLOOKUP($A41,EFCH4S!$A$1:$J$44,(IF($B41=2015,4,IF($B41=2016,5,IF($B41=2017,6,IF($B41=2018,7,IF($B41=2019,8,IF($B41=2020,9,0))))))),FALSE)</f>
        <v>1.063993297769634E-2</v>
      </c>
      <c r="M41" s="540">
        <f t="shared" ref="M41:M49" si="29">0.095*G41</f>
        <v>7.4759230003665939E-2</v>
      </c>
      <c r="N41" s="108">
        <v>2</v>
      </c>
      <c r="O41" s="108">
        <v>5</v>
      </c>
      <c r="P41" s="109">
        <f>10*22</f>
        <v>220</v>
      </c>
      <c r="Q41" s="39">
        <f t="shared" ref="Q41:Y49" si="30">(E41*$N41*$O41)</f>
        <v>1.0888615948643803</v>
      </c>
      <c r="R41" s="29">
        <f t="shared" si="30"/>
        <v>3.7192102764732695</v>
      </c>
      <c r="S41" s="29">
        <f t="shared" si="30"/>
        <v>7.8693926319648355</v>
      </c>
      <c r="T41" s="29">
        <f t="shared" si="30"/>
        <v>1.8739217498104397E-2</v>
      </c>
      <c r="U41" s="29">
        <f t="shared" si="30"/>
        <v>0.26432845298835111</v>
      </c>
      <c r="V41" s="29">
        <f t="shared" si="30"/>
        <v>0.23525232315963251</v>
      </c>
      <c r="W41" s="29">
        <f t="shared" si="30"/>
        <v>1665.4541562452523</v>
      </c>
      <c r="X41" s="29">
        <f t="shared" si="30"/>
        <v>0.1063993297769634</v>
      </c>
      <c r="Y41" s="29">
        <f t="shared" si="30"/>
        <v>0.74759230003665933</v>
      </c>
    </row>
    <row r="42" spans="1:25" s="3" customFormat="1" x14ac:dyDescent="0.25">
      <c r="A42" s="27" t="s">
        <v>202</v>
      </c>
      <c r="B42" s="25">
        <v>2016</v>
      </c>
      <c r="C42" s="25">
        <v>399</v>
      </c>
      <c r="D42" s="25">
        <v>0.28999999999999998</v>
      </c>
      <c r="E42" s="546">
        <f>VLOOKUP($A42,EFROGS!$A$1:$J$44,(IF($B42=2015,4,IF($B42=2016,5,IF($B42=2017,6,IF($B42=2018,7,IF($B42=2019,8,IF($B42=2020,9,0))))))),FALSE)</f>
        <v>0.1228188382407441</v>
      </c>
      <c r="F42" s="546">
        <f>VLOOKUP($A42,EFCOS!$A$1:$J$44,(IF($B42=2015,4,IF($B42=2016,5,IF($B42=2017,6,IF($B42=2018,7,IF($B42=2019,8,IF($B42=2020,9,0))))))),FALSE)</f>
        <v>0.45492412964990703</v>
      </c>
      <c r="G42" s="546">
        <f>VLOOKUP($A42,EFNOXS!$A$1:$J$44,(IF($B42=2015,4,IF($B42=2016,5,IF($B42=2017,6,IF($B42=2018,7,IF($B42=2019,8,IF($B42=2020,9,0))))))),FALSE)</f>
        <v>0.97275799069431301</v>
      </c>
      <c r="H42" s="546">
        <f>VLOOKUP($A42,EFSOXS!$A$1:$J$44,(IF($B42=2015,4,IF($B42=2016,5,IF($B42=2017,6,IF($B42=2018,7,IF($B42=2019,8,IF($B42=2020,9,0))))))),FALSE)</f>
        <v>1.7677532588218458E-3</v>
      </c>
      <c r="I42" s="546">
        <f>VLOOKUP($A42,EFPMS!$A$1:$J$44,(IF($B42=2015,4,IF($B42=2016,5,IF($B42=2017,6,IF($B42=2018,7,IF($B42=2019,8,IF($B42=2020,9,0))))))),FALSE)</f>
        <v>3.5216325713369134E-2</v>
      </c>
      <c r="J42" s="536">
        <f t="shared" si="28"/>
        <v>3.134252988489853E-2</v>
      </c>
      <c r="K42" s="549">
        <f>VLOOKUP($A42,EFCO2S!$A$1:$J$44,(IF($B42=2015,4,IF($B42=2016,5,IF($B42=2017,6,IF($B42=2018,7,IF($B42=2019,8,IF($B42=2020,9,0))))))),FALSE)</f>
        <v>180.10130637401463</v>
      </c>
      <c r="L42" s="546">
        <f>VLOOKUP($A42,EFCH4S!$A$1:$J$44,(IF($B42=2015,4,IF($B42=2016,5,IF($B42=2017,6,IF($B42=2018,7,IF($B42=2019,8,IF($B42=2020,9,0))))))),FALSE)</f>
        <v>1.1955016897318338E-2</v>
      </c>
      <c r="M42" s="540">
        <f t="shared" si="29"/>
        <v>9.2412009115959731E-2</v>
      </c>
      <c r="N42" s="135">
        <v>1</v>
      </c>
      <c r="O42" s="135">
        <v>8</v>
      </c>
      <c r="P42" s="136">
        <f>3*22</f>
        <v>66</v>
      </c>
      <c r="Q42" s="39">
        <f t="shared" si="30"/>
        <v>0.98255070592595284</v>
      </c>
      <c r="R42" s="29">
        <f t="shared" si="30"/>
        <v>3.6393930371992562</v>
      </c>
      <c r="S42" s="29">
        <f t="shared" si="30"/>
        <v>7.7820639255545041</v>
      </c>
      <c r="T42" s="29">
        <f t="shared" si="30"/>
        <v>1.4142026070574767E-2</v>
      </c>
      <c r="U42" s="29">
        <f t="shared" si="30"/>
        <v>0.28173060570695307</v>
      </c>
      <c r="V42" s="29">
        <f t="shared" si="30"/>
        <v>0.25074023907918824</v>
      </c>
      <c r="W42" s="29">
        <f t="shared" si="30"/>
        <v>1440.810450992117</v>
      </c>
      <c r="X42" s="29">
        <f t="shared" si="30"/>
        <v>9.5640135178546706E-2</v>
      </c>
      <c r="Y42" s="29">
        <f t="shared" si="30"/>
        <v>0.73929607292767785</v>
      </c>
    </row>
    <row r="43" spans="1:25" s="3" customFormat="1" x14ac:dyDescent="0.25">
      <c r="A43" s="27" t="s">
        <v>163</v>
      </c>
      <c r="B43" s="25">
        <v>2016</v>
      </c>
      <c r="C43" s="25">
        <v>75</v>
      </c>
      <c r="D43" s="25">
        <v>0.31</v>
      </c>
      <c r="E43" s="546">
        <f>VLOOKUP($A43,EFROGS!$A$1:$J$44,(IF($B43=2015,4,IF($B43=2016,5,IF($B43=2017,6,IF($B43=2018,7,IF($B43=2019,8,IF($B43=2020,9,0))))))),FALSE)</f>
        <v>3.7848085547672369E-2</v>
      </c>
      <c r="F43" s="546">
        <f>VLOOKUP($A43,EFCOS!$A$1:$J$44,(IF($B43=2015,4,IF($B43=2016,5,IF($B43=2017,6,IF($B43=2018,7,IF($B43=2019,8,IF($B43=2020,9,0))))))),FALSE)</f>
        <v>0.23095739347567587</v>
      </c>
      <c r="G43" s="546">
        <f>VLOOKUP($A43,EFNOXS!$A$1:$J$44,(IF($B43=2015,4,IF($B43=2016,5,IF($B43=2017,6,IF($B43=2018,7,IF($B43=2019,8,IF($B43=2020,9,0))))))),FALSE)</f>
        <v>0.27347169152642881</v>
      </c>
      <c r="H43" s="546">
        <f>VLOOKUP($A43,EFSOXS!$A$1:$J$44,(IF($B43=2015,4,IF($B43=2016,5,IF($B43=2017,6,IF($B43=2018,7,IF($B43=2019,8,IF($B43=2020,9,0))))))),FALSE)</f>
        <v>4.4660184460307463E-4</v>
      </c>
      <c r="I43" s="546">
        <f>VLOOKUP($A43,EFPMS!$A$1:$J$44,(IF($B43=2015,4,IF($B43=2016,5,IF($B43=2017,6,IF($B43=2018,7,IF($B43=2019,8,IF($B43=2020,9,0))))))),FALSE)</f>
        <v>1.9787803716078484E-2</v>
      </c>
      <c r="J43" s="536">
        <f t="shared" si="28"/>
        <v>1.7611145307309853E-2</v>
      </c>
      <c r="K43" s="549">
        <f>VLOOKUP($A43,EFCO2S!$A$1:$J$44,(IF($B43=2015,4,IF($B43=2016,5,IF($B43=2017,6,IF($B43=2018,7,IF($B43=2019,8,IF($B43=2020,9,0))))))),FALSE)</f>
        <v>38.071823208441309</v>
      </c>
      <c r="L43" s="546">
        <f>VLOOKUP($A43,EFCH4S!$A$1:$J$44,(IF($B43=2015,4,IF($B43=2016,5,IF($B43=2017,6,IF($B43=2018,7,IF($B43=2019,8,IF($B43=2020,9,0))))))),FALSE)</f>
        <v>3.7224725625345937E-3</v>
      </c>
      <c r="M43" s="540">
        <f t="shared" si="29"/>
        <v>2.5979810695010735E-2</v>
      </c>
      <c r="N43" s="108">
        <v>2</v>
      </c>
      <c r="O43" s="108">
        <v>8</v>
      </c>
      <c r="P43" s="109">
        <f>13*22</f>
        <v>286</v>
      </c>
      <c r="Q43" s="39">
        <f t="shared" si="30"/>
        <v>0.60556936876275791</v>
      </c>
      <c r="R43" s="29">
        <f t="shared" si="30"/>
        <v>3.6953182956108139</v>
      </c>
      <c r="S43" s="29">
        <f t="shared" si="30"/>
        <v>4.3755470644228609</v>
      </c>
      <c r="T43" s="29">
        <f t="shared" si="30"/>
        <v>7.1456295136491941E-3</v>
      </c>
      <c r="U43" s="29">
        <f t="shared" si="30"/>
        <v>0.31660485945725575</v>
      </c>
      <c r="V43" s="29">
        <f t="shared" si="30"/>
        <v>0.28177832491695765</v>
      </c>
      <c r="W43" s="29">
        <f t="shared" si="30"/>
        <v>609.14917133506094</v>
      </c>
      <c r="X43" s="29">
        <f t="shared" si="30"/>
        <v>5.9559561000553499E-2</v>
      </c>
      <c r="Y43" s="29">
        <f t="shared" si="30"/>
        <v>0.41567697112017177</v>
      </c>
    </row>
    <row r="44" spans="1:25" s="3" customFormat="1" x14ac:dyDescent="0.25">
      <c r="A44" s="27" t="s">
        <v>164</v>
      </c>
      <c r="B44" s="25">
        <v>2016</v>
      </c>
      <c r="C44" s="25">
        <v>180</v>
      </c>
      <c r="D44" s="25">
        <v>0.4</v>
      </c>
      <c r="E44" s="546">
        <f>VLOOKUP($A44,EFROGS!$A$1:$J$44,(IF($B44=2015,4,IF($B44=2016,5,IF($B44=2017,6,IF($B44=2018,7,IF($B44=2019,8,IF($B44=2020,9,0))))))),FALSE)</f>
        <v>0.10185105781538266</v>
      </c>
      <c r="F44" s="546">
        <f>VLOOKUP($A44,EFCOS!$A$1:$J$44,(IF($B44=2015,4,IF($B44=2016,5,IF($B44=2017,6,IF($B44=2018,7,IF($B44=2019,8,IF($B44=2020,9,0))))))),FALSE)</f>
        <v>0.3581637101019437</v>
      </c>
      <c r="G44" s="546">
        <f>VLOOKUP($A44,EFNOXS!$A$1:$J$44,(IF($B44=2015,4,IF($B44=2016,5,IF($B44=2017,6,IF($B44=2018,7,IF($B44=2019,8,IF($B44=2020,9,0))))))),FALSE)</f>
        <v>0.83338525268821684</v>
      </c>
      <c r="H44" s="546">
        <f>VLOOKUP($A44,EFSOXS!$A$1:$J$44,(IF($B44=2015,4,IF($B44=2016,5,IF($B44=2017,6,IF($B44=2018,7,IF($B44=2019,8,IF($B44=2020,9,0))))))),FALSE)</f>
        <v>1.9217541496869973E-3</v>
      </c>
      <c r="I44" s="546">
        <f>VLOOKUP($A44,EFPMS!$A$1:$J$44,(IF($B44=2015,4,IF($B44=2016,5,IF($B44=2017,6,IF($B44=2018,7,IF($B44=2019,8,IF($B44=2020,9,0))))))),FALSE)</f>
        <v>2.7461945936463245E-2</v>
      </c>
      <c r="J44" s="536">
        <f t="shared" si="28"/>
        <v>2.4441131883452288E-2</v>
      </c>
      <c r="K44" s="549">
        <f>VLOOKUP($A44,EFCO2S!$A$1:$J$44,(IF($B44=2015,4,IF($B44=2016,5,IF($B44=2017,6,IF($B44=2018,7,IF($B44=2019,8,IF($B44=2020,9,0))))))),FALSE)</f>
        <v>170.79658133294615</v>
      </c>
      <c r="L44" s="546">
        <f>VLOOKUP($A44,EFCH4S!$A$1:$J$44,(IF($B44=2015,4,IF($B44=2016,5,IF($B44=2017,6,IF($B44=2018,7,IF($B44=2019,8,IF($B44=2020,9,0))))))),FALSE)</f>
        <v>9.9881647421294784E-3</v>
      </c>
      <c r="M44" s="540">
        <f t="shared" si="29"/>
        <v>7.9171599005380594E-2</v>
      </c>
      <c r="N44" s="108">
        <v>2</v>
      </c>
      <c r="O44" s="108">
        <v>8</v>
      </c>
      <c r="P44" s="109">
        <f>12*22</f>
        <v>264</v>
      </c>
      <c r="Q44" s="39">
        <f t="shared" si="30"/>
        <v>1.6296169250461225</v>
      </c>
      <c r="R44" s="29">
        <f t="shared" si="30"/>
        <v>5.7306193616310992</v>
      </c>
      <c r="S44" s="29">
        <f t="shared" si="30"/>
        <v>13.334164043011469</v>
      </c>
      <c r="T44" s="29">
        <f t="shared" si="30"/>
        <v>3.0748066394991957E-2</v>
      </c>
      <c r="U44" s="29">
        <f t="shared" si="30"/>
        <v>0.43939113498341192</v>
      </c>
      <c r="V44" s="29">
        <f t="shared" si="30"/>
        <v>0.39105811013523661</v>
      </c>
      <c r="W44" s="29">
        <f t="shared" si="30"/>
        <v>2732.7453013271383</v>
      </c>
      <c r="X44" s="29">
        <f t="shared" si="30"/>
        <v>0.15981063587407165</v>
      </c>
      <c r="Y44" s="29">
        <f t="shared" si="30"/>
        <v>1.2667455840860895</v>
      </c>
    </row>
    <row r="45" spans="1:25" s="3" customFormat="1" x14ac:dyDescent="0.25">
      <c r="A45" s="27" t="s">
        <v>203</v>
      </c>
      <c r="B45" s="25">
        <v>2016</v>
      </c>
      <c r="C45" s="25">
        <v>235</v>
      </c>
      <c r="D45" s="25">
        <v>0.38</v>
      </c>
      <c r="E45" s="546">
        <f>VLOOKUP($A45,EFROGS!$A$1:$J$44,(IF($B45=2015,4,IF($B45=2016,5,IF($B45=2017,6,IF($B45=2018,7,IF($B45=2019,8,IF($B45=2020,9,0))))))),FALSE)</f>
        <v>0.10818245578273432</v>
      </c>
      <c r="F45" s="546">
        <f>VLOOKUP($A45,EFCOS!$A$1:$J$44,(IF($B45=2015,4,IF($B45=2016,5,IF($B45=2017,6,IF($B45=2018,7,IF($B45=2019,8,IF($B45=2020,9,0))))))),FALSE)</f>
        <v>0.36086282658912588</v>
      </c>
      <c r="G45" s="546">
        <f>VLOOKUP($A45,EFNOXS!$A$1:$J$44,(IF($B45=2015,4,IF($B45=2016,5,IF($B45=2017,6,IF($B45=2018,7,IF($B45=2019,8,IF($B45=2020,9,0))))))),FALSE)</f>
        <v>0.78543132668854698</v>
      </c>
      <c r="H45" s="546">
        <f>VLOOKUP($A45,EFSOXS!$A$1:$J$44,(IF($B45=2015,4,IF($B45=2016,5,IF($B45=2017,6,IF($B45=2018,7,IF($B45=2019,8,IF($B45=2020,9,0))))))),FALSE)</f>
        <v>1.8739217498104396E-3</v>
      </c>
      <c r="I45" s="546">
        <f>VLOOKUP($A45,EFPMS!$A$1:$J$44,(IF($B45=2015,4,IF($B45=2016,5,IF($B45=2017,6,IF($B45=2018,7,IF($B45=2019,8,IF($B45=2020,9,0))))))),FALSE)</f>
        <v>2.6357448473438287E-2</v>
      </c>
      <c r="J45" s="536">
        <f t="shared" si="28"/>
        <v>2.3458129141360078E-2</v>
      </c>
      <c r="K45" s="549">
        <f>VLOOKUP($A45,EFCO2S!$A$1:$J$44,(IF($B45=2015,4,IF($B45=2016,5,IF($B45=2017,6,IF($B45=2018,7,IF($B45=2019,8,IF($B45=2020,9,0))))))),FALSE)</f>
        <v>166.54541562452522</v>
      </c>
      <c r="L45" s="546">
        <f>VLOOKUP($A45,EFCH4S!$A$1:$J$44,(IF($B45=2015,4,IF($B45=2016,5,IF($B45=2017,6,IF($B45=2018,7,IF($B45=2019,8,IF($B45=2020,9,0))))))),FALSE)</f>
        <v>1.063993297769634E-2</v>
      </c>
      <c r="M45" s="540">
        <f t="shared" si="29"/>
        <v>7.4615976035411966E-2</v>
      </c>
      <c r="N45" s="108">
        <v>2</v>
      </c>
      <c r="O45" s="108">
        <v>6</v>
      </c>
      <c r="P45" s="109">
        <f>1*22</f>
        <v>22</v>
      </c>
      <c r="Q45" s="39">
        <f t="shared" si="30"/>
        <v>1.2981894693928118</v>
      </c>
      <c r="R45" s="29">
        <f t="shared" si="30"/>
        <v>4.3303539190695108</v>
      </c>
      <c r="S45" s="29">
        <f t="shared" si="30"/>
        <v>9.4251759202625642</v>
      </c>
      <c r="T45" s="29">
        <f t="shared" si="30"/>
        <v>2.2487060997725274E-2</v>
      </c>
      <c r="U45" s="29">
        <f t="shared" si="30"/>
        <v>0.31628938168125942</v>
      </c>
      <c r="V45" s="29">
        <f t="shared" si="30"/>
        <v>0.2814975496963209</v>
      </c>
      <c r="W45" s="29">
        <f t="shared" si="30"/>
        <v>1998.5449874943026</v>
      </c>
      <c r="X45" s="29">
        <f t="shared" si="30"/>
        <v>0.12767919573235609</v>
      </c>
      <c r="Y45" s="29">
        <f t="shared" si="30"/>
        <v>0.89539171242494353</v>
      </c>
    </row>
    <row r="46" spans="1:25" s="3" customFormat="1" x14ac:dyDescent="0.25">
      <c r="A46" s="27" t="s">
        <v>165</v>
      </c>
      <c r="B46" s="25">
        <v>2016</v>
      </c>
      <c r="C46" s="25">
        <v>525</v>
      </c>
      <c r="D46" s="25">
        <v>1</v>
      </c>
      <c r="E46" s="546">
        <f>VLOOKUP($A46,EFROGS!$A$1:$J$44,(IF($B46=2015,4,IF($B46=2016,5,IF($B46=2017,6,IF($B46=2018,7,IF($B46=2019,8,IF($B46=2020,9,0))))))),FALSE)</f>
        <v>0</v>
      </c>
      <c r="F46" s="546">
        <f>VLOOKUP($A46,EFCOS!$A$1:$J$44,(IF($B46=2015,4,IF($B46=2016,5,IF($B46=2017,6,IF($B46=2018,7,IF($B46=2019,8,IF($B46=2020,9,0))))))),FALSE)</f>
        <v>0</v>
      </c>
      <c r="G46" s="546">
        <f>VLOOKUP($A46,EFNOXS!$A$1:$J$44,(IF($B46=2015,4,IF($B46=2016,5,IF($B46=2017,6,IF($B46=2018,7,IF($B46=2019,8,IF($B46=2020,9,0))))))),FALSE)</f>
        <v>0</v>
      </c>
      <c r="H46" s="546">
        <f>VLOOKUP($A46,EFSOXS!$A$1:$J$44,(IF($B46=2015,4,IF($B46=2016,5,IF($B46=2017,6,IF($B46=2018,7,IF($B46=2019,8,IF($B46=2020,9,0))))))),FALSE)</f>
        <v>0</v>
      </c>
      <c r="I46" s="546">
        <f>VLOOKUP($A46,EFPMS!$A$1:$J$44,(IF($B46=2015,4,IF($B46=2016,5,IF($B46=2017,6,IF($B46=2018,7,IF($B46=2019,8,IF($B46=2020,9,0))))))),FALSE)</f>
        <v>0</v>
      </c>
      <c r="J46" s="536">
        <f t="shared" si="28"/>
        <v>0</v>
      </c>
      <c r="K46" s="549">
        <f>VLOOKUP($A46,EFCO2S!$A$1:$J$44,(IF($B46=2015,4,IF($B46=2016,5,IF($B46=2017,6,IF($B46=2018,7,IF($B46=2019,8,IF($B46=2020,9,0))))))),FALSE)</f>
        <v>0</v>
      </c>
      <c r="L46" s="546">
        <f>VLOOKUP($A46,EFCH4S!$A$1:$J$44,(IF($B46=2015,4,IF($B46=2016,5,IF($B46=2017,6,IF($B46=2018,7,IF($B46=2019,8,IF($B46=2020,9,0))))))),FALSE)</f>
        <v>0</v>
      </c>
      <c r="M46" s="540">
        <f t="shared" si="29"/>
        <v>0</v>
      </c>
      <c r="N46" s="108">
        <v>1</v>
      </c>
      <c r="O46" s="108">
        <v>2</v>
      </c>
      <c r="P46" s="109">
        <f>3*22</f>
        <v>66</v>
      </c>
      <c r="Q46" s="39">
        <f t="shared" si="30"/>
        <v>0</v>
      </c>
      <c r="R46" s="29">
        <f t="shared" si="30"/>
        <v>0</v>
      </c>
      <c r="S46" s="29">
        <f t="shared" si="30"/>
        <v>0</v>
      </c>
      <c r="T46" s="29">
        <f t="shared" si="30"/>
        <v>0</v>
      </c>
      <c r="U46" s="29">
        <f t="shared" si="30"/>
        <v>0</v>
      </c>
      <c r="V46" s="29">
        <f t="shared" si="30"/>
        <v>0</v>
      </c>
      <c r="W46" s="29">
        <f t="shared" si="30"/>
        <v>0</v>
      </c>
      <c r="X46" s="29">
        <f t="shared" si="30"/>
        <v>0</v>
      </c>
      <c r="Y46" s="29">
        <f t="shared" si="30"/>
        <v>0</v>
      </c>
    </row>
    <row r="47" spans="1:25" s="3" customFormat="1" x14ac:dyDescent="0.25">
      <c r="A47" s="27" t="s">
        <v>166</v>
      </c>
      <c r="B47" s="25">
        <v>2016</v>
      </c>
      <c r="C47" s="25">
        <v>300</v>
      </c>
      <c r="D47" s="25">
        <v>0.42</v>
      </c>
      <c r="E47" s="546">
        <f>VLOOKUP($A47,EFROGS!$A$1:$J$44,(IF($B47=2015,4,IF($B47=2016,5,IF($B47=2017,6,IF($B47=2018,7,IF($B47=2019,8,IF($B47=2020,9,0))))))),FALSE)</f>
        <v>0.1154043799255078</v>
      </c>
      <c r="F47" s="546">
        <f>VLOOKUP($A47,EFCOS!$A$1:$J$44,(IF($B47=2015,4,IF($B47=2016,5,IF($B47=2017,6,IF($B47=2018,7,IF($B47=2019,8,IF($B47=2020,9,0))))))),FALSE)</f>
        <v>0.49345059158954319</v>
      </c>
      <c r="G47" s="546">
        <f>VLOOKUP($A47,EFNOXS!$A$1:$J$44,(IF($B47=2015,4,IF($B47=2016,5,IF($B47=2017,6,IF($B47=2018,7,IF($B47=2019,8,IF($B47=2020,9,0))))))),FALSE)</f>
        <v>0.94490895318182844</v>
      </c>
      <c r="H47" s="546">
        <f>VLOOKUP($A47,EFSOXS!$A$1:$J$44,(IF($B47=2015,4,IF($B47=2016,5,IF($B47=2017,6,IF($B47=2018,7,IF($B47=2019,8,IF($B47=2020,9,0))))))),FALSE)</f>
        <v>2.4954334272364047E-3</v>
      </c>
      <c r="I47" s="546">
        <f>VLOOKUP($A47,EFPMS!$A$1:$J$44,(IF($B47=2015,4,IF($B47=2016,5,IF($B47=2017,6,IF($B47=2018,7,IF($B47=2019,8,IF($B47=2020,9,0))))))),FALSE)</f>
        <v>3.1887416340352276E-2</v>
      </c>
      <c r="J47" s="536">
        <f t="shared" si="28"/>
        <v>2.8379800542913527E-2</v>
      </c>
      <c r="K47" s="549">
        <f>VLOOKUP($A47,EFCO2S!$A$1:$J$44,(IF($B47=2015,4,IF($B47=2016,5,IF($B47=2017,6,IF($B47=2018,7,IF($B47=2019,8,IF($B47=2020,9,0))))))),FALSE)</f>
        <v>254.23851177178003</v>
      </c>
      <c r="L47" s="546">
        <f>VLOOKUP($A47,EFCH4S!$A$1:$J$44,(IF($B47=2015,4,IF($B47=2016,5,IF($B47=2017,6,IF($B47=2018,7,IF($B47=2019,8,IF($B47=2020,9,0))))))),FALSE)</f>
        <v>1.1216977037398481E-2</v>
      </c>
      <c r="M47" s="540">
        <f t="shared" si="29"/>
        <v>8.9766350552273708E-2</v>
      </c>
      <c r="N47" s="108"/>
      <c r="O47" s="108"/>
      <c r="P47" s="109"/>
      <c r="Q47" s="39">
        <f t="shared" si="30"/>
        <v>0</v>
      </c>
      <c r="R47" s="29">
        <f t="shared" si="30"/>
        <v>0</v>
      </c>
      <c r="S47" s="29">
        <f t="shared" si="30"/>
        <v>0</v>
      </c>
      <c r="T47" s="29">
        <f t="shared" si="30"/>
        <v>0</v>
      </c>
      <c r="U47" s="29">
        <f t="shared" si="30"/>
        <v>0</v>
      </c>
      <c r="V47" s="29">
        <f t="shared" si="30"/>
        <v>0</v>
      </c>
      <c r="W47" s="29">
        <f t="shared" si="30"/>
        <v>0</v>
      </c>
      <c r="X47" s="29">
        <f t="shared" si="30"/>
        <v>0</v>
      </c>
      <c r="Y47" s="29">
        <f t="shared" si="30"/>
        <v>0</v>
      </c>
    </row>
    <row r="48" spans="1:25" s="3" customFormat="1" x14ac:dyDescent="0.25">
      <c r="A48" s="37" t="s">
        <v>167</v>
      </c>
      <c r="B48" s="25">
        <v>2016</v>
      </c>
      <c r="C48" s="25">
        <v>235</v>
      </c>
      <c r="D48" s="25">
        <v>0.38</v>
      </c>
      <c r="E48" s="546">
        <f>VLOOKUP($A48,EFROGS!$A$1:$J$44,(IF($B48=2015,4,IF($B48=2016,5,IF($B48=2017,6,IF($B48=2018,7,IF($B48=2019,8,IF($B48=2020,9,0))))))),FALSE)</f>
        <v>0.10888615948643803</v>
      </c>
      <c r="F48" s="546">
        <f>VLOOKUP($A48,EFCOS!$A$1:$J$44,(IF($B48=2015,4,IF($B48=2016,5,IF($B48=2017,6,IF($B48=2018,7,IF($B48=2019,8,IF($B48=2020,9,0))))))),FALSE)</f>
        <v>0.37192102764732693</v>
      </c>
      <c r="G48" s="546">
        <f>VLOOKUP($A48,EFNOXS!$A$1:$J$44,(IF($B48=2015,4,IF($B48=2016,5,IF($B48=2017,6,IF($B48=2018,7,IF($B48=2019,8,IF($B48=2020,9,0))))))),FALSE)</f>
        <v>0.78693926319648355</v>
      </c>
      <c r="H48" s="546">
        <f>VLOOKUP($A48,EFSOXS!$A$1:$J$44,(IF($B48=2015,4,IF($B48=2016,5,IF($B48=2017,6,IF($B48=2018,7,IF($B48=2019,8,IF($B48=2020,9,0))))))),FALSE)</f>
        <v>1.8739217498104396E-3</v>
      </c>
      <c r="I48" s="546">
        <f>VLOOKUP($A48,EFPMS!$A$1:$J$44,(IF($B48=2015,4,IF($B48=2016,5,IF($B48=2017,6,IF($B48=2018,7,IF($B48=2019,8,IF($B48=2020,9,0))))))),FALSE)</f>
        <v>2.6432845298835113E-2</v>
      </c>
      <c r="J48" s="536">
        <f t="shared" si="28"/>
        <v>2.3525232315963252E-2</v>
      </c>
      <c r="K48" s="549">
        <f>VLOOKUP($A48,EFCO2S!$A$1:$J$44,(IF($B48=2015,4,IF($B48=2016,5,IF($B48=2017,6,IF($B48=2018,7,IF($B48=2019,8,IF($B48=2020,9,0))))))),FALSE)</f>
        <v>166.54541562452522</v>
      </c>
      <c r="L48" s="546">
        <f>VLOOKUP($A48,EFCH4S!$A$1:$J$44,(IF($B48=2015,4,IF($B48=2016,5,IF($B48=2017,6,IF($B48=2018,7,IF($B48=2019,8,IF($B48=2020,9,0))))))),FALSE)</f>
        <v>1.063993297769634E-2</v>
      </c>
      <c r="M48" s="540">
        <f t="shared" si="29"/>
        <v>7.4759230003665939E-2</v>
      </c>
      <c r="N48" s="108">
        <v>1</v>
      </c>
      <c r="O48" s="108">
        <v>24</v>
      </c>
      <c r="P48" s="109">
        <f>0.5*22</f>
        <v>11</v>
      </c>
      <c r="Q48" s="39">
        <f t="shared" si="30"/>
        <v>2.6132678276745125</v>
      </c>
      <c r="R48" s="29">
        <f t="shared" si="30"/>
        <v>8.9261046635358454</v>
      </c>
      <c r="S48" s="29">
        <f t="shared" si="30"/>
        <v>18.886542316715605</v>
      </c>
      <c r="T48" s="29">
        <f t="shared" si="30"/>
        <v>4.4974121995450547E-2</v>
      </c>
      <c r="U48" s="29">
        <f t="shared" si="30"/>
        <v>0.63438828717204276</v>
      </c>
      <c r="V48" s="29">
        <f t="shared" si="30"/>
        <v>0.56460557558311808</v>
      </c>
      <c r="W48" s="29">
        <f t="shared" si="30"/>
        <v>3997.0899749886053</v>
      </c>
      <c r="X48" s="29">
        <f t="shared" si="30"/>
        <v>0.25535839146471218</v>
      </c>
      <c r="Y48" s="29">
        <f t="shared" si="30"/>
        <v>1.7942215200879825</v>
      </c>
    </row>
    <row r="49" spans="1:25" s="3" customFormat="1" x14ac:dyDescent="0.25">
      <c r="A49" s="27" t="s">
        <v>168</v>
      </c>
      <c r="B49" s="25">
        <v>2016</v>
      </c>
      <c r="C49" s="25">
        <v>235</v>
      </c>
      <c r="D49" s="25">
        <v>0.38</v>
      </c>
      <c r="E49" s="546">
        <f>VLOOKUP($A49,EFROGS!$A$1:$J$44,(IF($B49=2015,4,IF($B49=2016,5,IF($B49=2017,6,IF($B49=2018,7,IF($B49=2019,8,IF($B49=2020,9,0))))))),FALSE)</f>
        <v>0.10888615948643803</v>
      </c>
      <c r="F49" s="546">
        <f>VLOOKUP($A49,EFCOS!$A$1:$J$44,(IF($B49=2015,4,IF($B49=2016,5,IF($B49=2017,6,IF($B49=2018,7,IF($B49=2019,8,IF($B49=2020,9,0))))))),FALSE)</f>
        <v>0.37192102764732693</v>
      </c>
      <c r="G49" s="546">
        <f>VLOOKUP($A49,EFNOXS!$A$1:$J$44,(IF($B49=2015,4,IF($B49=2016,5,IF($B49=2017,6,IF($B49=2018,7,IF($B49=2019,8,IF($B49=2020,9,0))))))),FALSE)</f>
        <v>0.78693926319648355</v>
      </c>
      <c r="H49" s="546">
        <f>VLOOKUP($A49,EFSOXS!$A$1:$J$44,(IF($B49=2015,4,IF($B49=2016,5,IF($B49=2017,6,IF($B49=2018,7,IF($B49=2019,8,IF($B49=2020,9,0))))))),FALSE)</f>
        <v>1.8739217498104396E-3</v>
      </c>
      <c r="I49" s="546">
        <f>VLOOKUP($A49,EFPMS!$A$1:$J$44,(IF($B49=2015,4,IF($B49=2016,5,IF($B49=2017,6,IF($B49=2018,7,IF($B49=2019,8,IF($B49=2020,9,0))))))),FALSE)</f>
        <v>2.6432845298835113E-2</v>
      </c>
      <c r="J49" s="536">
        <f t="shared" si="28"/>
        <v>2.3525232315963252E-2</v>
      </c>
      <c r="K49" s="549">
        <f>VLOOKUP($A49,EFCO2S!$A$1:$J$44,(IF($B49=2015,4,IF($B49=2016,5,IF($B49=2017,6,IF($B49=2018,7,IF($B49=2019,8,IF($B49=2020,9,0))))))),FALSE)</f>
        <v>166.54541562452522</v>
      </c>
      <c r="L49" s="546">
        <f>VLOOKUP($A49,EFCH4S!$A$1:$J$44,(IF($B49=2015,4,IF($B49=2016,5,IF($B49=2017,6,IF($B49=2018,7,IF($B49=2019,8,IF($B49=2020,9,0))))))),FALSE)</f>
        <v>1.063993297769634E-2</v>
      </c>
      <c r="M49" s="540">
        <f t="shared" si="29"/>
        <v>7.4759230003665939E-2</v>
      </c>
      <c r="N49" s="108">
        <v>1</v>
      </c>
      <c r="O49" s="108">
        <v>24</v>
      </c>
      <c r="P49" s="109">
        <f>1*22</f>
        <v>22</v>
      </c>
      <c r="Q49" s="39">
        <f t="shared" si="30"/>
        <v>2.6132678276745125</v>
      </c>
      <c r="R49" s="29">
        <f t="shared" si="30"/>
        <v>8.9261046635358454</v>
      </c>
      <c r="S49" s="29">
        <f t="shared" si="30"/>
        <v>18.886542316715605</v>
      </c>
      <c r="T49" s="29">
        <f t="shared" si="30"/>
        <v>4.4974121995450547E-2</v>
      </c>
      <c r="U49" s="29">
        <f t="shared" si="30"/>
        <v>0.63438828717204276</v>
      </c>
      <c r="V49" s="29">
        <f t="shared" si="30"/>
        <v>0.56460557558311808</v>
      </c>
      <c r="W49" s="29">
        <f t="shared" si="30"/>
        <v>3997.0899749886053</v>
      </c>
      <c r="X49" s="29">
        <f t="shared" si="30"/>
        <v>0.25535839146471218</v>
      </c>
      <c r="Y49" s="29">
        <f t="shared" si="30"/>
        <v>1.7942215200879825</v>
      </c>
    </row>
    <row r="50" spans="1:25" s="3" customFormat="1" x14ac:dyDescent="0.25">
      <c r="A50" s="19" t="s">
        <v>38</v>
      </c>
      <c r="B50" s="115"/>
      <c r="C50" s="25"/>
      <c r="D50" s="20"/>
      <c r="E50" s="21"/>
      <c r="F50" s="21"/>
      <c r="G50" s="21"/>
      <c r="H50" s="21"/>
      <c r="I50" s="21"/>
      <c r="J50" s="21"/>
      <c r="K50" s="21"/>
      <c r="L50" s="21"/>
      <c r="M50" s="114"/>
      <c r="N50" s="143"/>
      <c r="O50" s="143"/>
      <c r="P50" s="144"/>
      <c r="Q50" s="138">
        <f t="shared" ref="Q50:Y50" si="31">SUM(Q41:Q49)</f>
        <v>10.83132371934105</v>
      </c>
      <c r="R50" s="138">
        <f t="shared" si="31"/>
        <v>38.967104217055642</v>
      </c>
      <c r="S50" s="138">
        <f t="shared" si="31"/>
        <v>80.55942821864744</v>
      </c>
      <c r="T50" s="138">
        <f t="shared" si="31"/>
        <v>0.18321024446594669</v>
      </c>
      <c r="U50" s="138">
        <f t="shared" si="31"/>
        <v>2.8871210091613166</v>
      </c>
      <c r="V50" s="138">
        <f t="shared" si="31"/>
        <v>2.5695376981535727</v>
      </c>
      <c r="W50" s="138">
        <f t="shared" si="31"/>
        <v>16440.884017371081</v>
      </c>
      <c r="X50" s="138">
        <f t="shared" si="31"/>
        <v>1.0598056404919158</v>
      </c>
      <c r="Y50" s="138">
        <f t="shared" si="31"/>
        <v>7.653145680771507</v>
      </c>
    </row>
    <row r="51" spans="1:25" s="3" customFormat="1" x14ac:dyDescent="0.25">
      <c r="A51" s="27"/>
      <c r="B51" s="115"/>
      <c r="C51" s="25"/>
      <c r="D51" s="20"/>
      <c r="E51" s="21"/>
      <c r="F51" s="21"/>
      <c r="G51" s="21"/>
      <c r="H51" s="21"/>
      <c r="I51" s="21"/>
      <c r="J51" s="21"/>
      <c r="K51" s="21"/>
      <c r="L51" s="21"/>
      <c r="M51" s="114"/>
      <c r="N51" s="143"/>
      <c r="O51" s="143"/>
      <c r="P51" s="144"/>
      <c r="Q51" s="138"/>
      <c r="R51" s="31"/>
      <c r="S51" s="31"/>
      <c r="T51" s="31"/>
      <c r="U51" s="31"/>
      <c r="V51" s="31"/>
      <c r="W51" s="33"/>
      <c r="X51" s="31"/>
      <c r="Y51" s="31"/>
    </row>
    <row r="52" spans="1:25" s="3" customFormat="1" x14ac:dyDescent="0.25">
      <c r="A52" s="19" t="s">
        <v>212</v>
      </c>
      <c r="B52" s="25">
        <v>2017</v>
      </c>
      <c r="C52" s="25"/>
      <c r="D52" s="20"/>
      <c r="E52" s="21"/>
      <c r="F52" s="21"/>
      <c r="G52" s="21"/>
      <c r="H52" s="21"/>
      <c r="I52" s="21"/>
      <c r="J52" s="21"/>
      <c r="K52" s="21"/>
      <c r="L52" s="21"/>
      <c r="M52" s="114"/>
      <c r="N52" s="143"/>
      <c r="O52" s="143"/>
      <c r="P52" s="144"/>
      <c r="Q52" s="138"/>
      <c r="R52" s="31"/>
      <c r="S52" s="31"/>
      <c r="T52" s="31"/>
      <c r="U52" s="31"/>
      <c r="V52" s="31"/>
      <c r="W52" s="33"/>
      <c r="X52" s="31"/>
      <c r="Y52" s="31"/>
    </row>
    <row r="53" spans="1:25" s="3" customFormat="1" x14ac:dyDescent="0.25">
      <c r="A53" s="27" t="s">
        <v>213</v>
      </c>
      <c r="B53" s="25">
        <v>2017</v>
      </c>
      <c r="C53" s="25">
        <v>175</v>
      </c>
      <c r="D53" s="25">
        <v>0.38</v>
      </c>
      <c r="E53" s="546">
        <f>VLOOKUP($A53,EFROGS!$A$1:$J$44,(IF($B53=2015,4,IF($B53=2016,5,IF($B53=2017,6,IF($B53=2018,7,IF($B53=2019,8,IF($B53=2020,9,0))))))),FALSE)</f>
        <v>9.2806998677456537E-2</v>
      </c>
      <c r="F53" s="546">
        <f>VLOOKUP($A53,EFCOS!$A$1:$J$44,(IF($B53=2015,4,IF($B53=2016,5,IF($B53=2017,6,IF($B53=2018,7,IF($B53=2019,8,IF($B53=2020,9,0))))))),FALSE)</f>
        <v>0.35317864819658679</v>
      </c>
      <c r="G53" s="546">
        <f>VLOOKUP($A53,EFNOXS!$A$1:$J$44,(IF($B53=2015,4,IF($B53=2016,5,IF($B53=2017,6,IF($B53=2018,7,IF($B53=2019,8,IF($B53=2020,9,0))))))),FALSE)</f>
        <v>0.61881284265398218</v>
      </c>
      <c r="H53" s="546">
        <f>VLOOKUP($A53,EFSOXS!$A$1:$J$44,(IF($B53=2015,4,IF($B53=2016,5,IF($B53=2017,6,IF($B53=2018,7,IF($B53=2019,8,IF($B53=2020,9,0))))))),FALSE)</f>
        <v>1.8739208211501423E-3</v>
      </c>
      <c r="I53" s="546">
        <f>VLOOKUP($A53,EFPMS!$A$1:$J$44,(IF($B53=2015,4,IF($B53=2016,5,IF($B53=2017,6,IF($B53=2018,7,IF($B53=2019,8,IF($B53=2020,9,0))))))),FALSE)</f>
        <v>2.0951407107446925E-2</v>
      </c>
      <c r="J53" s="536">
        <f t="shared" ref="J53" si="32">0.89*I53</f>
        <v>1.8646752325627763E-2</v>
      </c>
      <c r="K53" s="549">
        <f>VLOOKUP($A53,EFCO2S!$A$1:$J$44,(IF($B53=2015,4,IF($B53=2016,5,IF($B53=2017,6,IF($B53=2018,7,IF($B53=2019,8,IF($B53=2020,9,0))))))),FALSE)</f>
        <v>166.54536773790227</v>
      </c>
      <c r="L53" s="546">
        <f>VLOOKUP($A53,EFCH4S!$A$1:$J$44,(IF($B53=2015,4,IF($B53=2016,5,IF($B53=2017,6,IF($B53=2018,7,IF($B53=2019,8,IF($B53=2020,9,0))))))),FALSE)</f>
        <v>1.0004303079381925E-2</v>
      </c>
      <c r="M53" s="540">
        <f t="shared" ref="M53" si="33">0.095*G53</f>
        <v>5.878722005212831E-2</v>
      </c>
      <c r="N53" s="108">
        <v>2</v>
      </c>
      <c r="O53" s="108">
        <v>1</v>
      </c>
      <c r="P53" s="109">
        <f>6*22</f>
        <v>132</v>
      </c>
      <c r="Q53" s="39">
        <f t="shared" ref="Q53" si="34">(E53*$N53*$O53)</f>
        <v>0.18561399735491307</v>
      </c>
      <c r="R53" s="29">
        <f t="shared" ref="R53" si="35">(F53*$N53*$O53)</f>
        <v>0.70635729639317357</v>
      </c>
      <c r="S53" s="29">
        <f t="shared" ref="S53" si="36">(G53*$N53*$O53)</f>
        <v>1.2376256853079644</v>
      </c>
      <c r="T53" s="29">
        <f t="shared" ref="T53" si="37">(H53*$N53*$O53)</f>
        <v>3.7478416423002846E-3</v>
      </c>
      <c r="U53" s="29">
        <f t="shared" ref="U53" si="38">(I53*$N53*$O53)</f>
        <v>4.1902814214893849E-2</v>
      </c>
      <c r="V53" s="29">
        <f t="shared" ref="V53" si="39">(J53*$N53*$O53)</f>
        <v>3.7293504651255527E-2</v>
      </c>
      <c r="W53" s="29">
        <f t="shared" ref="W53" si="40">(K53*$N53*$O53)</f>
        <v>333.09073547580454</v>
      </c>
      <c r="X53" s="29">
        <f t="shared" ref="X53" si="41">(L53*$N53*$O53)</f>
        <v>2.0008606158763851E-2</v>
      </c>
      <c r="Y53" s="29">
        <f t="shared" ref="Y53" si="42">(M53*$N53*$O53)</f>
        <v>0.11757444010425662</v>
      </c>
    </row>
    <row r="54" spans="1:25" s="3" customFormat="1" x14ac:dyDescent="0.25">
      <c r="A54" s="19" t="s">
        <v>38</v>
      </c>
      <c r="B54" s="115"/>
      <c r="C54" s="25"/>
      <c r="D54" s="25"/>
      <c r="E54" s="21"/>
      <c r="F54" s="21"/>
      <c r="G54" s="21"/>
      <c r="H54" s="21"/>
      <c r="I54" s="21"/>
      <c r="J54" s="21"/>
      <c r="K54" s="21"/>
      <c r="L54" s="21"/>
      <c r="M54" s="114"/>
      <c r="N54" s="143"/>
      <c r="O54" s="143"/>
      <c r="P54" s="144"/>
      <c r="Q54" s="138">
        <f t="shared" ref="Q54:Y54" si="43">SUM(Q53)</f>
        <v>0.18561399735491307</v>
      </c>
      <c r="R54" s="31">
        <f t="shared" si="43"/>
        <v>0.70635729639317357</v>
      </c>
      <c r="S54" s="31">
        <f t="shared" si="43"/>
        <v>1.2376256853079644</v>
      </c>
      <c r="T54" s="31">
        <f t="shared" si="43"/>
        <v>3.7478416423002846E-3</v>
      </c>
      <c r="U54" s="31">
        <f t="shared" si="43"/>
        <v>4.1902814214893849E-2</v>
      </c>
      <c r="V54" s="31">
        <f t="shared" si="43"/>
        <v>3.7293504651255527E-2</v>
      </c>
      <c r="W54" s="33">
        <f t="shared" si="43"/>
        <v>333.09073547580454</v>
      </c>
      <c r="X54" s="31">
        <f t="shared" si="43"/>
        <v>2.0008606158763851E-2</v>
      </c>
      <c r="Y54" s="31">
        <f t="shared" si="43"/>
        <v>0.11757444010425662</v>
      </c>
    </row>
    <row r="55" spans="1:25" s="3" customFormat="1" x14ac:dyDescent="0.25">
      <c r="A55" s="27"/>
      <c r="B55" s="115"/>
      <c r="C55" s="25"/>
      <c r="D55" s="25"/>
      <c r="E55" s="21"/>
      <c r="F55" s="21"/>
      <c r="G55" s="21"/>
      <c r="H55" s="21"/>
      <c r="I55" s="21"/>
      <c r="J55" s="21"/>
      <c r="K55" s="21"/>
      <c r="L55" s="21"/>
      <c r="M55" s="114"/>
      <c r="N55" s="143"/>
      <c r="O55" s="143"/>
      <c r="P55" s="144"/>
      <c r="Q55" s="138"/>
      <c r="R55" s="31"/>
      <c r="S55" s="31"/>
      <c r="T55" s="31"/>
      <c r="U55" s="31"/>
      <c r="V55" s="31"/>
      <c r="W55" s="33"/>
      <c r="X55" s="31"/>
      <c r="Y55" s="31"/>
    </row>
    <row r="56" spans="1:25" s="3" customFormat="1" x14ac:dyDescent="0.25">
      <c r="A56" s="19" t="s">
        <v>214</v>
      </c>
      <c r="B56" s="25">
        <v>2017</v>
      </c>
      <c r="C56" s="25"/>
      <c r="D56" s="25"/>
      <c r="E56" s="21"/>
      <c r="F56" s="21"/>
      <c r="G56" s="21"/>
      <c r="H56" s="21"/>
      <c r="I56" s="21"/>
      <c r="J56" s="21"/>
      <c r="K56" s="21"/>
      <c r="L56" s="21"/>
      <c r="M56" s="114"/>
      <c r="N56" s="143"/>
      <c r="O56" s="143"/>
      <c r="P56" s="144"/>
      <c r="Q56" s="138"/>
      <c r="R56" s="31"/>
      <c r="S56" s="31"/>
      <c r="T56" s="31"/>
      <c r="U56" s="31"/>
      <c r="V56" s="31"/>
      <c r="W56" s="33"/>
      <c r="X56" s="31"/>
      <c r="Y56" s="31"/>
    </row>
    <row r="57" spans="1:25" s="3" customFormat="1" x14ac:dyDescent="0.25">
      <c r="A57" s="27" t="s">
        <v>213</v>
      </c>
      <c r="B57" s="25">
        <v>2017</v>
      </c>
      <c r="C57" s="25">
        <v>175</v>
      </c>
      <c r="D57" s="25">
        <v>0.38</v>
      </c>
      <c r="E57" s="546">
        <f>VLOOKUP($A57,EFROGS!$A$1:$J$44,(IF($B57=2015,4,IF($B57=2016,5,IF($B57=2017,6,IF($B57=2018,7,IF($B57=2019,8,IF($B57=2020,9,0))))))),FALSE)</f>
        <v>9.2806998677456537E-2</v>
      </c>
      <c r="F57" s="546">
        <f>VLOOKUP($A57,EFCOS!$A$1:$J$44,(IF($B57=2015,4,IF($B57=2016,5,IF($B57=2017,6,IF($B57=2018,7,IF($B57=2019,8,IF($B57=2020,9,0))))))),FALSE)</f>
        <v>0.35317864819658679</v>
      </c>
      <c r="G57" s="546">
        <f>VLOOKUP($A57,EFNOXS!$A$1:$J$44,(IF($B57=2015,4,IF($B57=2016,5,IF($B57=2017,6,IF($B57=2018,7,IF($B57=2019,8,IF($B57=2020,9,0))))))),FALSE)</f>
        <v>0.61881284265398218</v>
      </c>
      <c r="H57" s="546">
        <f>VLOOKUP($A57,EFSOXS!$A$1:$J$44,(IF($B57=2015,4,IF($B57=2016,5,IF($B57=2017,6,IF($B57=2018,7,IF($B57=2019,8,IF($B57=2020,9,0))))))),FALSE)</f>
        <v>1.8739208211501423E-3</v>
      </c>
      <c r="I57" s="546">
        <f>VLOOKUP($A57,EFPMS!$A$1:$J$44,(IF($B57=2015,4,IF($B57=2016,5,IF($B57=2017,6,IF($B57=2018,7,IF($B57=2019,8,IF($B57=2020,9,0))))))),FALSE)</f>
        <v>2.0951407107446925E-2</v>
      </c>
      <c r="J57" s="536">
        <f t="shared" ref="J57:J58" si="44">0.89*I57</f>
        <v>1.8646752325627763E-2</v>
      </c>
      <c r="K57" s="549">
        <f>VLOOKUP($A57,EFCO2S!$A$1:$J$44,(IF($B57=2015,4,IF($B57=2016,5,IF($B57=2017,6,IF($B57=2018,7,IF($B57=2019,8,IF($B57=2020,9,0))))))),FALSE)</f>
        <v>166.54536773790227</v>
      </c>
      <c r="L57" s="546">
        <f>VLOOKUP($A57,EFCH4S!$A$1:$J$44,(IF($B57=2015,4,IF($B57=2016,5,IF($B57=2017,6,IF($B57=2018,7,IF($B57=2019,8,IF($B57=2020,9,0))))))),FALSE)</f>
        <v>1.0004303079381925E-2</v>
      </c>
      <c r="M57" s="540">
        <f t="shared" ref="M57:M58" si="45">0.095*G57</f>
        <v>5.878722005212831E-2</v>
      </c>
      <c r="N57" s="108">
        <v>2</v>
      </c>
      <c r="O57" s="108">
        <v>1</v>
      </c>
      <c r="P57" s="109">
        <v>22</v>
      </c>
      <c r="Q57" s="39">
        <f t="shared" ref="Q57:Q58" si="46">(E57*$N57*$O57)</f>
        <v>0.18561399735491307</v>
      </c>
      <c r="R57" s="29">
        <f t="shared" ref="R57:R58" si="47">(F57*$N57*$O57)</f>
        <v>0.70635729639317357</v>
      </c>
      <c r="S57" s="29">
        <f t="shared" ref="S57:S58" si="48">(G57*$N57*$O57)</f>
        <v>1.2376256853079644</v>
      </c>
      <c r="T57" s="29">
        <f t="shared" ref="T57:T58" si="49">(H57*$N57*$O57)</f>
        <v>3.7478416423002846E-3</v>
      </c>
      <c r="U57" s="29">
        <f t="shared" ref="U57:U58" si="50">(I57*$N57*$O57)</f>
        <v>4.1902814214893849E-2</v>
      </c>
      <c r="V57" s="29">
        <f t="shared" ref="V57:V58" si="51">(J57*$N57*$O57)</f>
        <v>3.7293504651255527E-2</v>
      </c>
      <c r="W57" s="29">
        <f t="shared" ref="W57:W58" si="52">(K57*$N57*$O57)</f>
        <v>333.09073547580454</v>
      </c>
      <c r="X57" s="29">
        <f t="shared" ref="X57:X58" si="53">(L57*$N57*$O57)</f>
        <v>2.0008606158763851E-2</v>
      </c>
      <c r="Y57" s="29">
        <f t="shared" ref="Y57:Y58" si="54">(M57*$N57*$O57)</f>
        <v>0.11757444010425662</v>
      </c>
    </row>
    <row r="58" spans="1:25" s="3" customFormat="1" x14ac:dyDescent="0.25">
      <c r="A58" s="27" t="s">
        <v>203</v>
      </c>
      <c r="B58" s="25">
        <v>2017</v>
      </c>
      <c r="C58" s="25">
        <v>235</v>
      </c>
      <c r="D58" s="25">
        <v>0.38</v>
      </c>
      <c r="E58" s="546">
        <f>VLOOKUP($A58,EFROGS!$A$1:$J$44,(IF($B58=2015,4,IF($B58=2016,5,IF($B58=2017,6,IF($B58=2018,7,IF($B58=2019,8,IF($B58=2020,9,0))))))),FALSE)</f>
        <v>9.2806998677456537E-2</v>
      </c>
      <c r="F58" s="546">
        <f>VLOOKUP($A58,EFCOS!$A$1:$J$44,(IF($B58=2015,4,IF($B58=2016,5,IF($B58=2017,6,IF($B58=2018,7,IF($B58=2019,8,IF($B58=2020,9,0))))))),FALSE)</f>
        <v>0.35317864819658679</v>
      </c>
      <c r="G58" s="546">
        <f>VLOOKUP($A58,EFNOXS!$A$1:$J$44,(IF($B58=2015,4,IF($B58=2016,5,IF($B58=2017,6,IF($B58=2018,7,IF($B58=2019,8,IF($B58=2020,9,0))))))),FALSE)</f>
        <v>0.61881284265398218</v>
      </c>
      <c r="H58" s="546">
        <f>VLOOKUP($A58,EFSOXS!$A$1:$J$44,(IF($B58=2015,4,IF($B58=2016,5,IF($B58=2017,6,IF($B58=2018,7,IF($B58=2019,8,IF($B58=2020,9,0))))))),FALSE)</f>
        <v>1.8739208211501423E-3</v>
      </c>
      <c r="I58" s="546">
        <f>VLOOKUP($A58,EFPMS!$A$1:$J$44,(IF($B58=2015,4,IF($B58=2016,5,IF($B58=2017,6,IF($B58=2018,7,IF($B58=2019,8,IF($B58=2020,9,0))))))),FALSE)</f>
        <v>2.0951407107446925E-2</v>
      </c>
      <c r="J58" s="536">
        <f t="shared" si="44"/>
        <v>1.8646752325627763E-2</v>
      </c>
      <c r="K58" s="549">
        <f>VLOOKUP($A58,EFCO2S!$A$1:$J$44,(IF($B58=2015,4,IF($B58=2016,5,IF($B58=2017,6,IF($B58=2018,7,IF($B58=2019,8,IF($B58=2020,9,0))))))),FALSE)</f>
        <v>166.54536773790227</v>
      </c>
      <c r="L58" s="546">
        <f>VLOOKUP($A58,EFCH4S!$A$1:$J$44,(IF($B58=2015,4,IF($B58=2016,5,IF($B58=2017,6,IF($B58=2018,7,IF($B58=2019,8,IF($B58=2020,9,0))))))),FALSE)</f>
        <v>1.0004303079381925E-2</v>
      </c>
      <c r="M58" s="540">
        <f t="shared" si="45"/>
        <v>5.878722005212831E-2</v>
      </c>
      <c r="N58" s="108">
        <v>2</v>
      </c>
      <c r="O58" s="108">
        <v>1</v>
      </c>
      <c r="P58" s="109">
        <v>22</v>
      </c>
      <c r="Q58" s="39">
        <f t="shared" si="46"/>
        <v>0.18561399735491307</v>
      </c>
      <c r="R58" s="29">
        <f t="shared" si="47"/>
        <v>0.70635729639317357</v>
      </c>
      <c r="S58" s="29">
        <f t="shared" si="48"/>
        <v>1.2376256853079644</v>
      </c>
      <c r="T58" s="29">
        <f t="shared" si="49"/>
        <v>3.7478416423002846E-3</v>
      </c>
      <c r="U58" s="29">
        <f t="shared" si="50"/>
        <v>4.1902814214893849E-2</v>
      </c>
      <c r="V58" s="29">
        <f t="shared" si="51"/>
        <v>3.7293504651255527E-2</v>
      </c>
      <c r="W58" s="29">
        <f t="shared" si="52"/>
        <v>333.09073547580454</v>
      </c>
      <c r="X58" s="29">
        <f t="shared" si="53"/>
        <v>2.0008606158763851E-2</v>
      </c>
      <c r="Y58" s="29">
        <f t="shared" si="54"/>
        <v>0.11757444010425662</v>
      </c>
    </row>
    <row r="59" spans="1:25" s="3" customFormat="1" x14ac:dyDescent="0.25">
      <c r="A59" s="19" t="s">
        <v>38</v>
      </c>
      <c r="B59" s="115"/>
      <c r="C59" s="25"/>
      <c r="D59" s="25"/>
      <c r="E59" s="21"/>
      <c r="F59" s="21"/>
      <c r="G59" s="21"/>
      <c r="H59" s="21"/>
      <c r="I59" s="21"/>
      <c r="J59" s="21"/>
      <c r="K59" s="21"/>
      <c r="L59" s="21"/>
      <c r="M59" s="114"/>
      <c r="N59" s="143"/>
      <c r="O59" s="143"/>
      <c r="P59" s="144"/>
      <c r="Q59" s="138">
        <f t="shared" ref="Q59:Y59" si="55">SUM(Q57:Q58)</f>
        <v>0.37122799470982615</v>
      </c>
      <c r="R59" s="31">
        <f t="shared" si="55"/>
        <v>1.4127145927863471</v>
      </c>
      <c r="S59" s="31">
        <f t="shared" si="55"/>
        <v>2.4752513706159287</v>
      </c>
      <c r="T59" s="31">
        <f t="shared" si="55"/>
        <v>7.4956832846005692E-3</v>
      </c>
      <c r="U59" s="31">
        <f t="shared" si="55"/>
        <v>8.3805628429787699E-2</v>
      </c>
      <c r="V59" s="31">
        <f t="shared" si="55"/>
        <v>7.4587009302511054E-2</v>
      </c>
      <c r="W59" s="33">
        <f t="shared" si="55"/>
        <v>666.18147095160907</v>
      </c>
      <c r="X59" s="31">
        <f t="shared" si="55"/>
        <v>4.0017212317527702E-2</v>
      </c>
      <c r="Y59" s="31">
        <f t="shared" si="55"/>
        <v>0.23514888020851324</v>
      </c>
    </row>
    <row r="60" spans="1:25" s="3" customFormat="1" x14ac:dyDescent="0.25">
      <c r="A60" s="27"/>
      <c r="B60" s="115"/>
      <c r="C60" s="25"/>
      <c r="D60" s="25"/>
      <c r="E60" s="21"/>
      <c r="F60" s="21"/>
      <c r="G60" s="21"/>
      <c r="H60" s="21"/>
      <c r="I60" s="21"/>
      <c r="J60" s="21"/>
      <c r="K60" s="21"/>
      <c r="L60" s="21"/>
      <c r="M60" s="114"/>
      <c r="N60" s="143"/>
      <c r="O60" s="143"/>
      <c r="P60" s="144"/>
      <c r="Q60" s="138"/>
      <c r="R60" s="31"/>
      <c r="S60" s="31"/>
      <c r="T60" s="31"/>
      <c r="U60" s="31"/>
      <c r="V60" s="31"/>
      <c r="W60" s="33"/>
      <c r="X60" s="31"/>
      <c r="Y60" s="31"/>
    </row>
    <row r="61" spans="1:25" s="3" customFormat="1" x14ac:dyDescent="0.25">
      <c r="A61" s="19" t="s">
        <v>215</v>
      </c>
      <c r="B61" s="25">
        <v>2017</v>
      </c>
      <c r="C61" s="25"/>
      <c r="D61" s="25"/>
      <c r="E61" s="21"/>
      <c r="F61" s="21"/>
      <c r="G61" s="21"/>
      <c r="H61" s="21"/>
      <c r="I61" s="21"/>
      <c r="J61" s="21"/>
      <c r="K61" s="21"/>
      <c r="L61" s="21"/>
      <c r="M61" s="114"/>
      <c r="N61" s="143"/>
      <c r="O61" s="143"/>
      <c r="P61" s="144"/>
      <c r="Q61" s="138"/>
      <c r="R61" s="31"/>
      <c r="S61" s="31"/>
      <c r="T61" s="31"/>
      <c r="U61" s="31"/>
      <c r="V61" s="31"/>
      <c r="W61" s="33"/>
      <c r="X61" s="31"/>
      <c r="Y61" s="31"/>
    </row>
    <row r="62" spans="1:25" s="3" customFormat="1" x14ac:dyDescent="0.25">
      <c r="A62" s="27" t="s">
        <v>213</v>
      </c>
      <c r="B62" s="25">
        <v>2017</v>
      </c>
      <c r="C62" s="25">
        <v>175</v>
      </c>
      <c r="D62" s="25">
        <v>0.38</v>
      </c>
      <c r="E62" s="546">
        <f>VLOOKUP($A62,EFROGS!$A$1:$J$44,(IF($B62=2015,4,IF($B62=2016,5,IF($B62=2017,6,IF($B62=2018,7,IF($B62=2019,8,IF($B62=2020,9,0))))))),FALSE)</f>
        <v>9.2806998677456537E-2</v>
      </c>
      <c r="F62" s="546">
        <f>VLOOKUP($A62,EFCOS!$A$1:$J$44,(IF($B62=2015,4,IF($B62=2016,5,IF($B62=2017,6,IF($B62=2018,7,IF($B62=2019,8,IF($B62=2020,9,0))))))),FALSE)</f>
        <v>0.35317864819658679</v>
      </c>
      <c r="G62" s="546">
        <f>VLOOKUP($A62,EFNOXS!$A$1:$J$44,(IF($B62=2015,4,IF($B62=2016,5,IF($B62=2017,6,IF($B62=2018,7,IF($B62=2019,8,IF($B62=2020,9,0))))))),FALSE)</f>
        <v>0.61881284265398218</v>
      </c>
      <c r="H62" s="546">
        <f>VLOOKUP($A62,EFSOXS!$A$1:$J$44,(IF($B62=2015,4,IF($B62=2016,5,IF($B62=2017,6,IF($B62=2018,7,IF($B62=2019,8,IF($B62=2020,9,0))))))),FALSE)</f>
        <v>1.8739208211501423E-3</v>
      </c>
      <c r="I62" s="546">
        <f>VLOOKUP($A62,EFPMS!$A$1:$J$44,(IF($B62=2015,4,IF($B62=2016,5,IF($B62=2017,6,IF($B62=2018,7,IF($B62=2019,8,IF($B62=2020,9,0))))))),FALSE)</f>
        <v>2.0951407107446925E-2</v>
      </c>
      <c r="J62" s="536">
        <f t="shared" ref="J62:J64" si="56">0.89*I62</f>
        <v>1.8646752325627763E-2</v>
      </c>
      <c r="K62" s="549">
        <f>VLOOKUP($A62,EFCO2S!$A$1:$J$44,(IF($B62=2015,4,IF($B62=2016,5,IF($B62=2017,6,IF($B62=2018,7,IF($B62=2019,8,IF($B62=2020,9,0))))))),FALSE)</f>
        <v>166.54536773790227</v>
      </c>
      <c r="L62" s="546">
        <f>VLOOKUP($A62,EFCH4S!$A$1:$J$44,(IF($B62=2015,4,IF($B62=2016,5,IF($B62=2017,6,IF($B62=2018,7,IF($B62=2019,8,IF($B62=2020,9,0))))))),FALSE)</f>
        <v>1.0004303079381925E-2</v>
      </c>
      <c r="M62" s="540">
        <f t="shared" ref="M62:M64" si="57">0.095*G62</f>
        <v>5.878722005212831E-2</v>
      </c>
      <c r="N62" s="108">
        <v>2</v>
      </c>
      <c r="O62" s="108">
        <v>1</v>
      </c>
      <c r="P62" s="109">
        <v>22</v>
      </c>
      <c r="Q62" s="39">
        <f t="shared" ref="Q62:Q63" si="58">(E62*$N62*$O62)</f>
        <v>0.18561399735491307</v>
      </c>
      <c r="R62" s="29">
        <f t="shared" ref="R62:R63" si="59">(F62*$N62*$O62)</f>
        <v>0.70635729639317357</v>
      </c>
      <c r="S62" s="29">
        <f t="shared" ref="S62:S63" si="60">(G62*$N62*$O62)</f>
        <v>1.2376256853079644</v>
      </c>
      <c r="T62" s="29">
        <f t="shared" ref="T62:T63" si="61">(H62*$N62*$O62)</f>
        <v>3.7478416423002846E-3</v>
      </c>
      <c r="U62" s="29">
        <f t="shared" ref="U62:U63" si="62">(I62*$N62*$O62)</f>
        <v>4.1902814214893849E-2</v>
      </c>
      <c r="V62" s="29">
        <f t="shared" ref="V62:V63" si="63">(J62*$N62*$O62)</f>
        <v>3.7293504651255527E-2</v>
      </c>
      <c r="W62" s="29">
        <f t="shared" ref="W62:W63" si="64">(K62*$N62*$O62)</f>
        <v>333.09073547580454</v>
      </c>
      <c r="X62" s="29">
        <f t="shared" ref="X62:X63" si="65">(L62*$N62*$O62)</f>
        <v>2.0008606158763851E-2</v>
      </c>
      <c r="Y62" s="29">
        <f t="shared" ref="Y62:Y63" si="66">(M62*$N62*$O62)</f>
        <v>0.11757444010425662</v>
      </c>
    </row>
    <row r="63" spans="1:25" s="3" customFormat="1" x14ac:dyDescent="0.25">
      <c r="A63" s="27" t="s">
        <v>203</v>
      </c>
      <c r="B63" s="25">
        <v>2017</v>
      </c>
      <c r="C63" s="25">
        <v>235</v>
      </c>
      <c r="D63" s="25">
        <v>0.38</v>
      </c>
      <c r="E63" s="546">
        <f>VLOOKUP($A63,EFROGS!$A$1:$J$44,(IF($B63=2015,4,IF($B63=2016,5,IF($B63=2017,6,IF($B63=2018,7,IF($B63=2019,8,IF($B63=2020,9,0))))))),FALSE)</f>
        <v>9.2806998677456537E-2</v>
      </c>
      <c r="F63" s="546">
        <f>VLOOKUP($A63,EFCOS!$A$1:$J$44,(IF($B63=2015,4,IF($B63=2016,5,IF($B63=2017,6,IF($B63=2018,7,IF($B63=2019,8,IF($B63=2020,9,0))))))),FALSE)</f>
        <v>0.35317864819658679</v>
      </c>
      <c r="G63" s="546">
        <f>VLOOKUP($A63,EFNOXS!$A$1:$J$44,(IF($B63=2015,4,IF($B63=2016,5,IF($B63=2017,6,IF($B63=2018,7,IF($B63=2019,8,IF($B63=2020,9,0))))))),FALSE)</f>
        <v>0.61881284265398218</v>
      </c>
      <c r="H63" s="546">
        <f>VLOOKUP($A63,EFSOXS!$A$1:$J$44,(IF($B63=2015,4,IF($B63=2016,5,IF($B63=2017,6,IF($B63=2018,7,IF($B63=2019,8,IF($B63=2020,9,0))))))),FALSE)</f>
        <v>1.8739208211501423E-3</v>
      </c>
      <c r="I63" s="546">
        <f>VLOOKUP($A63,EFPMS!$A$1:$J$44,(IF($B63=2015,4,IF($B63=2016,5,IF($B63=2017,6,IF($B63=2018,7,IF($B63=2019,8,IF($B63=2020,9,0))))))),FALSE)</f>
        <v>2.0951407107446925E-2</v>
      </c>
      <c r="J63" s="536">
        <f t="shared" si="56"/>
        <v>1.8646752325627763E-2</v>
      </c>
      <c r="K63" s="549">
        <f>VLOOKUP($A63,EFCO2S!$A$1:$J$44,(IF($B63=2015,4,IF($B63=2016,5,IF($B63=2017,6,IF($B63=2018,7,IF($B63=2019,8,IF($B63=2020,9,0))))))),FALSE)</f>
        <v>166.54536773790227</v>
      </c>
      <c r="L63" s="546">
        <f>VLOOKUP($A63,EFCH4S!$A$1:$J$44,(IF($B63=2015,4,IF($B63=2016,5,IF($B63=2017,6,IF($B63=2018,7,IF($B63=2019,8,IF($B63=2020,9,0))))))),FALSE)</f>
        <v>1.0004303079381925E-2</v>
      </c>
      <c r="M63" s="540">
        <f t="shared" si="57"/>
        <v>5.878722005212831E-2</v>
      </c>
      <c r="N63" s="108">
        <v>2</v>
      </c>
      <c r="O63" s="108">
        <v>1</v>
      </c>
      <c r="P63" s="109">
        <v>22</v>
      </c>
      <c r="Q63" s="39">
        <f t="shared" si="58"/>
        <v>0.18561399735491307</v>
      </c>
      <c r="R63" s="29">
        <f t="shared" si="59"/>
        <v>0.70635729639317357</v>
      </c>
      <c r="S63" s="29">
        <f t="shared" si="60"/>
        <v>1.2376256853079644</v>
      </c>
      <c r="T63" s="29">
        <f t="shared" si="61"/>
        <v>3.7478416423002846E-3</v>
      </c>
      <c r="U63" s="29">
        <f t="shared" si="62"/>
        <v>4.1902814214893849E-2</v>
      </c>
      <c r="V63" s="29">
        <f t="shared" si="63"/>
        <v>3.7293504651255527E-2</v>
      </c>
      <c r="W63" s="29">
        <f t="shared" si="64"/>
        <v>333.09073547580454</v>
      </c>
      <c r="X63" s="29">
        <f t="shared" si="65"/>
        <v>2.0008606158763851E-2</v>
      </c>
      <c r="Y63" s="29">
        <f t="shared" si="66"/>
        <v>0.11757444010425662</v>
      </c>
    </row>
    <row r="64" spans="1:25" s="3" customFormat="1" x14ac:dyDescent="0.25">
      <c r="A64" s="27" t="s">
        <v>163</v>
      </c>
      <c r="B64" s="25">
        <v>2017</v>
      </c>
      <c r="C64" s="25">
        <v>75</v>
      </c>
      <c r="D64" s="25">
        <v>0.31</v>
      </c>
      <c r="E64" s="546">
        <f>VLOOKUP($A64,EFROGS!$A$1:$J$44,(IF($B64=2015,4,IF($B64=2016,5,IF($B64=2017,6,IF($B64=2018,7,IF($B64=2019,8,IF($B64=2020,9,0))))))),FALSE)</f>
        <v>3.0893954987389453E-2</v>
      </c>
      <c r="F64" s="546">
        <f>VLOOKUP($A64,EFCOS!$A$1:$J$44,(IF($B64=2015,4,IF($B64=2016,5,IF($B64=2017,6,IF($B64=2018,7,IF($B64=2019,8,IF($B64=2020,9,0))))))),FALSE)</f>
        <v>0.22482241351057566</v>
      </c>
      <c r="G64" s="546">
        <f>VLOOKUP($A64,EFNOXS!$A$1:$J$44,(IF($B64=2015,4,IF($B64=2016,5,IF($B64=2017,6,IF($B64=2018,7,IF($B64=2019,8,IF($B64=2020,9,0))))))),FALSE)</f>
        <v>0.22603586731633477</v>
      </c>
      <c r="H64" s="546">
        <f>VLOOKUP($A64,EFSOXS!$A$1:$J$44,(IF($B64=2015,4,IF($B64=2016,5,IF($B64=2017,6,IF($B64=2018,7,IF($B64=2019,8,IF($B64=2020,9,0))))))),FALSE)</f>
        <v>4.4660191069222039E-4</v>
      </c>
      <c r="I64" s="546">
        <f>VLOOKUP($A64,EFPMS!$A$1:$J$44,(IF($B64=2015,4,IF($B64=2016,5,IF($B64=2017,6,IF($B64=2018,7,IF($B64=2019,8,IF($B64=2020,9,0))))))),FALSE)</f>
        <v>1.5650220264446981E-2</v>
      </c>
      <c r="J64" s="536">
        <f t="shared" si="56"/>
        <v>1.3928696035357813E-2</v>
      </c>
      <c r="K64" s="549">
        <f>VLOOKUP($A64,EFCO2S!$A$1:$J$44,(IF($B64=2015,4,IF($B64=2016,5,IF($B64=2017,6,IF($B64=2018,7,IF($B64=2019,8,IF($B64=2020,9,0))))))),FALSE)</f>
        <v>38.071819829304054</v>
      </c>
      <c r="L64" s="546">
        <f>VLOOKUP($A64,EFCH4S!$A$1:$J$44,(IF($B64=2015,4,IF($B64=2016,5,IF($B64=2017,6,IF($B64=2018,7,IF($B64=2019,8,IF($B64=2020,9,0))))))),FALSE)</f>
        <v>3.3225215947608622E-3</v>
      </c>
      <c r="M64" s="540">
        <f t="shared" si="57"/>
        <v>2.1473407395051804E-2</v>
      </c>
      <c r="N64" s="109">
        <v>2</v>
      </c>
      <c r="O64" s="109">
        <v>8</v>
      </c>
      <c r="P64" s="109">
        <v>22</v>
      </c>
      <c r="Q64" s="39">
        <f t="shared" ref="Q64:Y64" si="67">(E64*$N64*$O64)</f>
        <v>0.49430327979823124</v>
      </c>
      <c r="R64" s="29">
        <f t="shared" si="67"/>
        <v>3.5971586161692106</v>
      </c>
      <c r="S64" s="29">
        <f t="shared" si="67"/>
        <v>3.6165738770613562</v>
      </c>
      <c r="T64" s="29">
        <f t="shared" si="67"/>
        <v>7.1456305710755263E-3</v>
      </c>
      <c r="U64" s="29">
        <f t="shared" si="67"/>
        <v>0.2504035242311517</v>
      </c>
      <c r="V64" s="29">
        <f t="shared" si="67"/>
        <v>0.22285913656572501</v>
      </c>
      <c r="W64" s="29">
        <f t="shared" si="67"/>
        <v>609.14911726886487</v>
      </c>
      <c r="X64" s="29">
        <f t="shared" si="67"/>
        <v>5.3160345516173796E-2</v>
      </c>
      <c r="Y64" s="29">
        <f t="shared" si="67"/>
        <v>0.34357451832082886</v>
      </c>
    </row>
    <row r="65" spans="1:32" s="3" customFormat="1" x14ac:dyDescent="0.25">
      <c r="A65" s="19" t="s">
        <v>38</v>
      </c>
      <c r="B65" s="115"/>
      <c r="C65" s="25"/>
      <c r="D65" s="20"/>
      <c r="E65" s="21"/>
      <c r="F65" s="21"/>
      <c r="G65" s="21"/>
      <c r="H65" s="21"/>
      <c r="I65" s="21"/>
      <c r="J65" s="21"/>
      <c r="K65" s="21"/>
      <c r="L65" s="21"/>
      <c r="M65" s="114"/>
      <c r="N65" s="12"/>
      <c r="O65" s="12"/>
      <c r="P65" s="12"/>
      <c r="Q65" s="138">
        <f t="shared" ref="Q65:Y65" si="68">SUM(Q62:Q64)</f>
        <v>0.86553127450805745</v>
      </c>
      <c r="R65" s="31">
        <f t="shared" si="68"/>
        <v>5.0098732089555575</v>
      </c>
      <c r="S65" s="31">
        <f t="shared" si="68"/>
        <v>6.0918252476772849</v>
      </c>
      <c r="T65" s="31">
        <f t="shared" si="68"/>
        <v>1.4641313855676096E-2</v>
      </c>
      <c r="U65" s="31">
        <f t="shared" si="68"/>
        <v>0.33420915266093942</v>
      </c>
      <c r="V65" s="31">
        <f t="shared" si="68"/>
        <v>0.29744614586823603</v>
      </c>
      <c r="W65" s="33">
        <f t="shared" si="68"/>
        <v>1275.3305882204741</v>
      </c>
      <c r="X65" s="31">
        <f t="shared" si="68"/>
        <v>9.3177557833701491E-2</v>
      </c>
      <c r="Y65" s="31">
        <f t="shared" si="68"/>
        <v>0.57872339852934207</v>
      </c>
    </row>
    <row r="66" spans="1:32" s="6" customFormat="1" x14ac:dyDescent="0.25">
      <c r="A66" s="125"/>
      <c r="B66" s="126"/>
      <c r="C66" s="127"/>
      <c r="D66" s="127"/>
      <c r="E66" s="131"/>
      <c r="F66" s="131"/>
      <c r="G66" s="131"/>
      <c r="H66" s="131"/>
      <c r="I66" s="131"/>
      <c r="J66" s="132"/>
      <c r="K66" s="133"/>
      <c r="L66" s="131"/>
      <c r="M66" s="128"/>
      <c r="N66" s="129"/>
      <c r="O66" s="129"/>
      <c r="P66" s="129"/>
      <c r="Q66" s="130"/>
      <c r="R66" s="130"/>
      <c r="S66" s="130"/>
      <c r="T66" s="130"/>
      <c r="U66" s="130"/>
      <c r="V66" s="130"/>
      <c r="W66" s="130"/>
      <c r="X66" s="130"/>
      <c r="Y66" s="130"/>
      <c r="AF66" s="7"/>
    </row>
    <row r="67" spans="1:32" s="6" customFormat="1" x14ac:dyDescent="0.25">
      <c r="A67"/>
      <c r="B67" s="1"/>
      <c r="C67" s="1"/>
      <c r="D67" s="1"/>
      <c r="E67" s="623" t="s">
        <v>2</v>
      </c>
      <c r="F67" s="623"/>
      <c r="G67" s="623"/>
      <c r="H67" s="623"/>
      <c r="I67" s="623"/>
      <c r="J67" s="623"/>
      <c r="K67" s="623"/>
      <c r="L67" s="623"/>
      <c r="M67"/>
      <c r="N67" s="3"/>
      <c r="O67"/>
      <c r="P67"/>
      <c r="Q67" s="4"/>
      <c r="R67" s="4"/>
      <c r="S67" s="4"/>
      <c r="T67" s="4"/>
      <c r="U67" s="4"/>
      <c r="V67" s="4"/>
      <c r="W67" s="5"/>
      <c r="X67" s="4"/>
      <c r="Y67" s="4"/>
      <c r="AF67" s="7"/>
    </row>
    <row r="68" spans="1:32" s="6" customFormat="1" ht="39.6" x14ac:dyDescent="0.25">
      <c r="A68" s="12" t="s">
        <v>131</v>
      </c>
      <c r="B68" s="13" t="s">
        <v>3</v>
      </c>
      <c r="C68" s="13" t="s">
        <v>4</v>
      </c>
      <c r="D68" s="1"/>
      <c r="E68" s="18" t="s">
        <v>27</v>
      </c>
      <c r="F68" s="18" t="s">
        <v>28</v>
      </c>
      <c r="G68" s="18" t="s">
        <v>29</v>
      </c>
      <c r="H68" s="18" t="s">
        <v>30</v>
      </c>
      <c r="I68" s="18" t="s">
        <v>31</v>
      </c>
      <c r="J68" s="18" t="s">
        <v>32</v>
      </c>
      <c r="K68" s="17" t="s">
        <v>33</v>
      </c>
      <c r="L68" s="18" t="s">
        <v>34</v>
      </c>
      <c r="M68" s="18" t="s">
        <v>35</v>
      </c>
      <c r="N68" s="3"/>
      <c r="O68"/>
      <c r="P68"/>
      <c r="Q68" s="4"/>
      <c r="R68" s="4"/>
      <c r="S68" s="4"/>
      <c r="T68" s="4"/>
      <c r="U68" s="4"/>
      <c r="V68" s="4"/>
      <c r="W68" s="5"/>
      <c r="X68" s="4"/>
      <c r="Y68" s="4"/>
      <c r="AF68" s="7"/>
    </row>
    <row r="69" spans="1:32" s="3" customFormat="1" x14ac:dyDescent="0.25">
      <c r="A69" s="12" t="str">
        <f t="shared" ref="A69:A76" si="69">A7</f>
        <v>Capistrano Substation Building Removal - Lower Yard</v>
      </c>
      <c r="B69" s="36"/>
      <c r="C69" s="20"/>
      <c r="D69" s="1"/>
      <c r="E69" s="30"/>
      <c r="F69" s="30"/>
      <c r="G69" s="30"/>
      <c r="H69" s="30"/>
      <c r="I69" s="30"/>
      <c r="J69" s="30"/>
      <c r="K69" s="30"/>
      <c r="L69" s="30"/>
      <c r="M69" s="30"/>
      <c r="O69"/>
      <c r="P69"/>
      <c r="Q69" s="4"/>
      <c r="R69" s="4"/>
      <c r="S69" s="4"/>
      <c r="T69" s="4"/>
      <c r="U69" s="4"/>
      <c r="V69" s="4"/>
      <c r="W69" s="5"/>
      <c r="X69" s="4"/>
      <c r="Y69" s="4"/>
      <c r="Z69" s="6"/>
      <c r="AA69" s="6"/>
      <c r="AB69" s="6"/>
      <c r="AC69" s="6"/>
      <c r="AD69" s="6"/>
      <c r="AE69" s="6"/>
      <c r="AF69" s="7"/>
    </row>
    <row r="70" spans="1:32" s="3" customFormat="1" x14ac:dyDescent="0.25">
      <c r="A70" s="137" t="str">
        <f t="shared" si="69"/>
        <v>2-ton Flatbed Truck</v>
      </c>
      <c r="B70" s="36"/>
      <c r="C70" s="20"/>
      <c r="D70" s="1"/>
      <c r="E70" s="30">
        <f>Q8*$P8/2000</f>
        <v>2.6460086984792593E-3</v>
      </c>
      <c r="F70" s="30">
        <f t="shared" ref="F70:M70" si="70">R8*$P8/2000</f>
        <v>8.2998181656840815E-3</v>
      </c>
      <c r="G70" s="30">
        <f t="shared" si="70"/>
        <v>2.0843960256699431E-2</v>
      </c>
      <c r="H70" s="30">
        <f t="shared" si="70"/>
        <v>4.1226269761895129E-5</v>
      </c>
      <c r="I70" s="30">
        <f t="shared" si="70"/>
        <v>6.8813223704718986E-4</v>
      </c>
      <c r="J70" s="30">
        <f t="shared" si="70"/>
        <v>6.1243769097199887E-4</v>
      </c>
      <c r="K70" s="30">
        <f t="shared" si="70"/>
        <v>3.6639986863581608</v>
      </c>
      <c r="L70" s="30">
        <f t="shared" si="70"/>
        <v>2.4843115921512862E-4</v>
      </c>
      <c r="M70" s="30">
        <f t="shared" si="70"/>
        <v>1.9801762243864462E-3</v>
      </c>
      <c r="O70"/>
      <c r="P70"/>
      <c r="Q70" s="4"/>
      <c r="R70" s="4"/>
      <c r="S70" s="4"/>
      <c r="T70" s="4"/>
      <c r="U70" s="4"/>
      <c r="V70" s="4"/>
      <c r="W70" s="5"/>
      <c r="X70" s="4"/>
      <c r="Y70" s="4"/>
      <c r="Z70" s="6"/>
      <c r="AA70" s="6"/>
      <c r="AB70" s="6"/>
      <c r="AC70" s="6"/>
      <c r="AD70" s="6"/>
      <c r="AE70" s="6"/>
      <c r="AF70" s="7"/>
    </row>
    <row r="71" spans="1:32" s="3" customFormat="1" x14ac:dyDescent="0.25">
      <c r="A71" s="137" t="str">
        <f t="shared" si="69"/>
        <v>Manlift</v>
      </c>
      <c r="B71" s="36"/>
      <c r="C71" s="20"/>
      <c r="D71" s="1"/>
      <c r="E71" s="30">
        <f t="shared" ref="E71:E75" si="71">Q9*$P9/2000</f>
        <v>5.8181508809194349E-3</v>
      </c>
      <c r="F71" s="30">
        <f t="shared" ref="F71:F75" si="72">R9*$P9/2000</f>
        <v>3.1064699431587229E-2</v>
      </c>
      <c r="G71" s="30">
        <f t="shared" ref="G71:G75" si="73">S9*$P9/2000</f>
        <v>4.1876213659000724E-2</v>
      </c>
      <c r="H71" s="30">
        <f t="shared" ref="H71:H75" si="74">T9*$P9/2000</f>
        <v>5.8951449712754718E-5</v>
      </c>
      <c r="I71" s="30">
        <f t="shared" ref="I71:I75" si="75">U9*$P9/2000</f>
        <v>3.0852756045668278E-3</v>
      </c>
      <c r="J71" s="30">
        <f t="shared" ref="J71:J75" si="76">V9*$P9/2000</f>
        <v>2.7458952880644767E-3</v>
      </c>
      <c r="K71" s="30">
        <f t="shared" ref="K71:K75" si="77">W9*$P9/2000</f>
        <v>5.0254803816228355</v>
      </c>
      <c r="L71" s="30">
        <f t="shared" ref="L71:L75" si="78">X9*$P9/2000</f>
        <v>5.4809390830885352E-4</v>
      </c>
      <c r="M71" s="30">
        <f t="shared" ref="M71:M75" si="79">Y9*$P9/2000</f>
        <v>3.9782402976050691E-3</v>
      </c>
      <c r="O71"/>
      <c r="P71"/>
      <c r="Q71" s="4"/>
      <c r="R71" s="4"/>
      <c r="S71" s="4"/>
      <c r="T71" s="4"/>
      <c r="U71" s="4"/>
      <c r="V71" s="4"/>
      <c r="W71" s="5"/>
      <c r="X71" s="4"/>
      <c r="Y71" s="4"/>
      <c r="Z71" s="6"/>
      <c r="AA71" s="6"/>
      <c r="AB71" s="6"/>
      <c r="AC71" s="6"/>
      <c r="AD71" s="6"/>
      <c r="AE71" s="6"/>
      <c r="AF71" s="7"/>
    </row>
    <row r="72" spans="1:32" s="3" customFormat="1" x14ac:dyDescent="0.25">
      <c r="A72" s="137" t="str">
        <f t="shared" si="69"/>
        <v>Excavator</v>
      </c>
      <c r="B72" s="36"/>
      <c r="C72" s="20"/>
      <c r="D72" s="1"/>
      <c r="E72" s="30">
        <f t="shared" si="71"/>
        <v>2.0006281061562669E-2</v>
      </c>
      <c r="F72" s="30">
        <f t="shared" si="72"/>
        <v>6.656701307278709E-2</v>
      </c>
      <c r="G72" s="30">
        <f t="shared" si="73"/>
        <v>0.14819356078292895</v>
      </c>
      <c r="H72" s="30">
        <f t="shared" si="74"/>
        <v>3.0283296168872437E-4</v>
      </c>
      <c r="I72" s="30">
        <f t="shared" si="75"/>
        <v>5.2076678157467245E-3</v>
      </c>
      <c r="J72" s="30">
        <f t="shared" si="76"/>
        <v>4.6348243560145842E-3</v>
      </c>
      <c r="K72" s="30">
        <f t="shared" si="77"/>
        <v>30.853063516051677</v>
      </c>
      <c r="L72" s="30">
        <f t="shared" si="78"/>
        <v>1.8780858960794882E-3</v>
      </c>
      <c r="M72" s="30">
        <f t="shared" si="79"/>
        <v>1.407838827437825E-2</v>
      </c>
      <c r="O72"/>
      <c r="P72"/>
      <c r="Q72" s="4"/>
      <c r="R72" s="4"/>
      <c r="S72" s="4"/>
      <c r="T72" s="4"/>
      <c r="U72" s="4"/>
      <c r="V72" s="4"/>
      <c r="W72" s="5"/>
      <c r="X72" s="4"/>
      <c r="Y72" s="4"/>
      <c r="Z72" s="6"/>
      <c r="AA72" s="6"/>
      <c r="AB72" s="6"/>
      <c r="AC72" s="6"/>
      <c r="AD72" s="6"/>
      <c r="AE72" s="6"/>
      <c r="AF72" s="7"/>
    </row>
    <row r="73" spans="1:32" s="3" customFormat="1" x14ac:dyDescent="0.25">
      <c r="A73" s="137" t="str">
        <f t="shared" si="69"/>
        <v>Jackhammer</v>
      </c>
      <c r="B73" s="36"/>
      <c r="C73" s="20"/>
      <c r="D73" s="1"/>
      <c r="E73" s="30">
        <f t="shared" si="71"/>
        <v>4.2105062348703056E-3</v>
      </c>
      <c r="F73" s="30">
        <f t="shared" si="72"/>
        <v>1.6632037364950846E-2</v>
      </c>
      <c r="G73" s="30">
        <f t="shared" si="73"/>
        <v>2.9357790658984903E-2</v>
      </c>
      <c r="H73" s="30">
        <f t="shared" si="74"/>
        <v>4.4273438639182622E-5</v>
      </c>
      <c r="I73" s="30">
        <f t="shared" si="75"/>
        <v>1.1289358723201341E-3</v>
      </c>
      <c r="J73" s="30">
        <f t="shared" si="76"/>
        <v>1.0047529263649195E-3</v>
      </c>
      <c r="K73" s="30">
        <f t="shared" si="77"/>
        <v>3.4893655857009418</v>
      </c>
      <c r="L73" s="30">
        <f t="shared" si="78"/>
        <v>3.7990725205382179E-4</v>
      </c>
      <c r="M73" s="30">
        <f t="shared" si="79"/>
        <v>2.7889901126035661E-3</v>
      </c>
      <c r="O73"/>
      <c r="P73"/>
      <c r="Q73" s="4"/>
      <c r="R73" s="4"/>
      <c r="S73" s="4"/>
      <c r="T73" s="4"/>
      <c r="U73" s="4"/>
      <c r="V73" s="4"/>
      <c r="W73" s="5"/>
      <c r="X73" s="4"/>
      <c r="Y73" s="4"/>
      <c r="Z73" s="6"/>
      <c r="AA73" s="6"/>
      <c r="AB73" s="6"/>
      <c r="AC73" s="6"/>
      <c r="AD73" s="6"/>
      <c r="AE73" s="6"/>
      <c r="AF73" s="7"/>
    </row>
    <row r="74" spans="1:32" s="3" customFormat="1" x14ac:dyDescent="0.25">
      <c r="A74" s="137" t="str">
        <f t="shared" si="69"/>
        <v>Dump Trucks</v>
      </c>
      <c r="B74" s="36"/>
      <c r="C74" s="20"/>
      <c r="D74" s="1"/>
      <c r="E74" s="30">
        <f t="shared" si="71"/>
        <v>2.1168069587834074E-2</v>
      </c>
      <c r="F74" s="30">
        <f t="shared" si="72"/>
        <v>6.6398545325472652E-2</v>
      </c>
      <c r="G74" s="30">
        <f t="shared" si="73"/>
        <v>0.16675168205359545</v>
      </c>
      <c r="H74" s="30">
        <f t="shared" si="74"/>
        <v>3.2981015809516103E-4</v>
      </c>
      <c r="I74" s="30">
        <f t="shared" si="75"/>
        <v>5.5050578963775189E-3</v>
      </c>
      <c r="J74" s="30">
        <f t="shared" si="76"/>
        <v>4.899501527775991E-3</v>
      </c>
      <c r="K74" s="30">
        <f t="shared" si="77"/>
        <v>29.311989490865287</v>
      </c>
      <c r="L74" s="30">
        <f t="shared" si="78"/>
        <v>1.987449273721029E-3</v>
      </c>
      <c r="M74" s="30">
        <f t="shared" si="79"/>
        <v>1.584140979509157E-2</v>
      </c>
      <c r="O74"/>
      <c r="P74"/>
      <c r="Q74" s="4"/>
      <c r="R74" s="4"/>
      <c r="S74" s="4"/>
      <c r="T74" s="4"/>
      <c r="U74" s="4"/>
      <c r="V74" s="4"/>
      <c r="W74" s="5"/>
      <c r="X74" s="4"/>
      <c r="Y74" s="4"/>
      <c r="Z74" s="6"/>
      <c r="AA74" s="6"/>
      <c r="AB74" s="6"/>
      <c r="AC74" s="6"/>
      <c r="AD74" s="6"/>
      <c r="AE74" s="6"/>
      <c r="AF74" s="7"/>
    </row>
    <row r="75" spans="1:32" s="3" customFormat="1" x14ac:dyDescent="0.25">
      <c r="A75" s="137" t="str">
        <f t="shared" si="69"/>
        <v>Crane</v>
      </c>
      <c r="B75" s="36"/>
      <c r="C75" s="20"/>
      <c r="D75" s="1"/>
      <c r="E75" s="30">
        <f t="shared" si="71"/>
        <v>8.8503938617423335E-3</v>
      </c>
      <c r="F75" s="30">
        <f t="shared" si="72"/>
        <v>3.142521038307948E-2</v>
      </c>
      <c r="G75" s="30">
        <f t="shared" si="73"/>
        <v>7.5324847265113543E-2</v>
      </c>
      <c r="H75" s="30">
        <f t="shared" si="74"/>
        <v>1.1667172461862749E-4</v>
      </c>
      <c r="I75" s="30">
        <f t="shared" si="75"/>
        <v>2.6857804306125266E-3</v>
      </c>
      <c r="J75" s="30">
        <f t="shared" si="76"/>
        <v>2.3903445832451488E-3</v>
      </c>
      <c r="K75" s="30">
        <f t="shared" si="77"/>
        <v>11.886684811257606</v>
      </c>
      <c r="L75" s="30">
        <f t="shared" si="78"/>
        <v>8.2939277292993997E-4</v>
      </c>
      <c r="M75" s="30">
        <f t="shared" si="79"/>
        <v>7.1558604901857869E-3</v>
      </c>
      <c r="O75"/>
      <c r="P75"/>
      <c r="Q75" s="4"/>
      <c r="R75" s="4"/>
      <c r="S75" s="4"/>
      <c r="T75" s="4"/>
      <c r="U75" s="4"/>
      <c r="V75" s="4"/>
      <c r="W75" s="5"/>
      <c r="X75" s="4"/>
      <c r="Y75" s="4"/>
      <c r="Z75" s="6"/>
      <c r="AA75" s="6"/>
      <c r="AB75" s="6"/>
      <c r="AC75" s="6"/>
      <c r="AD75" s="6"/>
      <c r="AE75" s="6"/>
      <c r="AF75" s="7"/>
    </row>
    <row r="76" spans="1:32" s="3" customFormat="1" x14ac:dyDescent="0.25">
      <c r="A76" s="12" t="str">
        <f t="shared" si="69"/>
        <v>Subtotal</v>
      </c>
      <c r="B76" s="36"/>
      <c r="C76" s="20"/>
      <c r="D76" s="1"/>
      <c r="E76" s="24">
        <f t="shared" ref="E76:M76" si="80">SUM(E70:E75)</f>
        <v>6.2699410325408073E-2</v>
      </c>
      <c r="F76" s="24">
        <f t="shared" si="80"/>
        <v>0.2203873237435614</v>
      </c>
      <c r="G76" s="24">
        <f t="shared" si="80"/>
        <v>0.48234805467632302</v>
      </c>
      <c r="H76" s="24">
        <f t="shared" si="80"/>
        <v>8.9376600251634536E-4</v>
      </c>
      <c r="I76" s="24">
        <f t="shared" si="80"/>
        <v>1.8300849856670923E-2</v>
      </c>
      <c r="J76" s="24">
        <f t="shared" si="80"/>
        <v>1.628775637243712E-2</v>
      </c>
      <c r="K76" s="24">
        <f t="shared" si="80"/>
        <v>84.230582471856522</v>
      </c>
      <c r="L76" s="24">
        <f t="shared" si="80"/>
        <v>5.871360262308261E-3</v>
      </c>
      <c r="M76" s="24">
        <f t="shared" si="80"/>
        <v>4.5823065194250688E-2</v>
      </c>
      <c r="O76"/>
      <c r="P76"/>
      <c r="Q76" s="4"/>
      <c r="R76" s="4"/>
      <c r="S76" s="4"/>
      <c r="T76" s="4"/>
      <c r="U76" s="4"/>
      <c r="V76" s="4"/>
      <c r="W76" s="5"/>
      <c r="X76" s="4"/>
      <c r="Y76" s="4"/>
      <c r="Z76" s="6"/>
      <c r="AA76" s="6"/>
      <c r="AB76" s="6"/>
      <c r="AC76" s="6"/>
      <c r="AD76" s="6"/>
      <c r="AE76" s="6"/>
      <c r="AF76" s="7"/>
    </row>
    <row r="77" spans="1:32" s="3" customFormat="1" x14ac:dyDescent="0.25">
      <c r="A77" s="12"/>
      <c r="B77" s="36"/>
      <c r="C77" s="20"/>
      <c r="D77" s="1"/>
      <c r="E77" s="30"/>
      <c r="F77" s="30"/>
      <c r="G77" s="30"/>
      <c r="H77" s="30"/>
      <c r="I77" s="30"/>
      <c r="J77" s="30"/>
      <c r="K77" s="30"/>
      <c r="L77" s="30"/>
      <c r="M77" s="30"/>
      <c r="O77"/>
      <c r="P77"/>
      <c r="Q77" s="4"/>
      <c r="R77" s="4"/>
      <c r="S77" s="4"/>
      <c r="T77" s="4"/>
      <c r="U77" s="4"/>
      <c r="V77" s="4"/>
      <c r="W77" s="5"/>
      <c r="X77" s="4"/>
      <c r="Y77" s="4"/>
      <c r="Z77" s="6"/>
      <c r="AA77" s="6"/>
      <c r="AB77" s="6"/>
      <c r="AC77" s="6"/>
      <c r="AD77" s="6"/>
      <c r="AE77" s="6"/>
      <c r="AF77" s="7"/>
    </row>
    <row r="78" spans="1:32" s="3" customFormat="1" x14ac:dyDescent="0.25">
      <c r="A78" s="12" t="str">
        <f t="shared" ref="A78:A88" si="81">A16</f>
        <v>Capistrano Substation Site Development - Lower Yard</v>
      </c>
      <c r="B78" s="36"/>
      <c r="C78" s="20"/>
      <c r="D78" s="1"/>
      <c r="E78" s="30"/>
      <c r="F78" s="30"/>
      <c r="G78" s="30"/>
      <c r="H78" s="30"/>
      <c r="I78" s="30"/>
      <c r="J78" s="30"/>
      <c r="K78" s="30"/>
      <c r="L78" s="30"/>
      <c r="M78" s="30"/>
      <c r="O78"/>
      <c r="P78"/>
      <c r="Q78" s="4"/>
      <c r="R78" s="4"/>
      <c r="S78" s="4"/>
      <c r="T78" s="4"/>
      <c r="U78" s="4"/>
      <c r="V78" s="4"/>
      <c r="W78" s="5"/>
      <c r="X78" s="4"/>
      <c r="Y78" s="4"/>
      <c r="Z78" s="6"/>
      <c r="AA78" s="6"/>
      <c r="AB78" s="6"/>
      <c r="AC78" s="6"/>
      <c r="AD78" s="6"/>
      <c r="AE78" s="6"/>
      <c r="AF78" s="7"/>
    </row>
    <row r="79" spans="1:32" s="3" customFormat="1" x14ac:dyDescent="0.25">
      <c r="A79" s="137" t="str">
        <f t="shared" si="81"/>
        <v>Bulldozer</v>
      </c>
      <c r="B79" s="36"/>
      <c r="C79" s="20"/>
      <c r="D79" s="1"/>
      <c r="E79" s="30">
        <f t="shared" ref="E79:E87" si="82">Q17*$P17/2000</f>
        <v>0.19758478914156519</v>
      </c>
      <c r="F79" s="30">
        <f t="shared" ref="F79:F87" si="83">R17*$P17/2000</f>
        <v>0.86132403304697924</v>
      </c>
      <c r="G79" s="30">
        <f t="shared" ref="G79:G87" si="84">S17*$P17/2000</f>
        <v>1.6181212714756998</v>
      </c>
      <c r="H79" s="30">
        <f t="shared" ref="H79:H87" si="85">T17*$P17/2000</f>
        <v>1.8302664121204698E-3</v>
      </c>
      <c r="I79" s="30">
        <f t="shared" ref="I79:I87" si="86">U17*$P17/2000</f>
        <v>6.6052113008854968E-2</v>
      </c>
      <c r="J79" s="30">
        <f t="shared" ref="J79:J87" si="87">V17*$P17/2000</f>
        <v>5.878638057788093E-2</v>
      </c>
      <c r="K79" s="30">
        <f t="shared" ref="K79:K87" si="88">W17*$P17/2000</f>
        <v>186.47028482517129</v>
      </c>
      <c r="L79" s="30">
        <f t="shared" ref="L79:L87" si="89">X17*$P17/2000</f>
        <v>1.8621605899376718E-2</v>
      </c>
      <c r="M79" s="30">
        <f t="shared" ref="M79:M87" si="90">Y17*$P17/2000</f>
        <v>0.15372152079019147</v>
      </c>
      <c r="O79"/>
      <c r="P79"/>
      <c r="Q79" s="4"/>
      <c r="R79" s="4"/>
      <c r="S79" s="4"/>
      <c r="T79" s="4"/>
      <c r="U79" s="4"/>
      <c r="V79" s="4"/>
      <c r="W79" s="5"/>
      <c r="X79" s="4"/>
      <c r="Y79" s="4"/>
      <c r="Z79" s="6"/>
      <c r="AA79" s="6"/>
      <c r="AB79" s="6"/>
      <c r="AC79" s="6"/>
      <c r="AD79" s="6"/>
      <c r="AE79" s="6"/>
      <c r="AF79" s="7"/>
    </row>
    <row r="80" spans="1:32" s="3" customFormat="1" x14ac:dyDescent="0.25">
      <c r="A80" s="137" t="str">
        <f t="shared" si="81"/>
        <v>Road Grader/Blade</v>
      </c>
      <c r="B80" s="36"/>
      <c r="C80" s="20"/>
      <c r="D80" s="1"/>
      <c r="E80" s="30">
        <f t="shared" si="82"/>
        <v>0.11299388856393336</v>
      </c>
      <c r="F80" s="30">
        <f t="shared" si="83"/>
        <v>0.41278403483974968</v>
      </c>
      <c r="G80" s="30">
        <f t="shared" si="84"/>
        <v>0.9369873060459738</v>
      </c>
      <c r="H80" s="30">
        <f t="shared" si="85"/>
        <v>1.5857342070035028E-3</v>
      </c>
      <c r="I80" s="30">
        <f t="shared" si="86"/>
        <v>3.3314357100192767E-2</v>
      </c>
      <c r="J80" s="30">
        <f t="shared" si="87"/>
        <v>2.9649777819171563E-2</v>
      </c>
      <c r="K80" s="30">
        <f t="shared" si="88"/>
        <v>161.55695004776294</v>
      </c>
      <c r="L80" s="30">
        <f t="shared" si="89"/>
        <v>1.0583780199303434E-2</v>
      </c>
      <c r="M80" s="30">
        <f t="shared" si="90"/>
        <v>8.9013794074367505E-2</v>
      </c>
      <c r="O80"/>
      <c r="P80"/>
      <c r="Q80" s="4"/>
      <c r="R80" s="4"/>
      <c r="S80" s="4"/>
      <c r="T80" s="4"/>
      <c r="U80" s="4"/>
      <c r="V80" s="4"/>
      <c r="W80" s="5"/>
      <c r="X80" s="4"/>
      <c r="Y80" s="4"/>
      <c r="Z80" s="6"/>
      <c r="AA80" s="6"/>
      <c r="AB80" s="6"/>
      <c r="AC80" s="6"/>
      <c r="AD80" s="6"/>
      <c r="AE80" s="6"/>
      <c r="AF80" s="7"/>
    </row>
    <row r="81" spans="1:32" s="3" customFormat="1" x14ac:dyDescent="0.25">
      <c r="A81" s="137" t="str">
        <f t="shared" si="81"/>
        <v>Scraper</v>
      </c>
      <c r="B81" s="36"/>
      <c r="C81" s="20"/>
      <c r="D81" s="1"/>
      <c r="E81" s="30">
        <f t="shared" si="82"/>
        <v>0.1946222201817403</v>
      </c>
      <c r="F81" s="30">
        <f t="shared" si="83"/>
        <v>0.74871760345943739</v>
      </c>
      <c r="G81" s="30">
        <f t="shared" si="84"/>
        <v>1.6316407676227846</v>
      </c>
      <c r="H81" s="30">
        <f t="shared" si="85"/>
        <v>2.2210673509289189E-3</v>
      </c>
      <c r="I81" s="30">
        <f t="shared" si="86"/>
        <v>6.2365225993052394E-2</v>
      </c>
      <c r="J81" s="30">
        <f t="shared" si="87"/>
        <v>5.5505051133816624E-2</v>
      </c>
      <c r="K81" s="30">
        <f t="shared" si="88"/>
        <v>226.28563609298652</v>
      </c>
      <c r="L81" s="30">
        <f t="shared" si="89"/>
        <v>1.8311336370943839E-2</v>
      </c>
      <c r="M81" s="30">
        <f t="shared" si="90"/>
        <v>0.15500587292416451</v>
      </c>
      <c r="O81"/>
      <c r="P81"/>
      <c r="Q81" s="4"/>
      <c r="R81" s="4"/>
      <c r="S81" s="4"/>
      <c r="T81" s="4"/>
      <c r="U81" s="4"/>
      <c r="V81" s="4"/>
      <c r="W81" s="5"/>
      <c r="X81" s="4"/>
      <c r="Y81" s="4"/>
      <c r="Z81" s="6"/>
      <c r="AA81" s="6"/>
      <c r="AB81" s="6"/>
      <c r="AC81" s="6"/>
      <c r="AD81" s="6"/>
      <c r="AE81" s="6"/>
      <c r="AF81" s="7"/>
    </row>
    <row r="82" spans="1:32" s="3" customFormat="1" x14ac:dyDescent="0.25">
      <c r="A82" s="137" t="str">
        <f t="shared" si="81"/>
        <v>Compactor</v>
      </c>
      <c r="B82" s="36"/>
      <c r="C82" s="20"/>
      <c r="D82" s="1"/>
      <c r="E82" s="30">
        <f t="shared" si="82"/>
        <v>5.6281421840773539E-2</v>
      </c>
      <c r="F82" s="30">
        <f t="shared" si="83"/>
        <v>0.19370376682655333</v>
      </c>
      <c r="G82" s="30">
        <f t="shared" si="84"/>
        <v>0.55743688758400489</v>
      </c>
      <c r="H82" s="30">
        <f t="shared" si="85"/>
        <v>9.0949240741661707E-4</v>
      </c>
      <c r="I82" s="30">
        <f t="shared" si="86"/>
        <v>1.8549664967295005E-2</v>
      </c>
      <c r="J82" s="30">
        <f t="shared" si="87"/>
        <v>1.6509201820892556E-2</v>
      </c>
      <c r="K82" s="30">
        <f t="shared" si="88"/>
        <v>80.831406863756158</v>
      </c>
      <c r="L82" s="30">
        <f t="shared" si="89"/>
        <v>5.2719362262073086E-3</v>
      </c>
      <c r="M82" s="30">
        <f t="shared" si="90"/>
        <v>5.2956504320480463E-2</v>
      </c>
      <c r="O82"/>
      <c r="P82"/>
      <c r="Q82" s="4"/>
      <c r="R82" s="4"/>
      <c r="S82" s="4"/>
      <c r="T82" s="4"/>
      <c r="U82" s="4"/>
      <c r="V82" s="4"/>
      <c r="W82" s="5"/>
      <c r="X82" s="4"/>
      <c r="Y82" s="4"/>
      <c r="Z82" s="6"/>
      <c r="AA82" s="6"/>
      <c r="AB82" s="6"/>
      <c r="AC82" s="6"/>
      <c r="AD82" s="6"/>
      <c r="AE82" s="6"/>
      <c r="AF82" s="7"/>
    </row>
    <row r="83" spans="1:32" s="3" customFormat="1" x14ac:dyDescent="0.25">
      <c r="A83" s="137" t="str">
        <f t="shared" si="81"/>
        <v>Loader</v>
      </c>
      <c r="B83" s="36"/>
      <c r="C83" s="20"/>
      <c r="D83" s="1"/>
      <c r="E83" s="30">
        <f t="shared" si="82"/>
        <v>4.2517822694634007E-2</v>
      </c>
      <c r="F83" s="30">
        <f t="shared" si="83"/>
        <v>0.13772717836300974</v>
      </c>
      <c r="G83" s="30">
        <f t="shared" si="84"/>
        <v>0.37678639518344181</v>
      </c>
      <c r="H83" s="30">
        <f t="shared" si="85"/>
        <v>6.637922768749936E-4</v>
      </c>
      <c r="I83" s="30">
        <f t="shared" si="86"/>
        <v>1.2719730890132588E-2</v>
      </c>
      <c r="J83" s="30">
        <f t="shared" si="87"/>
        <v>1.1320560492218006E-2</v>
      </c>
      <c r="K83" s="30">
        <f t="shared" si="88"/>
        <v>58.994751236229057</v>
      </c>
      <c r="L83" s="30">
        <f t="shared" si="89"/>
        <v>3.9964363983180902E-3</v>
      </c>
      <c r="M83" s="30">
        <f t="shared" si="90"/>
        <v>3.5794707542426966E-2</v>
      </c>
      <c r="O83"/>
      <c r="P83"/>
      <c r="Q83" s="4"/>
      <c r="R83" s="4"/>
      <c r="S83" s="4"/>
      <c r="T83" s="4"/>
      <c r="U83" s="4"/>
      <c r="V83" s="4"/>
      <c r="W83" s="5"/>
      <c r="X83" s="4"/>
      <c r="Y83" s="4"/>
      <c r="Z83" s="6"/>
      <c r="AA83" s="6"/>
      <c r="AB83" s="6"/>
      <c r="AC83" s="6"/>
      <c r="AD83" s="6"/>
      <c r="AE83" s="6"/>
      <c r="AF83" s="7"/>
    </row>
    <row r="84" spans="1:32" s="3" customFormat="1" x14ac:dyDescent="0.25">
      <c r="A84" s="137" t="str">
        <f t="shared" si="81"/>
        <v>CAT 416 Rubber Tire Backhoe</v>
      </c>
      <c r="B84" s="36"/>
      <c r="C84" s="20"/>
      <c r="D84" s="1"/>
      <c r="E84" s="30">
        <f t="shared" si="82"/>
        <v>2.1067591995794974E-2</v>
      </c>
      <c r="F84" s="30">
        <f t="shared" si="83"/>
        <v>0.10586595938673671</v>
      </c>
      <c r="G84" s="30">
        <f t="shared" si="84"/>
        <v>0.13329863131223543</v>
      </c>
      <c r="H84" s="30">
        <f t="shared" si="85"/>
        <v>1.8244663169800091E-4</v>
      </c>
      <c r="I84" s="30">
        <f t="shared" si="86"/>
        <v>1.0812177547503694E-2</v>
      </c>
      <c r="J84" s="30">
        <f t="shared" si="87"/>
        <v>9.6228380172782863E-3</v>
      </c>
      <c r="K84" s="30">
        <f t="shared" si="88"/>
        <v>15.553167172033167</v>
      </c>
      <c r="L84" s="30">
        <f t="shared" si="89"/>
        <v>1.9891014498907137E-3</v>
      </c>
      <c r="M84" s="30">
        <f t="shared" si="90"/>
        <v>1.2663369974662369E-2</v>
      </c>
      <c r="O84"/>
      <c r="P84"/>
      <c r="Q84" s="4"/>
      <c r="R84" s="4"/>
      <c r="S84" s="4"/>
      <c r="T84" s="4"/>
      <c r="U84" s="4"/>
      <c r="V84" s="4"/>
      <c r="W84" s="5"/>
      <c r="X84" s="4"/>
      <c r="Y84" s="4"/>
      <c r="Z84" s="6"/>
      <c r="AA84" s="6"/>
      <c r="AB84" s="6"/>
      <c r="AC84" s="6"/>
      <c r="AD84" s="6"/>
      <c r="AE84" s="6"/>
      <c r="AF84" s="7"/>
    </row>
    <row r="85" spans="1:32" s="3" customFormat="1" x14ac:dyDescent="0.25">
      <c r="A85" s="137" t="str">
        <f t="shared" si="81"/>
        <v>Water Truck</v>
      </c>
      <c r="B85" s="36"/>
      <c r="C85" s="20"/>
      <c r="D85" s="1"/>
      <c r="E85" s="30">
        <f t="shared" si="82"/>
        <v>7.9148038732155569E-3</v>
      </c>
      <c r="F85" s="30">
        <f t="shared" si="83"/>
        <v>2.4468184655782405E-2</v>
      </c>
      <c r="G85" s="30">
        <f t="shared" si="84"/>
        <v>6.228307124628877E-2</v>
      </c>
      <c r="H85" s="30">
        <f t="shared" si="85"/>
        <v>1.2367880928568537E-4</v>
      </c>
      <c r="I85" s="30">
        <f t="shared" si="86"/>
        <v>2.0619086159034744E-3</v>
      </c>
      <c r="J85" s="30">
        <f t="shared" si="87"/>
        <v>1.8350986681540922E-3</v>
      </c>
      <c r="K85" s="30">
        <f t="shared" si="88"/>
        <v>10.991996059074483</v>
      </c>
      <c r="L85" s="30">
        <f t="shared" si="89"/>
        <v>7.4529347764538587E-4</v>
      </c>
      <c r="M85" s="30">
        <f t="shared" si="90"/>
        <v>5.916891768397433E-3</v>
      </c>
      <c r="O85"/>
      <c r="P85"/>
      <c r="Q85" s="4"/>
      <c r="R85" s="4"/>
      <c r="S85" s="4"/>
      <c r="T85" s="4"/>
      <c r="U85" s="4"/>
      <c r="V85" s="4"/>
      <c r="W85" s="5"/>
      <c r="X85" s="4"/>
      <c r="Y85" s="4"/>
      <c r="Z85" s="6"/>
      <c r="AA85" s="6"/>
      <c r="AB85" s="6"/>
      <c r="AC85" s="6"/>
      <c r="AD85" s="6"/>
      <c r="AE85" s="6"/>
      <c r="AF85" s="7"/>
    </row>
    <row r="86" spans="1:32" s="3" customFormat="1" x14ac:dyDescent="0.25">
      <c r="A86" s="137" t="str">
        <f t="shared" si="81"/>
        <v>Dump/Haul Truck</v>
      </c>
      <c r="B86" s="36"/>
      <c r="C86" s="20"/>
      <c r="D86" s="1"/>
      <c r="E86" s="30">
        <f t="shared" si="82"/>
        <v>1.4288446971788</v>
      </c>
      <c r="F86" s="30">
        <f t="shared" si="83"/>
        <v>4.4819018094694041</v>
      </c>
      <c r="G86" s="30">
        <f t="shared" si="84"/>
        <v>11.255738538617694</v>
      </c>
      <c r="H86" s="30">
        <f t="shared" si="85"/>
        <v>2.2262185671423369E-2</v>
      </c>
      <c r="I86" s="30">
        <f t="shared" si="86"/>
        <v>0.37159140800548252</v>
      </c>
      <c r="J86" s="30">
        <f t="shared" si="87"/>
        <v>0.3307163531248794</v>
      </c>
      <c r="K86" s="30">
        <f t="shared" si="88"/>
        <v>1978.559290633407</v>
      </c>
      <c r="L86" s="30">
        <f t="shared" si="89"/>
        <v>0.13415282597616945</v>
      </c>
      <c r="M86" s="30">
        <f t="shared" si="90"/>
        <v>1.069295161168681</v>
      </c>
      <c r="O86"/>
      <c r="P86"/>
      <c r="Q86" s="4"/>
      <c r="R86" s="4"/>
      <c r="S86" s="4"/>
      <c r="T86" s="4"/>
      <c r="U86" s="4"/>
      <c r="V86" s="4"/>
      <c r="W86" s="5"/>
      <c r="X86" s="4"/>
      <c r="Y86" s="4"/>
      <c r="Z86" s="6"/>
      <c r="AA86" s="6"/>
      <c r="AB86" s="6"/>
      <c r="AC86" s="6"/>
      <c r="AD86" s="6"/>
      <c r="AE86" s="6"/>
      <c r="AF86" s="7"/>
    </row>
    <row r="87" spans="1:32" s="3" customFormat="1" x14ac:dyDescent="0.25">
      <c r="A87" s="137" t="str">
        <f t="shared" si="81"/>
        <v>Excavator</v>
      </c>
      <c r="B87" s="36"/>
      <c r="C87" s="20"/>
      <c r="D87" s="1"/>
      <c r="E87" s="30">
        <f t="shared" si="82"/>
        <v>3.3343801769271111E-3</v>
      </c>
      <c r="F87" s="30">
        <f t="shared" si="83"/>
        <v>1.1094502178797849E-2</v>
      </c>
      <c r="G87" s="30">
        <f t="shared" si="84"/>
        <v>2.4698926797154824E-2</v>
      </c>
      <c r="H87" s="30">
        <f t="shared" si="85"/>
        <v>5.0472160281454058E-5</v>
      </c>
      <c r="I87" s="30">
        <f t="shared" si="86"/>
        <v>8.6794463595778724E-4</v>
      </c>
      <c r="J87" s="30">
        <f t="shared" si="87"/>
        <v>7.7247072600243074E-4</v>
      </c>
      <c r="K87" s="30">
        <f t="shared" si="88"/>
        <v>5.1421772526752791</v>
      </c>
      <c r="L87" s="30">
        <f t="shared" si="89"/>
        <v>3.1301431601324804E-4</v>
      </c>
      <c r="M87" s="30">
        <f t="shared" si="90"/>
        <v>2.3463980457297086E-3</v>
      </c>
      <c r="O87"/>
      <c r="P87"/>
      <c r="Q87" s="4"/>
      <c r="R87" s="4"/>
      <c r="S87" s="4"/>
      <c r="T87" s="4"/>
      <c r="U87" s="4"/>
      <c r="V87" s="4"/>
      <c r="W87" s="5"/>
      <c r="X87" s="4"/>
      <c r="Y87" s="4"/>
      <c r="Z87" s="6"/>
      <c r="AA87" s="6"/>
      <c r="AB87" s="6"/>
      <c r="AC87" s="6"/>
      <c r="AD87" s="6"/>
      <c r="AE87" s="6"/>
      <c r="AF87" s="7"/>
    </row>
    <row r="88" spans="1:32" s="3" customFormat="1" x14ac:dyDescent="0.25">
      <c r="A88" s="12" t="str">
        <f t="shared" si="81"/>
        <v>Subtotal</v>
      </c>
      <c r="B88" s="36"/>
      <c r="C88" s="20"/>
      <c r="D88" s="1"/>
      <c r="E88" s="24">
        <f>SUM(E79:E87)</f>
        <v>2.065161615647384</v>
      </c>
      <c r="F88" s="24">
        <f t="shared" ref="F88:M88" si="91">SUM(F79:F87)</f>
        <v>6.9775870722264504</v>
      </c>
      <c r="G88" s="24">
        <f t="shared" si="91"/>
        <v>16.596991795885277</v>
      </c>
      <c r="H88" s="24">
        <f t="shared" si="91"/>
        <v>2.9829135927033009E-2</v>
      </c>
      <c r="I88" s="24">
        <f t="shared" si="91"/>
        <v>0.57833453076437513</v>
      </c>
      <c r="J88" s="24">
        <f t="shared" si="91"/>
        <v>0.51471773238029384</v>
      </c>
      <c r="K88" s="24">
        <f t="shared" si="91"/>
        <v>2724.3856601830958</v>
      </c>
      <c r="L88" s="24">
        <f t="shared" si="91"/>
        <v>0.19398533031386819</v>
      </c>
      <c r="M88" s="24">
        <f t="shared" si="91"/>
        <v>1.5767142206091014</v>
      </c>
      <c r="N88" s="170"/>
      <c r="O88"/>
      <c r="P88"/>
      <c r="Q88" s="4"/>
      <c r="R88" s="4"/>
      <c r="S88" s="4"/>
      <c r="T88" s="4"/>
      <c r="U88" s="4"/>
      <c r="V88" s="4"/>
      <c r="W88" s="5"/>
      <c r="X88" s="4"/>
      <c r="Y88" s="4"/>
      <c r="Z88" s="6"/>
      <c r="AA88" s="6"/>
      <c r="AB88" s="6"/>
      <c r="AC88" s="6"/>
      <c r="AD88" s="6"/>
      <c r="AE88" s="6"/>
      <c r="AF88" s="7"/>
    </row>
    <row r="89" spans="1:32" s="3" customFormat="1" x14ac:dyDescent="0.25">
      <c r="A89" s="12"/>
      <c r="B89" s="36"/>
      <c r="C89" s="20"/>
      <c r="D89" s="1"/>
      <c r="E89" s="30"/>
      <c r="F89" s="30"/>
      <c r="G89" s="30"/>
      <c r="H89" s="30"/>
      <c r="I89" s="30"/>
      <c r="J89" s="30"/>
      <c r="K89" s="30"/>
      <c r="L89" s="30"/>
      <c r="M89" s="30"/>
      <c r="O89"/>
      <c r="P89"/>
      <c r="Q89" s="4"/>
      <c r="R89" s="4"/>
      <c r="S89" s="4"/>
      <c r="T89" s="4"/>
      <c r="U89" s="4"/>
      <c r="V89" s="4"/>
      <c r="W89" s="5"/>
      <c r="X89" s="4"/>
      <c r="Y89" s="4"/>
      <c r="Z89" s="6"/>
      <c r="AA89" s="6"/>
      <c r="AB89" s="6"/>
      <c r="AC89" s="6"/>
      <c r="AD89" s="6"/>
      <c r="AE89" s="6"/>
      <c r="AF89" s="7"/>
    </row>
    <row r="90" spans="1:32" s="3" customFormat="1" x14ac:dyDescent="0.25">
      <c r="A90" s="12" t="str">
        <f t="shared" ref="A90:A100" si="92">A28</f>
        <v>Capistrano Substation Below Grade - Lower Yard</v>
      </c>
      <c r="B90" s="36"/>
      <c r="C90" s="20"/>
      <c r="D90" s="1"/>
      <c r="E90" s="30"/>
      <c r="F90" s="30"/>
      <c r="G90" s="30"/>
      <c r="H90" s="30"/>
      <c r="I90" s="30"/>
      <c r="J90" s="30"/>
      <c r="K90" s="30"/>
      <c r="L90" s="30"/>
      <c r="M90" s="30"/>
      <c r="O90"/>
      <c r="P90"/>
      <c r="Q90" s="4"/>
      <c r="R90" s="4"/>
      <c r="S90" s="4"/>
      <c r="T90" s="4"/>
      <c r="U90" s="4"/>
      <c r="V90" s="4"/>
      <c r="W90" s="5"/>
      <c r="X90" s="4"/>
      <c r="Y90" s="4"/>
      <c r="Z90" s="6"/>
      <c r="AA90" s="6"/>
      <c r="AB90" s="6"/>
      <c r="AC90" s="6"/>
      <c r="AD90" s="6"/>
      <c r="AE90" s="6"/>
      <c r="AF90" s="7"/>
    </row>
    <row r="91" spans="1:32" s="3" customFormat="1" x14ac:dyDescent="0.25">
      <c r="A91" s="137" t="str">
        <f t="shared" si="92"/>
        <v>CAT 416 Rubber Tire Backhoe</v>
      </c>
      <c r="B91" s="36"/>
      <c r="C91" s="20"/>
      <c r="D91" s="1"/>
      <c r="E91" s="30">
        <f t="shared" ref="E91:M99" si="93">(Q29*$P29)/2000</f>
        <v>4.9612518223239255E-2</v>
      </c>
      <c r="F91" s="30">
        <f t="shared" si="93"/>
        <v>0.27498627218715915</v>
      </c>
      <c r="G91" s="30">
        <f t="shared" si="93"/>
        <v>0.30731496517752976</v>
      </c>
      <c r="H91" s="30">
        <f t="shared" si="93"/>
        <v>4.8652421776096465E-4</v>
      </c>
      <c r="I91" s="30">
        <f t="shared" si="93"/>
        <v>2.458374929462356E-2</v>
      </c>
      <c r="J91" s="30">
        <f t="shared" si="93"/>
        <v>2.1879536872214972E-2</v>
      </c>
      <c r="K91" s="30">
        <f t="shared" si="93"/>
        <v>41.475120424759822</v>
      </c>
      <c r="L91" s="30">
        <f t="shared" si="93"/>
        <v>4.907185476009393E-3</v>
      </c>
      <c r="M91" s="30">
        <f t="shared" si="93"/>
        <v>2.9194921691865324E-2</v>
      </c>
      <c r="O91"/>
      <c r="P91"/>
      <c r="Q91" s="4"/>
      <c r="R91" s="4"/>
      <c r="S91" s="4"/>
      <c r="T91" s="4"/>
      <c r="U91" s="4"/>
      <c r="V91" s="4"/>
      <c r="W91" s="5"/>
      <c r="X91" s="4"/>
      <c r="Y91" s="4"/>
      <c r="Z91" s="6"/>
      <c r="AA91" s="6"/>
      <c r="AB91" s="6"/>
      <c r="AC91" s="6"/>
      <c r="AD91" s="6"/>
      <c r="AE91" s="6"/>
      <c r="AF91" s="7"/>
    </row>
    <row r="92" spans="1:32" s="3" customFormat="1" x14ac:dyDescent="0.25">
      <c r="A92" s="137" t="str">
        <f t="shared" si="92"/>
        <v>Drill Rig</v>
      </c>
      <c r="B92" s="36"/>
      <c r="C92" s="20"/>
      <c r="D92" s="1"/>
      <c r="E92" s="30">
        <f t="shared" si="93"/>
        <v>2.8755656660999027E-3</v>
      </c>
      <c r="F92" s="30">
        <f t="shared" si="93"/>
        <v>3.9935319912132533E-2</v>
      </c>
      <c r="G92" s="30">
        <f t="shared" si="93"/>
        <v>2.6437001376234517E-2</v>
      </c>
      <c r="H92" s="30">
        <f t="shared" si="93"/>
        <v>7.9611650294396139E-5</v>
      </c>
      <c r="I92" s="30">
        <f t="shared" si="93"/>
        <v>1.0007093431999088E-3</v>
      </c>
      <c r="J92" s="30">
        <f t="shared" si="93"/>
        <v>8.9063131544791889E-4</v>
      </c>
      <c r="K92" s="30">
        <f t="shared" si="93"/>
        <v>6.7867140014609841</v>
      </c>
      <c r="L92" s="30">
        <f t="shared" si="93"/>
        <v>2.7712219121539777E-4</v>
      </c>
      <c r="M92" s="30">
        <f t="shared" si="93"/>
        <v>2.5115151307422796E-3</v>
      </c>
      <c r="O92"/>
      <c r="P92"/>
      <c r="Q92" s="4"/>
      <c r="R92" s="4"/>
      <c r="S92" s="4"/>
      <c r="T92" s="4"/>
      <c r="U92" s="4"/>
      <c r="V92" s="4"/>
      <c r="W92" s="5"/>
      <c r="X92" s="4"/>
      <c r="Y92" s="4"/>
      <c r="Z92" s="6"/>
      <c r="AA92" s="6"/>
      <c r="AB92" s="6"/>
      <c r="AC92" s="6"/>
      <c r="AD92" s="6"/>
      <c r="AE92" s="6"/>
      <c r="AF92" s="7"/>
    </row>
    <row r="93" spans="1:32" s="3" customFormat="1" x14ac:dyDescent="0.25">
      <c r="A93" s="137" t="str">
        <f t="shared" si="92"/>
        <v>Loader</v>
      </c>
      <c r="B93" s="36"/>
      <c r="C93" s="20"/>
      <c r="D93" s="1"/>
      <c r="E93" s="30">
        <f t="shared" si="93"/>
        <v>3.2108315154351016E-2</v>
      </c>
      <c r="F93" s="30">
        <f t="shared" si="93"/>
        <v>0.11121965107734665</v>
      </c>
      <c r="G93" s="30">
        <f t="shared" si="93"/>
        <v>0.26581671902322512</v>
      </c>
      <c r="H93" s="30">
        <f t="shared" si="93"/>
        <v>5.5316012857866196E-4</v>
      </c>
      <c r="I93" s="30">
        <f t="shared" si="93"/>
        <v>9.0615996016783461E-3</v>
      </c>
      <c r="J93" s="30">
        <f t="shared" si="93"/>
        <v>8.0648236454937284E-3</v>
      </c>
      <c r="K93" s="30">
        <f t="shared" si="93"/>
        <v>49.162300417314455</v>
      </c>
      <c r="L93" s="30">
        <f t="shared" si="93"/>
        <v>3.1454603456336065E-3</v>
      </c>
      <c r="M93" s="30">
        <f t="shared" si="93"/>
        <v>2.5252588307206392E-2</v>
      </c>
      <c r="O93"/>
      <c r="P93"/>
      <c r="Q93" s="4"/>
      <c r="R93" s="4"/>
      <c r="S93" s="4"/>
      <c r="T93" s="4"/>
      <c r="U93" s="4"/>
      <c r="V93" s="4"/>
      <c r="W93" s="5"/>
      <c r="X93" s="4"/>
      <c r="Y93" s="4"/>
      <c r="Z93" s="6"/>
      <c r="AA93" s="6"/>
      <c r="AB93" s="6"/>
      <c r="AC93" s="6"/>
      <c r="AD93" s="6"/>
      <c r="AE93" s="6"/>
      <c r="AF93" s="7"/>
    </row>
    <row r="94" spans="1:32" s="3" customFormat="1" x14ac:dyDescent="0.25">
      <c r="A94" s="137" t="str">
        <f t="shared" si="92"/>
        <v>Dump Trucks</v>
      </c>
      <c r="B94" s="36"/>
      <c r="C94" s="20"/>
      <c r="D94" s="1"/>
      <c r="E94" s="30">
        <f t="shared" si="93"/>
        <v>0.2874594610441964</v>
      </c>
      <c r="F94" s="30">
        <f t="shared" si="93"/>
        <v>0.98187151298894304</v>
      </c>
      <c r="G94" s="30">
        <f t="shared" si="93"/>
        <v>2.0775196548387167</v>
      </c>
      <c r="H94" s="30">
        <f t="shared" si="93"/>
        <v>4.9471534194995602E-3</v>
      </c>
      <c r="I94" s="30">
        <f t="shared" si="93"/>
        <v>6.9782711588924698E-2</v>
      </c>
      <c r="J94" s="30">
        <f t="shared" si="93"/>
        <v>6.210661331414298E-2</v>
      </c>
      <c r="K94" s="30">
        <f t="shared" si="93"/>
        <v>439.67989724874661</v>
      </c>
      <c r="L94" s="30">
        <f t="shared" si="93"/>
        <v>2.8089423061118335E-2</v>
      </c>
      <c r="M94" s="30">
        <f t="shared" si="93"/>
        <v>0.19736436720967804</v>
      </c>
      <c r="O94"/>
      <c r="P94"/>
      <c r="Q94" s="4"/>
      <c r="R94" s="4"/>
      <c r="S94" s="4"/>
      <c r="T94" s="4"/>
      <c r="U94" s="4"/>
      <c r="V94" s="4"/>
      <c r="W94" s="5"/>
      <c r="X94" s="4"/>
      <c r="Y94" s="4"/>
      <c r="Z94" s="6"/>
      <c r="AA94" s="6"/>
      <c r="AB94" s="6"/>
      <c r="AC94" s="6"/>
      <c r="AD94" s="6"/>
      <c r="AE94" s="6"/>
      <c r="AF94" s="7"/>
    </row>
    <row r="95" spans="1:32" s="3" customFormat="1" x14ac:dyDescent="0.25">
      <c r="A95" s="137" t="str">
        <f t="shared" si="92"/>
        <v>Skid Steer Loaders</v>
      </c>
      <c r="B95" s="36"/>
      <c r="C95" s="20"/>
      <c r="D95" s="1"/>
      <c r="E95" s="30">
        <f t="shared" si="93"/>
        <v>1.421789135431528E-2</v>
      </c>
      <c r="F95" s="30">
        <f t="shared" si="93"/>
        <v>8.8164414329127083E-2</v>
      </c>
      <c r="G95" s="30">
        <f t="shared" si="93"/>
        <v>8.1978770471389933E-2</v>
      </c>
      <c r="H95" s="30">
        <f t="shared" si="93"/>
        <v>1.4515555928968192E-4</v>
      </c>
      <c r="I95" s="30">
        <f t="shared" si="93"/>
        <v>3.7631237839649378E-3</v>
      </c>
      <c r="J95" s="30">
        <f t="shared" si="93"/>
        <v>3.3491801677287946E-3</v>
      </c>
      <c r="K95" s="30">
        <f t="shared" si="93"/>
        <v>11.228428608034394</v>
      </c>
      <c r="L95" s="30">
        <f t="shared" si="93"/>
        <v>1.2828577206224674E-3</v>
      </c>
      <c r="M95" s="30">
        <f t="shared" si="93"/>
        <v>7.7879831947820447E-3</v>
      </c>
      <c r="O95"/>
      <c r="P95"/>
      <c r="Q95" s="4"/>
      <c r="R95" s="4"/>
      <c r="S95" s="4"/>
      <c r="T95" s="4"/>
      <c r="U95" s="4"/>
      <c r="V95" s="4"/>
      <c r="W95" s="5"/>
      <c r="X95" s="4"/>
      <c r="Y95" s="4"/>
      <c r="Z95" s="6"/>
      <c r="AA95" s="6"/>
      <c r="AB95" s="6"/>
      <c r="AC95" s="6"/>
      <c r="AD95" s="6"/>
      <c r="AE95" s="6"/>
      <c r="AF95" s="7"/>
    </row>
    <row r="96" spans="1:32" s="3" customFormat="1" x14ac:dyDescent="0.25">
      <c r="A96" s="137" t="str">
        <f t="shared" si="92"/>
        <v>Water Truck</v>
      </c>
      <c r="B96" s="36"/>
      <c r="C96" s="20"/>
      <c r="D96" s="1"/>
      <c r="E96" s="30">
        <f t="shared" si="93"/>
        <v>1.9040112217761241E-2</v>
      </c>
      <c r="F96" s="30">
        <f t="shared" si="93"/>
        <v>6.3511857479686157E-2</v>
      </c>
      <c r="G96" s="30">
        <f t="shared" si="93"/>
        <v>0.13823591349718428</v>
      </c>
      <c r="H96" s="30">
        <f t="shared" si="93"/>
        <v>3.2981022796663742E-4</v>
      </c>
      <c r="I96" s="30">
        <f t="shared" si="93"/>
        <v>4.638910931325139E-3</v>
      </c>
      <c r="J96" s="30">
        <f t="shared" si="93"/>
        <v>4.1286307288793738E-3</v>
      </c>
      <c r="K96" s="30">
        <f t="shared" si="93"/>
        <v>29.311993149916439</v>
      </c>
      <c r="L96" s="30">
        <f t="shared" si="93"/>
        <v>1.872628204074556E-3</v>
      </c>
      <c r="M96" s="30">
        <f t="shared" si="93"/>
        <v>1.3132411782232506E-2</v>
      </c>
      <c r="O96"/>
      <c r="P96"/>
      <c r="Q96" s="4"/>
      <c r="R96" s="4"/>
      <c r="S96" s="4"/>
      <c r="T96" s="4"/>
      <c r="U96" s="4"/>
      <c r="V96" s="4"/>
      <c r="W96" s="5"/>
      <c r="X96" s="4"/>
      <c r="Y96" s="4"/>
      <c r="Z96" s="6"/>
      <c r="AA96" s="6"/>
      <c r="AB96" s="6"/>
      <c r="AC96" s="6"/>
      <c r="AD96" s="6"/>
      <c r="AE96" s="6"/>
      <c r="AF96" s="7"/>
    </row>
    <row r="97" spans="1:32" s="3" customFormat="1" x14ac:dyDescent="0.25">
      <c r="A97" s="137" t="str">
        <f t="shared" si="92"/>
        <v>Concrete Trucks</v>
      </c>
      <c r="B97" s="36"/>
      <c r="C97" s="20"/>
      <c r="D97" s="1"/>
      <c r="E97" s="30">
        <f t="shared" si="93"/>
        <v>3.5932432630524543E-2</v>
      </c>
      <c r="F97" s="30">
        <f t="shared" si="93"/>
        <v>0.12273393912361788</v>
      </c>
      <c r="G97" s="30">
        <f t="shared" si="93"/>
        <v>0.25968995685483959</v>
      </c>
      <c r="H97" s="30">
        <f t="shared" si="93"/>
        <v>6.1839417743744503E-4</v>
      </c>
      <c r="I97" s="30">
        <f t="shared" si="93"/>
        <v>8.7228389486155872E-3</v>
      </c>
      <c r="J97" s="30">
        <f t="shared" si="93"/>
        <v>7.7633266642678726E-3</v>
      </c>
      <c r="K97" s="30">
        <f t="shared" si="93"/>
        <v>54.959987156093327</v>
      </c>
      <c r="L97" s="30">
        <f t="shared" si="93"/>
        <v>3.5111778826397923E-3</v>
      </c>
      <c r="M97" s="30">
        <f t="shared" si="93"/>
        <v>2.4670545901209758E-2</v>
      </c>
      <c r="O97"/>
      <c r="P97"/>
      <c r="Q97" s="4"/>
      <c r="R97" s="4"/>
      <c r="S97" s="4"/>
      <c r="T97" s="4"/>
      <c r="U97" s="4"/>
      <c r="V97" s="4"/>
      <c r="W97" s="5"/>
      <c r="X97" s="4"/>
      <c r="Y97" s="4"/>
      <c r="Z97" s="6"/>
      <c r="AA97" s="6"/>
      <c r="AB97" s="6"/>
      <c r="AC97" s="6"/>
      <c r="AD97" s="6"/>
      <c r="AE97" s="6"/>
      <c r="AF97" s="7"/>
    </row>
    <row r="98" spans="1:32" s="3" customFormat="1" x14ac:dyDescent="0.25">
      <c r="A98" s="137" t="str">
        <f t="shared" si="92"/>
        <v>Ditch Witch</v>
      </c>
      <c r="B98" s="36"/>
      <c r="C98" s="20"/>
      <c r="D98" s="1"/>
      <c r="E98" s="30">
        <f t="shared" si="93"/>
        <v>4.7670260639043872E-2</v>
      </c>
      <c r="F98" s="30">
        <f t="shared" si="93"/>
        <v>0.39505401118390898</v>
      </c>
      <c r="G98" s="30">
        <f t="shared" si="93"/>
        <v>0.37426944206574625</v>
      </c>
      <c r="H98" s="30">
        <f t="shared" si="93"/>
        <v>8.4373423563196474E-4</v>
      </c>
      <c r="I98" s="30">
        <f t="shared" si="93"/>
        <v>1.8573714186839074E-2</v>
      </c>
      <c r="J98" s="30">
        <f t="shared" si="93"/>
        <v>1.6530605626286776E-2</v>
      </c>
      <c r="K98" s="30">
        <f t="shared" si="93"/>
        <v>74.987163276578769</v>
      </c>
      <c r="L98" s="30">
        <f t="shared" si="93"/>
        <v>4.6281638670032689E-3</v>
      </c>
      <c r="M98" s="30">
        <f t="shared" si="93"/>
        <v>3.5555596996245893E-2</v>
      </c>
      <c r="O98"/>
      <c r="P98"/>
      <c r="Q98" s="4"/>
      <c r="R98" s="4"/>
      <c r="S98" s="4"/>
      <c r="T98" s="4"/>
      <c r="U98" s="4"/>
      <c r="V98" s="4"/>
      <c r="W98" s="5"/>
      <c r="X98" s="4"/>
      <c r="Y98" s="4"/>
      <c r="Z98" s="6"/>
      <c r="AA98" s="6"/>
      <c r="AB98" s="6"/>
      <c r="AC98" s="6"/>
      <c r="AD98" s="6"/>
      <c r="AE98" s="6"/>
      <c r="AF98" s="7"/>
    </row>
    <row r="99" spans="1:32" s="3" customFormat="1" x14ac:dyDescent="0.25">
      <c r="A99" s="137" t="str">
        <f t="shared" si="92"/>
        <v>Handheld Compactor</v>
      </c>
      <c r="B99" s="36"/>
      <c r="C99" s="20"/>
      <c r="D99" s="1"/>
      <c r="E99" s="30">
        <f t="shared" si="93"/>
        <v>3.8826080912317956E-3</v>
      </c>
      <c r="F99" s="30">
        <f t="shared" si="93"/>
        <v>1.8329269589417132E-2</v>
      </c>
      <c r="G99" s="30">
        <f t="shared" si="93"/>
        <v>2.1882929911016206E-2</v>
      </c>
      <c r="H99" s="30">
        <f t="shared" si="93"/>
        <v>5.1902122384995142E-5</v>
      </c>
      <c r="I99" s="30">
        <f t="shared" si="93"/>
        <v>8.5508423297985924E-4</v>
      </c>
      <c r="J99" s="30">
        <f t="shared" si="93"/>
        <v>7.6102496735207465E-4</v>
      </c>
      <c r="K99" s="30">
        <f t="shared" si="93"/>
        <v>3.3354221776478039</v>
      </c>
      <c r="L99" s="30">
        <f t="shared" si="93"/>
        <v>3.5032143522749343E-4</v>
      </c>
      <c r="M99" s="30">
        <f t="shared" si="93"/>
        <v>2.0788783415465395E-3</v>
      </c>
      <c r="O99"/>
      <c r="P99"/>
      <c r="Q99" s="4"/>
      <c r="R99" s="4"/>
      <c r="S99" s="4"/>
      <c r="T99" s="4"/>
      <c r="U99" s="4"/>
      <c r="V99" s="4"/>
      <c r="W99" s="5"/>
      <c r="X99" s="4"/>
      <c r="Y99" s="4"/>
      <c r="Z99" s="6"/>
      <c r="AA99" s="6"/>
      <c r="AB99" s="6"/>
      <c r="AC99" s="6"/>
      <c r="AD99" s="6"/>
      <c r="AE99" s="6"/>
      <c r="AF99" s="7"/>
    </row>
    <row r="100" spans="1:32" s="3" customFormat="1" x14ac:dyDescent="0.25">
      <c r="A100" s="12" t="str">
        <f t="shared" si="92"/>
        <v>Subtotal</v>
      </c>
      <c r="B100" s="36"/>
      <c r="C100" s="20"/>
      <c r="D100" s="1"/>
      <c r="E100" s="24">
        <f>SUM(E91:E99)</f>
        <v>0.49279916502076337</v>
      </c>
      <c r="F100" s="24">
        <f t="shared" ref="F100:M100" si="94">SUM(F91:F99)</f>
        <v>2.0958062478713391</v>
      </c>
      <c r="G100" s="24">
        <f t="shared" si="94"/>
        <v>3.553145353215883</v>
      </c>
      <c r="H100" s="24">
        <f t="shared" si="94"/>
        <v>8.0554457388443083E-3</v>
      </c>
      <c r="I100" s="24">
        <f t="shared" si="94"/>
        <v>0.14098244191215112</v>
      </c>
      <c r="J100" s="24">
        <f t="shared" si="94"/>
        <v>0.12547437330181449</v>
      </c>
      <c r="K100" s="24">
        <f t="shared" si="94"/>
        <v>710.92702646055272</v>
      </c>
      <c r="L100" s="24">
        <f t="shared" si="94"/>
        <v>4.8064340183544316E-2</v>
      </c>
      <c r="M100" s="24">
        <f t="shared" si="94"/>
        <v>0.33754880855550873</v>
      </c>
      <c r="O100"/>
      <c r="P100"/>
      <c r="Q100" s="4"/>
      <c r="R100" s="4"/>
      <c r="S100" s="4"/>
      <c r="T100" s="4"/>
      <c r="U100" s="4"/>
      <c r="V100" s="4"/>
      <c r="W100" s="5"/>
      <c r="X100" s="4"/>
      <c r="Y100" s="4"/>
      <c r="Z100" s="6"/>
      <c r="AA100" s="6"/>
      <c r="AB100" s="6"/>
      <c r="AC100" s="6"/>
      <c r="AD100" s="6"/>
      <c r="AE100" s="6"/>
      <c r="AF100" s="7"/>
    </row>
    <row r="101" spans="1:32" s="3" customFormat="1" x14ac:dyDescent="0.25">
      <c r="A101" s="12"/>
      <c r="B101" s="36"/>
      <c r="C101" s="20"/>
      <c r="D101" s="1"/>
      <c r="E101" s="30"/>
      <c r="F101" s="30"/>
      <c r="G101" s="30"/>
      <c r="H101" s="30"/>
      <c r="I101" s="30"/>
      <c r="J101" s="30"/>
      <c r="K101" s="30"/>
      <c r="L101" s="30"/>
      <c r="M101" s="30"/>
      <c r="O101"/>
      <c r="P101"/>
      <c r="Q101" s="4"/>
      <c r="R101" s="4"/>
      <c r="S101" s="4"/>
      <c r="T101" s="4"/>
      <c r="U101" s="4"/>
      <c r="V101" s="4"/>
      <c r="W101" s="5"/>
      <c r="X101" s="4"/>
      <c r="Y101" s="4"/>
      <c r="Z101" s="6"/>
      <c r="AA101" s="6"/>
      <c r="AB101" s="6"/>
      <c r="AC101" s="6"/>
      <c r="AD101" s="6"/>
      <c r="AE101" s="6"/>
      <c r="AF101" s="7"/>
    </row>
    <row r="102" spans="1:32" s="3" customFormat="1" x14ac:dyDescent="0.25">
      <c r="A102" s="12" t="str">
        <f t="shared" ref="A102:A110" si="95">A40</f>
        <v>Capistrano Substation Construction - Lower Yard</v>
      </c>
      <c r="B102" s="36"/>
      <c r="C102" s="20"/>
      <c r="D102" s="1"/>
      <c r="E102" s="30"/>
      <c r="F102" s="30"/>
      <c r="G102" s="30"/>
      <c r="H102" s="30"/>
      <c r="I102" s="30"/>
      <c r="J102" s="30"/>
      <c r="K102" s="30"/>
      <c r="L102" s="30"/>
      <c r="M102" s="30"/>
      <c r="O102"/>
      <c r="P102"/>
      <c r="Q102" s="4"/>
      <c r="R102" s="4"/>
      <c r="S102" s="4"/>
      <c r="T102" s="4"/>
      <c r="U102" s="4"/>
      <c r="V102" s="4"/>
      <c r="W102" s="5"/>
      <c r="X102" s="4"/>
      <c r="Y102" s="4"/>
      <c r="Z102" s="6"/>
      <c r="AA102" s="6"/>
      <c r="AB102" s="6"/>
      <c r="AC102" s="6"/>
      <c r="AD102" s="6"/>
      <c r="AE102" s="6"/>
      <c r="AF102" s="7"/>
    </row>
    <row r="103" spans="1:32" s="3" customFormat="1" x14ac:dyDescent="0.25">
      <c r="A103" s="137" t="str">
        <f t="shared" si="95"/>
        <v>Boom Truck</v>
      </c>
      <c r="B103" s="36"/>
      <c r="C103" s="20"/>
      <c r="D103" s="1"/>
      <c r="E103" s="30">
        <f t="shared" ref="E103:M110" si="96">(Q41*$P41)/2000</f>
        <v>0.11977477543508183</v>
      </c>
      <c r="F103" s="30">
        <f t="shared" si="96"/>
        <v>0.40911313041205966</v>
      </c>
      <c r="G103" s="30">
        <f t="shared" si="96"/>
        <v>0.86563318951613188</v>
      </c>
      <c r="H103" s="30">
        <f t="shared" si="96"/>
        <v>2.0613139247914834E-3</v>
      </c>
      <c r="I103" s="30">
        <f t="shared" si="96"/>
        <v>2.9076129828718624E-2</v>
      </c>
      <c r="J103" s="30">
        <f t="shared" si="96"/>
        <v>2.5877755547559576E-2</v>
      </c>
      <c r="K103" s="30">
        <f t="shared" si="96"/>
        <v>183.19995718697777</v>
      </c>
      <c r="L103" s="30">
        <f t="shared" si="96"/>
        <v>1.1703926275465975E-2</v>
      </c>
      <c r="M103" s="30">
        <f t="shared" si="96"/>
        <v>8.223515300403253E-2</v>
      </c>
      <c r="O103"/>
      <c r="P103"/>
      <c r="Q103" s="4"/>
      <c r="R103" s="4"/>
      <c r="S103" s="4"/>
      <c r="T103" s="4"/>
      <c r="U103" s="4"/>
      <c r="V103" s="4"/>
      <c r="W103" s="5"/>
      <c r="X103" s="4"/>
      <c r="Y103" s="4"/>
      <c r="Z103" s="6"/>
      <c r="AA103" s="6"/>
      <c r="AB103" s="6"/>
      <c r="AC103" s="6"/>
      <c r="AD103" s="6"/>
      <c r="AE103" s="6"/>
      <c r="AF103" s="7"/>
    </row>
    <row r="104" spans="1:32" s="3" customFormat="1" x14ac:dyDescent="0.25">
      <c r="A104" s="137" t="str">
        <f t="shared" si="95"/>
        <v>Crane</v>
      </c>
      <c r="B104" s="36"/>
      <c r="C104" s="20"/>
      <c r="D104" s="1"/>
      <c r="E104" s="30">
        <f t="shared" si="96"/>
        <v>3.2424173295556441E-2</v>
      </c>
      <c r="F104" s="30">
        <f t="shared" si="96"/>
        <v>0.12009997022757546</v>
      </c>
      <c r="G104" s="30">
        <f t="shared" si="96"/>
        <v>0.25680810954329863</v>
      </c>
      <c r="H104" s="30">
        <f t="shared" si="96"/>
        <v>4.6668686032896726E-4</v>
      </c>
      <c r="I104" s="30">
        <f t="shared" si="96"/>
        <v>9.2971099883294508E-3</v>
      </c>
      <c r="J104" s="30">
        <f t="shared" si="96"/>
        <v>8.2744278896132121E-3</v>
      </c>
      <c r="K104" s="30">
        <f t="shared" si="96"/>
        <v>47.546744882739866</v>
      </c>
      <c r="L104" s="30">
        <f t="shared" si="96"/>
        <v>3.1561244608920413E-3</v>
      </c>
      <c r="M104" s="30">
        <f t="shared" si="96"/>
        <v>2.439677040661337E-2</v>
      </c>
      <c r="O104"/>
      <c r="P104"/>
      <c r="Q104" s="4"/>
      <c r="R104" s="4"/>
      <c r="S104" s="4"/>
      <c r="T104" s="4"/>
      <c r="U104" s="4"/>
      <c r="V104" s="4"/>
      <c r="W104" s="5"/>
      <c r="X104" s="4"/>
      <c r="Y104" s="4"/>
      <c r="Z104" s="6"/>
      <c r="AA104" s="6"/>
      <c r="AB104" s="6"/>
      <c r="AC104" s="6"/>
      <c r="AD104" s="6"/>
      <c r="AE104" s="6"/>
      <c r="AF104" s="7"/>
    </row>
    <row r="105" spans="1:32" s="3" customFormat="1" x14ac:dyDescent="0.25">
      <c r="A105" s="137" t="str">
        <f t="shared" si="95"/>
        <v>Manlift</v>
      </c>
      <c r="B105" s="36"/>
      <c r="C105" s="20"/>
      <c r="D105" s="1"/>
      <c r="E105" s="30">
        <f t="shared" si="96"/>
        <v>8.6596419733074387E-2</v>
      </c>
      <c r="F105" s="30">
        <f t="shared" si="96"/>
        <v>0.52843051627234638</v>
      </c>
      <c r="G105" s="30">
        <f t="shared" si="96"/>
        <v>0.6257032302124691</v>
      </c>
      <c r="H105" s="30">
        <f t="shared" si="96"/>
        <v>1.0218250204518347E-3</v>
      </c>
      <c r="I105" s="30">
        <f t="shared" si="96"/>
        <v>4.5274494902387573E-2</v>
      </c>
      <c r="J105" s="30">
        <f t="shared" si="96"/>
        <v>4.0294300463124939E-2</v>
      </c>
      <c r="K105" s="30">
        <f t="shared" si="96"/>
        <v>87.108331500913721</v>
      </c>
      <c r="L105" s="30">
        <f t="shared" si="96"/>
        <v>8.5170172230791506E-3</v>
      </c>
      <c r="M105" s="30">
        <f t="shared" si="96"/>
        <v>5.9441806870184563E-2</v>
      </c>
      <c r="O105"/>
      <c r="P105"/>
      <c r="Q105" s="4"/>
      <c r="R105" s="4"/>
      <c r="S105" s="4"/>
      <c r="T105" s="4"/>
      <c r="U105" s="4"/>
      <c r="V105" s="4"/>
      <c r="W105" s="5"/>
      <c r="X105" s="4"/>
      <c r="Y105" s="4"/>
      <c r="Z105" s="6"/>
      <c r="AA105" s="6"/>
      <c r="AB105" s="6"/>
      <c r="AC105" s="6"/>
      <c r="AD105" s="6"/>
      <c r="AE105" s="6"/>
      <c r="AF105" s="7"/>
    </row>
    <row r="106" spans="1:32" s="3" customFormat="1" x14ac:dyDescent="0.25">
      <c r="A106" s="137" t="str">
        <f t="shared" si="95"/>
        <v>Rough Terrain Forklifts</v>
      </c>
      <c r="B106" s="36"/>
      <c r="C106" s="20"/>
      <c r="D106" s="1"/>
      <c r="E106" s="30">
        <f t="shared" si="96"/>
        <v>0.21510943410608818</v>
      </c>
      <c r="F106" s="30">
        <f t="shared" si="96"/>
        <v>0.75644175573530514</v>
      </c>
      <c r="G106" s="30">
        <f t="shared" si="96"/>
        <v>1.760109653677514</v>
      </c>
      <c r="H106" s="30">
        <f t="shared" si="96"/>
        <v>4.0587447641389383E-3</v>
      </c>
      <c r="I106" s="30">
        <f t="shared" si="96"/>
        <v>5.7999629817810372E-2</v>
      </c>
      <c r="J106" s="30">
        <f t="shared" si="96"/>
        <v>5.1619670537851235E-2</v>
      </c>
      <c r="K106" s="30">
        <f t="shared" si="96"/>
        <v>360.72237977518228</v>
      </c>
      <c r="L106" s="30">
        <f t="shared" si="96"/>
        <v>2.1095003935377461E-2</v>
      </c>
      <c r="M106" s="30">
        <f t="shared" si="96"/>
        <v>0.16721041709936382</v>
      </c>
      <c r="O106"/>
      <c r="P106"/>
      <c r="Q106" s="4"/>
      <c r="R106" s="4"/>
      <c r="S106" s="4"/>
      <c r="T106" s="4"/>
      <c r="U106" s="4"/>
      <c r="V106" s="4"/>
      <c r="W106" s="5"/>
      <c r="X106" s="4"/>
      <c r="Y106" s="4"/>
      <c r="Z106" s="6"/>
      <c r="AA106" s="6"/>
      <c r="AB106" s="6"/>
      <c r="AC106" s="6"/>
      <c r="AD106" s="6"/>
      <c r="AE106" s="6"/>
      <c r="AF106" s="7"/>
    </row>
    <row r="107" spans="1:32" s="3" customFormat="1" x14ac:dyDescent="0.25">
      <c r="A107" s="137" t="str">
        <f t="shared" si="95"/>
        <v>Line Truck</v>
      </c>
      <c r="B107" s="36"/>
      <c r="C107" s="20"/>
      <c r="D107" s="1"/>
      <c r="E107" s="30">
        <f t="shared" si="96"/>
        <v>1.4280084163320928E-2</v>
      </c>
      <c r="F107" s="30">
        <f t="shared" si="96"/>
        <v>4.7633893109764618E-2</v>
      </c>
      <c r="G107" s="30">
        <f t="shared" si="96"/>
        <v>0.10367693512288821</v>
      </c>
      <c r="H107" s="30">
        <f t="shared" si="96"/>
        <v>2.4735767097497802E-4</v>
      </c>
      <c r="I107" s="30">
        <f t="shared" si="96"/>
        <v>3.4791831984938536E-3</v>
      </c>
      <c r="J107" s="30">
        <f t="shared" si="96"/>
        <v>3.0964730466595302E-3</v>
      </c>
      <c r="K107" s="30">
        <f t="shared" si="96"/>
        <v>21.983994862437328</v>
      </c>
      <c r="L107" s="30">
        <f t="shared" si="96"/>
        <v>1.4044711530559169E-3</v>
      </c>
      <c r="M107" s="30">
        <f t="shared" si="96"/>
        <v>9.8493088366743784E-3</v>
      </c>
      <c r="O107"/>
      <c r="P107"/>
      <c r="Q107" s="4"/>
      <c r="R107" s="4"/>
      <c r="S107" s="4"/>
      <c r="T107" s="4"/>
      <c r="U107" s="4"/>
      <c r="V107" s="4"/>
      <c r="W107" s="5"/>
      <c r="X107" s="4"/>
      <c r="Y107" s="4"/>
      <c r="Z107" s="6"/>
      <c r="AA107" s="6"/>
      <c r="AB107" s="6"/>
      <c r="AC107" s="6"/>
      <c r="AD107" s="6"/>
      <c r="AE107" s="6"/>
      <c r="AF107" s="7"/>
    </row>
    <row r="108" spans="1:32" s="3" customFormat="1" x14ac:dyDescent="0.25">
      <c r="A108" s="137" t="str">
        <f t="shared" si="95"/>
        <v>Cable Dolly</v>
      </c>
      <c r="B108" s="36"/>
      <c r="C108" s="20"/>
      <c r="D108" s="1"/>
      <c r="E108" s="30">
        <f t="shared" si="96"/>
        <v>0</v>
      </c>
      <c r="F108" s="30">
        <f t="shared" si="96"/>
        <v>0</v>
      </c>
      <c r="G108" s="30">
        <f t="shared" si="96"/>
        <v>0</v>
      </c>
      <c r="H108" s="30">
        <f t="shared" si="96"/>
        <v>0</v>
      </c>
      <c r="I108" s="30">
        <f t="shared" si="96"/>
        <v>0</v>
      </c>
      <c r="J108" s="30">
        <f t="shared" si="96"/>
        <v>0</v>
      </c>
      <c r="K108" s="30">
        <f t="shared" si="96"/>
        <v>0</v>
      </c>
      <c r="L108" s="30">
        <f t="shared" si="96"/>
        <v>0</v>
      </c>
      <c r="M108" s="30">
        <f t="shared" si="96"/>
        <v>0</v>
      </c>
      <c r="O108"/>
      <c r="P108"/>
      <c r="Q108" s="4"/>
      <c r="R108" s="4"/>
      <c r="S108" s="4"/>
      <c r="T108" s="4"/>
      <c r="U108" s="4"/>
      <c r="V108" s="4"/>
      <c r="W108" s="5"/>
      <c r="X108" s="4"/>
      <c r="Y108" s="4"/>
      <c r="Z108" s="6"/>
      <c r="AA108" s="6"/>
      <c r="AB108" s="6"/>
      <c r="AC108" s="6"/>
      <c r="AD108" s="6"/>
      <c r="AE108" s="6"/>
      <c r="AF108" s="7"/>
    </row>
    <row r="109" spans="1:32" s="3" customFormat="1" x14ac:dyDescent="0.25">
      <c r="A109" s="137" t="str">
        <f t="shared" si="95"/>
        <v>Stringing Rigs</v>
      </c>
      <c r="B109" s="36"/>
      <c r="C109" s="20"/>
      <c r="D109" s="1"/>
      <c r="E109" s="30">
        <f t="shared" si="96"/>
        <v>0</v>
      </c>
      <c r="F109" s="30">
        <f t="shared" si="96"/>
        <v>0</v>
      </c>
      <c r="G109" s="30">
        <f t="shared" si="96"/>
        <v>0</v>
      </c>
      <c r="H109" s="30">
        <f t="shared" si="96"/>
        <v>0</v>
      </c>
      <c r="I109" s="30">
        <f t="shared" si="96"/>
        <v>0</v>
      </c>
      <c r="J109" s="30">
        <f t="shared" si="96"/>
        <v>0</v>
      </c>
      <c r="K109" s="30">
        <f t="shared" si="96"/>
        <v>0</v>
      </c>
      <c r="L109" s="30">
        <f t="shared" si="96"/>
        <v>0</v>
      </c>
      <c r="M109" s="30">
        <f t="shared" si="96"/>
        <v>0</v>
      </c>
      <c r="O109"/>
      <c r="P109"/>
      <c r="Q109" s="4"/>
      <c r="R109" s="4"/>
      <c r="S109" s="4"/>
      <c r="T109" s="4"/>
      <c r="U109" s="4"/>
      <c r="V109" s="4"/>
      <c r="W109" s="5"/>
      <c r="X109" s="4"/>
      <c r="Y109" s="4"/>
      <c r="Z109" s="6"/>
      <c r="AA109" s="6"/>
      <c r="AB109" s="6"/>
      <c r="AC109" s="6"/>
      <c r="AD109" s="6"/>
      <c r="AE109" s="6"/>
      <c r="AF109" s="7"/>
    </row>
    <row r="110" spans="1:32" s="3" customFormat="1" x14ac:dyDescent="0.25">
      <c r="A110" s="137" t="str">
        <f t="shared" si="95"/>
        <v>Oil Rig</v>
      </c>
      <c r="B110" s="36"/>
      <c r="C110" s="20"/>
      <c r="D110" s="1"/>
      <c r="E110" s="30">
        <f t="shared" si="96"/>
        <v>1.4372973052209819E-2</v>
      </c>
      <c r="F110" s="30">
        <f t="shared" si="96"/>
        <v>4.9093575649447149E-2</v>
      </c>
      <c r="G110" s="30">
        <f t="shared" si="96"/>
        <v>0.10387598274193582</v>
      </c>
      <c r="H110" s="30">
        <f t="shared" si="96"/>
        <v>2.4735767097497802E-4</v>
      </c>
      <c r="I110" s="30">
        <f t="shared" si="96"/>
        <v>3.4891355794462349E-3</v>
      </c>
      <c r="J110" s="30">
        <f t="shared" si="96"/>
        <v>3.1053306657071495E-3</v>
      </c>
      <c r="K110" s="30">
        <f t="shared" si="96"/>
        <v>21.983994862437328</v>
      </c>
      <c r="L110" s="30">
        <f t="shared" si="96"/>
        <v>1.4044711530559169E-3</v>
      </c>
      <c r="M110" s="30">
        <f t="shared" si="96"/>
        <v>9.8682183604839047E-3</v>
      </c>
      <c r="O110"/>
      <c r="P110"/>
      <c r="Q110" s="4"/>
      <c r="R110" s="4"/>
      <c r="S110" s="4"/>
      <c r="T110" s="4"/>
      <c r="U110" s="4"/>
      <c r="V110" s="4"/>
      <c r="W110" s="5"/>
      <c r="X110" s="4"/>
      <c r="Y110" s="4"/>
      <c r="Z110" s="6"/>
      <c r="AA110" s="6"/>
      <c r="AB110" s="6"/>
      <c r="AC110" s="6"/>
      <c r="AD110" s="6"/>
      <c r="AE110" s="6"/>
      <c r="AF110" s="7"/>
    </row>
    <row r="111" spans="1:32" s="3" customFormat="1" x14ac:dyDescent="0.25">
      <c r="A111" s="137" t="str">
        <f t="shared" ref="A111:A127" si="97">A49</f>
        <v>SF6 Trailer</v>
      </c>
      <c r="B111" s="36"/>
      <c r="C111" s="20"/>
      <c r="D111" s="1"/>
      <c r="E111" s="30">
        <f t="shared" ref="E111:M111" si="98">(Q49*$P49)/2000</f>
        <v>2.8745946104419638E-2</v>
      </c>
      <c r="F111" s="30">
        <f t="shared" si="98"/>
        <v>9.8187151298894298E-2</v>
      </c>
      <c r="G111" s="30">
        <f t="shared" si="98"/>
        <v>0.20775196548387165</v>
      </c>
      <c r="H111" s="30">
        <f t="shared" si="98"/>
        <v>4.9471534194995604E-4</v>
      </c>
      <c r="I111" s="30">
        <f t="shared" si="98"/>
        <v>6.9782711588924698E-3</v>
      </c>
      <c r="J111" s="30">
        <f t="shared" si="98"/>
        <v>6.2106613314142989E-3</v>
      </c>
      <c r="K111" s="30">
        <f t="shared" si="98"/>
        <v>43.967989724874656</v>
      </c>
      <c r="L111" s="30">
        <f t="shared" si="98"/>
        <v>2.8089423061118338E-3</v>
      </c>
      <c r="M111" s="30">
        <f t="shared" si="98"/>
        <v>1.9736436720967809E-2</v>
      </c>
      <c r="O111"/>
      <c r="P111"/>
      <c r="Q111" s="4"/>
      <c r="R111" s="4"/>
      <c r="S111" s="4"/>
      <c r="T111" s="4"/>
      <c r="U111" s="4"/>
      <c r="V111" s="4"/>
      <c r="W111" s="5"/>
      <c r="X111" s="4"/>
      <c r="Y111" s="4"/>
      <c r="Z111" s="6"/>
      <c r="AA111" s="6"/>
      <c r="AB111" s="6"/>
      <c r="AC111" s="6"/>
      <c r="AD111" s="6"/>
      <c r="AE111" s="6"/>
      <c r="AF111" s="7"/>
    </row>
    <row r="112" spans="1:32" s="3" customFormat="1" x14ac:dyDescent="0.25">
      <c r="A112" s="12" t="str">
        <f t="shared" si="97"/>
        <v>Subtotal</v>
      </c>
      <c r="B112" s="36"/>
      <c r="C112" s="20"/>
      <c r="D112" s="1"/>
      <c r="E112" s="24">
        <f t="shared" ref="E112:M112" si="99">SUM(E103:E111)</f>
        <v>0.51130380588975122</v>
      </c>
      <c r="F112" s="24">
        <f t="shared" si="99"/>
        <v>2.0089999927053928</v>
      </c>
      <c r="G112" s="24">
        <f t="shared" si="99"/>
        <v>3.9235590662981092</v>
      </c>
      <c r="H112" s="24">
        <f t="shared" si="99"/>
        <v>8.5980012536111365E-3</v>
      </c>
      <c r="I112" s="24">
        <f t="shared" si="99"/>
        <v>0.15559395447407859</v>
      </c>
      <c r="J112" s="24">
        <f t="shared" si="99"/>
        <v>0.13847861948192994</v>
      </c>
      <c r="K112" s="24">
        <f t="shared" si="99"/>
        <v>766.51339279556294</v>
      </c>
      <c r="L112" s="24">
        <f t="shared" si="99"/>
        <v>5.0089956507038298E-2</v>
      </c>
      <c r="M112" s="24">
        <f t="shared" si="99"/>
        <v>0.37273811129832041</v>
      </c>
      <c r="O112"/>
      <c r="P112"/>
      <c r="Q112" s="4"/>
      <c r="R112" s="4"/>
      <c r="S112" s="4"/>
      <c r="T112" s="4"/>
      <c r="U112" s="4"/>
      <c r="V112" s="4"/>
      <c r="W112" s="5"/>
      <c r="X112" s="4"/>
      <c r="Y112" s="4"/>
      <c r="Z112" s="6"/>
      <c r="AA112" s="6"/>
      <c r="AB112" s="6"/>
      <c r="AC112" s="6"/>
      <c r="AD112" s="6"/>
      <c r="AE112" s="6"/>
      <c r="AF112" s="7"/>
    </row>
    <row r="113" spans="1:32" s="3" customFormat="1" x14ac:dyDescent="0.25">
      <c r="A113" s="137"/>
      <c r="B113" s="36"/>
      <c r="C113" s="20"/>
      <c r="D113" s="1"/>
      <c r="E113" s="30"/>
      <c r="F113" s="30"/>
      <c r="G113" s="30"/>
      <c r="H113" s="30"/>
      <c r="I113" s="30"/>
      <c r="J113" s="30"/>
      <c r="K113" s="30"/>
      <c r="L113" s="30"/>
      <c r="M113" s="30"/>
      <c r="O113"/>
      <c r="P113"/>
      <c r="Q113" s="4"/>
      <c r="R113" s="4"/>
      <c r="S113" s="4"/>
      <c r="T113" s="4"/>
      <c r="U113" s="4"/>
      <c r="V113" s="4"/>
      <c r="W113" s="5"/>
      <c r="X113" s="4"/>
      <c r="Y113" s="4"/>
      <c r="Z113" s="6"/>
      <c r="AA113" s="6"/>
      <c r="AB113" s="6"/>
      <c r="AC113" s="6"/>
      <c r="AD113" s="6"/>
      <c r="AE113" s="6"/>
      <c r="AF113" s="7"/>
    </row>
    <row r="114" spans="1:32" s="3" customFormat="1" x14ac:dyDescent="0.25">
      <c r="A114" s="12" t="str">
        <f t="shared" si="97"/>
        <v>Capistrano Substation Relay Testing - Lower Yard</v>
      </c>
      <c r="B114" s="36"/>
      <c r="C114" s="20"/>
      <c r="D114" s="1"/>
      <c r="E114" s="30"/>
      <c r="F114" s="30"/>
      <c r="G114" s="30"/>
      <c r="H114" s="30"/>
      <c r="I114" s="30"/>
      <c r="J114" s="30"/>
      <c r="K114" s="30"/>
      <c r="L114" s="30"/>
      <c r="M114" s="30"/>
      <c r="O114"/>
      <c r="P114"/>
      <c r="Q114" s="4"/>
      <c r="R114" s="4"/>
      <c r="S114" s="4"/>
      <c r="T114" s="4"/>
      <c r="U114" s="4"/>
      <c r="V114" s="4"/>
      <c r="W114" s="5"/>
      <c r="X114" s="4"/>
      <c r="Y114" s="4"/>
      <c r="Z114" s="6"/>
      <c r="AA114" s="6"/>
      <c r="AB114" s="6"/>
      <c r="AC114" s="6"/>
      <c r="AD114" s="6"/>
      <c r="AE114" s="6"/>
      <c r="AF114" s="7"/>
    </row>
    <row r="115" spans="1:32" s="3" customFormat="1" x14ac:dyDescent="0.25">
      <c r="A115" s="137" t="str">
        <f t="shared" si="97"/>
        <v>Relay/Telecommunication Van</v>
      </c>
      <c r="B115" s="36"/>
      <c r="C115" s="20"/>
      <c r="D115" s="1"/>
      <c r="E115" s="30">
        <f>Q53*$P53/2000</f>
        <v>1.2250523825424263E-2</v>
      </c>
      <c r="F115" s="30">
        <f t="shared" ref="F115" si="100">R53*$P53/2000</f>
        <v>4.6619581561949452E-2</v>
      </c>
      <c r="G115" s="30">
        <f t="shared" ref="G115" si="101">S53*$P53/2000</f>
        <v>8.1683295230325637E-2</v>
      </c>
      <c r="H115" s="30">
        <f t="shared" ref="H115" si="102">T53*$P53/2000</f>
        <v>2.473575483918188E-4</v>
      </c>
      <c r="I115" s="30">
        <f t="shared" ref="I115" si="103">U53*$P53/2000</f>
        <v>2.765585738182994E-3</v>
      </c>
      <c r="J115" s="30">
        <f t="shared" ref="J115" si="104">V53*$P53/2000</f>
        <v>2.4613713069828649E-3</v>
      </c>
      <c r="K115" s="30">
        <f t="shared" ref="K115" si="105">W53*$P53/2000</f>
        <v>21.983988541403097</v>
      </c>
      <c r="L115" s="30">
        <f t="shared" ref="L115" si="106">X53*$P53/2000</f>
        <v>1.3205680064784142E-3</v>
      </c>
      <c r="M115" s="30">
        <f t="shared" ref="M115" si="107">Y53*$P53/2000</f>
        <v>7.7599130468809369E-3</v>
      </c>
      <c r="O115"/>
      <c r="P115"/>
      <c r="Q115" s="4"/>
      <c r="R115" s="4"/>
      <c r="S115" s="4"/>
      <c r="T115" s="4"/>
      <c r="U115" s="4"/>
      <c r="V115" s="4"/>
      <c r="W115" s="5"/>
      <c r="X115" s="4"/>
      <c r="Y115" s="4"/>
      <c r="Z115" s="6"/>
      <c r="AA115" s="6"/>
      <c r="AB115" s="6"/>
      <c r="AC115" s="6"/>
      <c r="AD115" s="6"/>
      <c r="AE115" s="6"/>
      <c r="AF115" s="7"/>
    </row>
    <row r="116" spans="1:32" s="3" customFormat="1" x14ac:dyDescent="0.25">
      <c r="A116" s="12" t="str">
        <f t="shared" si="97"/>
        <v>Subtotal</v>
      </c>
      <c r="B116" s="36"/>
      <c r="C116" s="20"/>
      <c r="D116" s="1"/>
      <c r="E116" s="24">
        <f t="shared" ref="E116:M116" si="108">SUM(E115)</f>
        <v>1.2250523825424263E-2</v>
      </c>
      <c r="F116" s="24">
        <f t="shared" si="108"/>
        <v>4.6619581561949452E-2</v>
      </c>
      <c r="G116" s="24">
        <f t="shared" si="108"/>
        <v>8.1683295230325637E-2</v>
      </c>
      <c r="H116" s="24">
        <f t="shared" si="108"/>
        <v>2.473575483918188E-4</v>
      </c>
      <c r="I116" s="24">
        <f t="shared" si="108"/>
        <v>2.765585738182994E-3</v>
      </c>
      <c r="J116" s="24">
        <f t="shared" si="108"/>
        <v>2.4613713069828649E-3</v>
      </c>
      <c r="K116" s="24">
        <f t="shared" si="108"/>
        <v>21.983988541403097</v>
      </c>
      <c r="L116" s="24">
        <f t="shared" si="108"/>
        <v>1.3205680064784142E-3</v>
      </c>
      <c r="M116" s="24">
        <f t="shared" si="108"/>
        <v>7.7599130468809369E-3</v>
      </c>
      <c r="O116"/>
      <c r="P116"/>
      <c r="Q116" s="4"/>
      <c r="R116" s="4"/>
      <c r="S116" s="4"/>
      <c r="T116" s="4"/>
      <c r="U116" s="4"/>
      <c r="V116" s="4"/>
      <c r="W116" s="5"/>
      <c r="X116" s="4"/>
      <c r="Y116" s="4"/>
      <c r="Z116" s="6"/>
      <c r="AA116" s="6"/>
      <c r="AB116" s="6"/>
      <c r="AC116" s="6"/>
      <c r="AD116" s="6"/>
      <c r="AE116" s="6"/>
      <c r="AF116" s="7"/>
    </row>
    <row r="117" spans="1:32" s="3" customFormat="1" x14ac:dyDescent="0.25">
      <c r="A117" s="12"/>
      <c r="B117" s="36"/>
      <c r="C117" s="20"/>
      <c r="D117" s="1"/>
      <c r="E117" s="30"/>
      <c r="F117" s="30"/>
      <c r="G117" s="30"/>
      <c r="H117" s="30"/>
      <c r="I117" s="30"/>
      <c r="J117" s="30"/>
      <c r="K117" s="30"/>
      <c r="L117" s="30"/>
      <c r="M117" s="30"/>
      <c r="O117"/>
      <c r="P117"/>
      <c r="Q117" s="4"/>
      <c r="R117" s="4"/>
      <c r="S117" s="4"/>
      <c r="T117" s="4"/>
      <c r="U117" s="4"/>
      <c r="V117" s="4"/>
      <c r="W117" s="5"/>
      <c r="X117" s="4"/>
      <c r="Y117" s="4"/>
      <c r="Z117" s="6"/>
      <c r="AA117" s="6"/>
      <c r="AB117" s="6"/>
      <c r="AC117" s="6"/>
      <c r="AD117" s="6"/>
      <c r="AE117" s="6"/>
      <c r="AF117" s="7"/>
    </row>
    <row r="118" spans="1:32" s="3" customFormat="1" x14ac:dyDescent="0.25">
      <c r="A118" s="12" t="str">
        <f t="shared" si="97"/>
        <v>Capistrano Substation Energization - Lower Yard</v>
      </c>
      <c r="B118" s="36"/>
      <c r="C118" s="20"/>
      <c r="D118" s="1"/>
      <c r="E118" s="30"/>
      <c r="F118" s="30"/>
      <c r="G118" s="30"/>
      <c r="H118" s="30"/>
      <c r="I118" s="30"/>
      <c r="J118" s="30"/>
      <c r="K118" s="30"/>
      <c r="L118" s="30"/>
      <c r="M118" s="30"/>
      <c r="O118"/>
      <c r="P118"/>
      <c r="Q118" s="4"/>
      <c r="R118" s="4"/>
      <c r="S118" s="4"/>
      <c r="T118" s="4"/>
      <c r="U118" s="4"/>
      <c r="V118" s="4"/>
      <c r="W118" s="5"/>
      <c r="X118" s="4"/>
      <c r="Y118" s="4"/>
      <c r="Z118" s="6"/>
      <c r="AA118" s="6"/>
      <c r="AB118" s="6"/>
      <c r="AC118" s="6"/>
      <c r="AD118" s="6"/>
      <c r="AE118" s="6"/>
      <c r="AF118" s="7"/>
    </row>
    <row r="119" spans="1:32" s="3" customFormat="1" x14ac:dyDescent="0.25">
      <c r="A119" s="137" t="str">
        <f t="shared" si="97"/>
        <v>Relay/Telecommunication Van</v>
      </c>
      <c r="B119" s="36"/>
      <c r="C119" s="20"/>
      <c r="D119" s="1"/>
      <c r="E119" s="30">
        <f t="shared" ref="E119:E120" si="109">Q57*$P57/2000</f>
        <v>2.0417539709040437E-3</v>
      </c>
      <c r="F119" s="30">
        <f t="shared" ref="F119:F120" si="110">R57*$P57/2000</f>
        <v>7.7699302603249096E-3</v>
      </c>
      <c r="G119" s="30">
        <f t="shared" ref="G119:G120" si="111">S57*$P57/2000</f>
        <v>1.3613882538387608E-2</v>
      </c>
      <c r="H119" s="30">
        <f t="shared" ref="H119:H120" si="112">T57*$P57/2000</f>
        <v>4.122625806530313E-5</v>
      </c>
      <c r="I119" s="30">
        <f t="shared" ref="I119:I120" si="113">U57*$P57/2000</f>
        <v>4.6093095636383233E-4</v>
      </c>
      <c r="J119" s="30">
        <f t="shared" ref="J119:J120" si="114">V57*$P57/2000</f>
        <v>4.1022855116381078E-4</v>
      </c>
      <c r="K119" s="30">
        <f t="shared" ref="K119:K120" si="115">W57*$P57/2000</f>
        <v>3.6639980902338496</v>
      </c>
      <c r="L119" s="30">
        <f t="shared" ref="L119:L120" si="116">X57*$P57/2000</f>
        <v>2.2009466774640236E-4</v>
      </c>
      <c r="M119" s="30">
        <f t="shared" ref="M119:M120" si="117">Y57*$P57/2000</f>
        <v>1.2933188411468229E-3</v>
      </c>
      <c r="O119"/>
      <c r="P119"/>
      <c r="Q119" s="4"/>
      <c r="R119" s="4"/>
      <c r="S119" s="4"/>
      <c r="T119" s="4"/>
      <c r="U119" s="4"/>
      <c r="V119" s="4"/>
      <c r="W119" s="5"/>
      <c r="X119" s="4"/>
      <c r="Y119" s="4"/>
      <c r="Z119" s="6"/>
      <c r="AA119" s="6"/>
      <c r="AB119" s="6"/>
      <c r="AC119" s="6"/>
      <c r="AD119" s="6"/>
      <c r="AE119" s="6"/>
      <c r="AF119" s="7"/>
    </row>
    <row r="120" spans="1:32" s="3" customFormat="1" x14ac:dyDescent="0.25">
      <c r="A120" s="137" t="str">
        <f t="shared" si="97"/>
        <v>Line Truck</v>
      </c>
      <c r="B120" s="36"/>
      <c r="C120" s="20"/>
      <c r="D120" s="1"/>
      <c r="E120" s="30">
        <f t="shared" si="109"/>
        <v>2.0417539709040437E-3</v>
      </c>
      <c r="F120" s="30">
        <f t="shared" si="110"/>
        <v>7.7699302603249096E-3</v>
      </c>
      <c r="G120" s="30">
        <f t="shared" si="111"/>
        <v>1.3613882538387608E-2</v>
      </c>
      <c r="H120" s="30">
        <f t="shared" si="112"/>
        <v>4.122625806530313E-5</v>
      </c>
      <c r="I120" s="30">
        <f t="shared" si="113"/>
        <v>4.6093095636383233E-4</v>
      </c>
      <c r="J120" s="30">
        <f t="shared" si="114"/>
        <v>4.1022855116381078E-4</v>
      </c>
      <c r="K120" s="30">
        <f t="shared" si="115"/>
        <v>3.6639980902338496</v>
      </c>
      <c r="L120" s="30">
        <f t="shared" si="116"/>
        <v>2.2009466774640236E-4</v>
      </c>
      <c r="M120" s="30">
        <f t="shared" si="117"/>
        <v>1.2933188411468229E-3</v>
      </c>
      <c r="O120"/>
      <c r="P120"/>
      <c r="Q120" s="4"/>
      <c r="R120" s="4"/>
      <c r="S120" s="4"/>
      <c r="T120" s="4"/>
      <c r="U120" s="4"/>
      <c r="V120" s="4"/>
      <c r="W120" s="5"/>
      <c r="X120" s="4"/>
      <c r="Y120" s="4"/>
      <c r="Z120" s="6"/>
      <c r="AA120" s="6"/>
      <c r="AB120" s="6"/>
      <c r="AC120" s="6"/>
      <c r="AD120" s="6"/>
      <c r="AE120" s="6"/>
      <c r="AF120" s="7"/>
    </row>
    <row r="121" spans="1:32" s="3" customFormat="1" x14ac:dyDescent="0.25">
      <c r="A121" s="12" t="str">
        <f t="shared" si="97"/>
        <v>Subtotal</v>
      </c>
      <c r="B121" s="36"/>
      <c r="C121" s="20"/>
      <c r="D121" s="1"/>
      <c r="E121" s="24">
        <f t="shared" ref="E121:M121" si="118">SUM(E119:E120)</f>
        <v>4.0835079418080874E-3</v>
      </c>
      <c r="F121" s="24">
        <f t="shared" si="118"/>
        <v>1.5539860520649819E-2</v>
      </c>
      <c r="G121" s="24">
        <f t="shared" si="118"/>
        <v>2.7227765076775216E-2</v>
      </c>
      <c r="H121" s="24">
        <f t="shared" si="118"/>
        <v>8.2452516130606261E-5</v>
      </c>
      <c r="I121" s="24">
        <f t="shared" si="118"/>
        <v>9.2186191272766466E-4</v>
      </c>
      <c r="J121" s="24">
        <f t="shared" si="118"/>
        <v>8.2045710232762155E-4</v>
      </c>
      <c r="K121" s="24">
        <f t="shared" si="118"/>
        <v>7.3279961804676992</v>
      </c>
      <c r="L121" s="24">
        <f t="shared" si="118"/>
        <v>4.4018933549280472E-4</v>
      </c>
      <c r="M121" s="24">
        <f t="shared" si="118"/>
        <v>2.5866376822936458E-3</v>
      </c>
      <c r="O121"/>
      <c r="P121"/>
      <c r="Q121" s="4"/>
      <c r="R121" s="4"/>
      <c r="S121" s="4"/>
      <c r="T121" s="4"/>
      <c r="U121" s="4"/>
      <c r="V121" s="4"/>
      <c r="W121" s="5"/>
      <c r="X121" s="4"/>
      <c r="Y121" s="4"/>
      <c r="Z121" s="6"/>
      <c r="AA121" s="6"/>
      <c r="AB121" s="6"/>
      <c r="AC121" s="6"/>
      <c r="AD121" s="6"/>
      <c r="AE121" s="6"/>
      <c r="AF121" s="7"/>
    </row>
    <row r="122" spans="1:32" s="3" customFormat="1" x14ac:dyDescent="0.25">
      <c r="A122" s="12"/>
      <c r="B122" s="36"/>
      <c r="C122" s="20"/>
      <c r="D122" s="1"/>
      <c r="E122" s="30"/>
      <c r="F122" s="30"/>
      <c r="G122" s="30"/>
      <c r="H122" s="30"/>
      <c r="I122" s="30"/>
      <c r="J122" s="30"/>
      <c r="K122" s="30"/>
      <c r="L122" s="30"/>
      <c r="M122" s="30"/>
      <c r="O122"/>
      <c r="P122"/>
      <c r="Q122" s="4"/>
      <c r="R122" s="4"/>
      <c r="S122" s="4"/>
      <c r="T122" s="4"/>
      <c r="U122" s="4"/>
      <c r="V122" s="4"/>
      <c r="W122" s="5"/>
      <c r="X122" s="4"/>
      <c r="Y122" s="4"/>
      <c r="Z122" s="6"/>
      <c r="AA122" s="6"/>
      <c r="AB122" s="6"/>
      <c r="AC122" s="6"/>
      <c r="AD122" s="6"/>
      <c r="AE122" s="6"/>
      <c r="AF122" s="7"/>
    </row>
    <row r="123" spans="1:32" s="3" customFormat="1" x14ac:dyDescent="0.25">
      <c r="A123" s="12" t="str">
        <f t="shared" si="97"/>
        <v>Capistrano Substation Energize Temporary TL 13835 - Lower Yard</v>
      </c>
      <c r="B123" s="36"/>
      <c r="C123" s="20"/>
      <c r="D123" s="1"/>
      <c r="E123" s="30"/>
      <c r="F123" s="30"/>
      <c r="G123" s="30"/>
      <c r="H123" s="30"/>
      <c r="I123" s="30"/>
      <c r="J123" s="30"/>
      <c r="K123" s="30"/>
      <c r="L123" s="30"/>
      <c r="M123" s="30"/>
      <c r="O123"/>
      <c r="P123"/>
      <c r="Q123" s="4"/>
      <c r="R123" s="4"/>
      <c r="S123" s="4"/>
      <c r="T123" s="4"/>
      <c r="U123" s="4"/>
      <c r="V123" s="4"/>
      <c r="W123" s="5"/>
      <c r="X123" s="4"/>
      <c r="Y123" s="4"/>
      <c r="Z123" s="6"/>
      <c r="AA123" s="6"/>
      <c r="AB123" s="6"/>
      <c r="AC123" s="6"/>
      <c r="AD123" s="6"/>
      <c r="AE123" s="6"/>
      <c r="AF123" s="7"/>
    </row>
    <row r="124" spans="1:32" s="3" customFormat="1" x14ac:dyDescent="0.25">
      <c r="A124" s="137" t="str">
        <f t="shared" si="97"/>
        <v>Relay/Telecommunication Van</v>
      </c>
      <c r="B124" s="36"/>
      <c r="C124" s="20"/>
      <c r="D124" s="1"/>
      <c r="E124" s="30">
        <f t="shared" ref="E124:E126" si="119">Q62*$P62/2000</f>
        <v>2.0417539709040437E-3</v>
      </c>
      <c r="F124" s="30">
        <f t="shared" ref="F124:F126" si="120">R62*$P62/2000</f>
        <v>7.7699302603249096E-3</v>
      </c>
      <c r="G124" s="30">
        <f t="shared" ref="G124:G126" si="121">S62*$P62/2000</f>
        <v>1.3613882538387608E-2</v>
      </c>
      <c r="H124" s="30">
        <f t="shared" ref="H124:H126" si="122">T62*$P62/2000</f>
        <v>4.122625806530313E-5</v>
      </c>
      <c r="I124" s="30">
        <f t="shared" ref="I124:I126" si="123">U62*$P62/2000</f>
        <v>4.6093095636383233E-4</v>
      </c>
      <c r="J124" s="30">
        <f t="shared" ref="J124:J126" si="124">V62*$P62/2000</f>
        <v>4.1022855116381078E-4</v>
      </c>
      <c r="K124" s="30">
        <f t="shared" ref="K124:K126" si="125">W62*$P62/2000</f>
        <v>3.6639980902338496</v>
      </c>
      <c r="L124" s="30">
        <f t="shared" ref="L124:L126" si="126">X62*$P62/2000</f>
        <v>2.2009466774640236E-4</v>
      </c>
      <c r="M124" s="30">
        <f t="shared" ref="M124:M126" si="127">Y62*$P62/2000</f>
        <v>1.2933188411468229E-3</v>
      </c>
      <c r="O124"/>
      <c r="P124"/>
      <c r="Q124" s="4"/>
      <c r="R124" s="4"/>
      <c r="S124" s="4"/>
      <c r="T124" s="4"/>
      <c r="U124" s="4"/>
      <c r="V124" s="4"/>
      <c r="W124" s="5"/>
      <c r="X124" s="4"/>
      <c r="Y124" s="4"/>
      <c r="Z124" s="6"/>
      <c r="AA124" s="6"/>
      <c r="AB124" s="6"/>
      <c r="AC124" s="6"/>
      <c r="AD124" s="6"/>
      <c r="AE124" s="6"/>
      <c r="AF124" s="7"/>
    </row>
    <row r="125" spans="1:32" s="3" customFormat="1" x14ac:dyDescent="0.25">
      <c r="A125" s="137" t="str">
        <f t="shared" si="97"/>
        <v>Line Truck</v>
      </c>
      <c r="B125" s="36"/>
      <c r="C125" s="20"/>
      <c r="D125" s="1"/>
      <c r="E125" s="30">
        <f t="shared" si="119"/>
        <v>2.0417539709040437E-3</v>
      </c>
      <c r="F125" s="30">
        <f t="shared" si="120"/>
        <v>7.7699302603249096E-3</v>
      </c>
      <c r="G125" s="30">
        <f t="shared" si="121"/>
        <v>1.3613882538387608E-2</v>
      </c>
      <c r="H125" s="30">
        <f t="shared" si="122"/>
        <v>4.122625806530313E-5</v>
      </c>
      <c r="I125" s="30">
        <f t="shared" si="123"/>
        <v>4.6093095636383233E-4</v>
      </c>
      <c r="J125" s="30">
        <f t="shared" si="124"/>
        <v>4.1022855116381078E-4</v>
      </c>
      <c r="K125" s="30">
        <f t="shared" si="125"/>
        <v>3.6639980902338496</v>
      </c>
      <c r="L125" s="30">
        <f t="shared" si="126"/>
        <v>2.2009466774640236E-4</v>
      </c>
      <c r="M125" s="30">
        <f t="shared" si="127"/>
        <v>1.2933188411468229E-3</v>
      </c>
      <c r="O125"/>
      <c r="P125"/>
      <c r="Q125" s="4"/>
      <c r="R125" s="4"/>
      <c r="S125" s="4"/>
      <c r="T125" s="4"/>
      <c r="U125" s="4"/>
      <c r="V125" s="4"/>
      <c r="W125" s="5"/>
      <c r="X125" s="4"/>
      <c r="Y125" s="4"/>
      <c r="Z125" s="6"/>
      <c r="AA125" s="6"/>
      <c r="AB125" s="6"/>
      <c r="AC125" s="6"/>
      <c r="AD125" s="6"/>
      <c r="AE125" s="6"/>
      <c r="AF125" s="7"/>
    </row>
    <row r="126" spans="1:32" s="3" customFormat="1" x14ac:dyDescent="0.25">
      <c r="A126" s="137" t="str">
        <f t="shared" si="97"/>
        <v>Manlift</v>
      </c>
      <c r="B126" s="36"/>
      <c r="C126" s="20"/>
      <c r="D126" s="1"/>
      <c r="E126" s="30">
        <f t="shared" si="119"/>
        <v>5.4373360777805442E-3</v>
      </c>
      <c r="F126" s="30">
        <f t="shared" si="120"/>
        <v>3.956874477786132E-2</v>
      </c>
      <c r="G126" s="30">
        <f t="shared" si="121"/>
        <v>3.9782312647674921E-2</v>
      </c>
      <c r="H126" s="30">
        <f t="shared" si="122"/>
        <v>7.8601936281830795E-5</v>
      </c>
      <c r="I126" s="30">
        <f t="shared" si="123"/>
        <v>2.7544387665426689E-3</v>
      </c>
      <c r="J126" s="30">
        <f t="shared" si="124"/>
        <v>2.451450502222975E-3</v>
      </c>
      <c r="K126" s="30">
        <f t="shared" si="125"/>
        <v>6.700640289957513</v>
      </c>
      <c r="L126" s="30">
        <f t="shared" si="126"/>
        <v>5.8476380067791175E-4</v>
      </c>
      <c r="M126" s="30">
        <f t="shared" si="127"/>
        <v>3.7793197015291175E-3</v>
      </c>
      <c r="O126"/>
      <c r="P126"/>
      <c r="Q126" s="4"/>
      <c r="R126" s="4"/>
      <c r="S126" s="4"/>
      <c r="T126" s="4"/>
      <c r="U126" s="4"/>
      <c r="V126" s="4"/>
      <c r="W126" s="5"/>
      <c r="X126" s="4"/>
      <c r="Y126" s="4"/>
      <c r="Z126" s="6"/>
      <c r="AA126" s="6"/>
      <c r="AB126" s="6"/>
      <c r="AC126" s="6"/>
      <c r="AD126" s="6"/>
      <c r="AE126" s="6"/>
      <c r="AF126" s="7"/>
    </row>
    <row r="127" spans="1:32" s="3" customFormat="1" x14ac:dyDescent="0.25">
      <c r="A127" s="12" t="str">
        <f t="shared" si="97"/>
        <v>Subtotal</v>
      </c>
      <c r="B127" s="36"/>
      <c r="C127" s="20"/>
      <c r="D127" s="1"/>
      <c r="E127" s="24">
        <f t="shared" ref="E127:M127" si="128">SUM(E124:E126)</f>
        <v>9.5208440195886316E-3</v>
      </c>
      <c r="F127" s="24">
        <f t="shared" si="128"/>
        <v>5.5108605298511137E-2</v>
      </c>
      <c r="G127" s="24">
        <f t="shared" si="128"/>
        <v>6.701007772445014E-2</v>
      </c>
      <c r="H127" s="24">
        <f t="shared" si="128"/>
        <v>1.6105445241243704E-4</v>
      </c>
      <c r="I127" s="24">
        <f t="shared" si="128"/>
        <v>3.6763006792703335E-3</v>
      </c>
      <c r="J127" s="24">
        <f t="shared" si="128"/>
        <v>3.2719076045505963E-3</v>
      </c>
      <c r="K127" s="24">
        <f t="shared" si="128"/>
        <v>14.028636470425212</v>
      </c>
      <c r="L127" s="24">
        <f t="shared" si="128"/>
        <v>1.0249531361707165E-3</v>
      </c>
      <c r="M127" s="24">
        <f t="shared" si="128"/>
        <v>6.3659573838227637E-3</v>
      </c>
      <c r="O127"/>
      <c r="P127"/>
      <c r="Q127" s="4"/>
      <c r="R127" s="4"/>
      <c r="S127" s="4"/>
      <c r="T127" s="4"/>
      <c r="U127" s="4"/>
      <c r="V127" s="4"/>
      <c r="W127" s="5"/>
      <c r="X127" s="4"/>
      <c r="Y127" s="4"/>
      <c r="Z127" s="6"/>
      <c r="AA127" s="6"/>
      <c r="AB127" s="6"/>
      <c r="AC127" s="6"/>
      <c r="AD127" s="6"/>
      <c r="AE127" s="6"/>
      <c r="AF127" s="7"/>
    </row>
  </sheetData>
  <mergeCells count="3">
    <mergeCell ref="E3:L3"/>
    <mergeCell ref="Q3:X3"/>
    <mergeCell ref="E67:L67"/>
  </mergeCells>
  <pageMargins left="0.75" right="0.75" top="1" bottom="1" header="0.5" footer="0.5"/>
  <pageSetup scale="29" orientation="landscape" r:id="rId1"/>
  <headerFooter alignWithMargins="0">
    <oddHeader xml:space="preserve">&amp;CTable A-9
Construction Heavy Equipment Emissions
South Orange County Reliability Project
Capistrano Substation - Lower Yard
</oddHeader>
    <oddFooter>&amp;CA-9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Type xmlns="41de493a-959f-4149-818d-a0d293ffd6a9" xsi:nil="true"/>
    <Submittal_x0020_Date xmlns="41de493a-959f-4149-818d-a0d293ffd6a9" xsi:nil="true"/>
    <Request_x0020_Date xmlns="41de493a-959f-4149-818d-a0d293ffd6a9" xsi:nil="true"/>
    <Request_x0020_Type xmlns="41de493a-959f-4149-818d-a0d293ffd6a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7988184AB26349823C5559B186F670" ma:contentTypeVersion="5" ma:contentTypeDescription="Create a new document." ma:contentTypeScope="" ma:versionID="256cd461ba74c711edae627b7ac05cec">
  <xsd:schema xmlns:xsd="http://www.w3.org/2001/XMLSchema" xmlns:xs="http://www.w3.org/2001/XMLSchema" xmlns:p="http://schemas.microsoft.com/office/2006/metadata/properties" xmlns:ns2="41de493a-959f-4149-818d-a0d293ffd6a9" targetNamespace="http://schemas.microsoft.com/office/2006/metadata/properties" ma:root="true" ma:fieldsID="df94b8df6688cd5ea1615922b1993a73" ns2:_="">
    <xsd:import namespace="41de493a-959f-4149-818d-a0d293ffd6a9"/>
    <xsd:element name="properties">
      <xsd:complexType>
        <xsd:sequence>
          <xsd:element name="documentManagement">
            <xsd:complexType>
              <xsd:all>
                <xsd:element ref="ns2:Request_x0020_Type" minOccurs="0"/>
                <xsd:element ref="ns2:Request_x0020_Date" minOccurs="0"/>
                <xsd:element ref="ns2:Submittal_x0020_Date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de493a-959f-4149-818d-a0d293ffd6a9" elementFormDefault="qualified">
    <xsd:import namespace="http://schemas.microsoft.com/office/2006/documentManagement/types"/>
    <xsd:import namespace="http://schemas.microsoft.com/office/infopath/2007/PartnerControls"/>
    <xsd:element name="Request_x0020_Type" ma:index="8" nillable="true" ma:displayName="Category" ma:format="Dropdown" ma:internalName="Request_x0020_Type">
      <xsd:simpleType>
        <xsd:restriction base="dms:Choice">
          <xsd:enumeration value="Data Request and Responses - Final Sent to CPUC"/>
          <xsd:enumeration value="DRA Data Requests"/>
          <xsd:enumeration value="ED Data Requests"/>
          <xsd:enumeration value="ED DEF Responses"/>
          <xsd:enumeration value="Frontline Data Requests"/>
          <xsd:enumeration value="DRA SDGE Response"/>
          <xsd:enumeration value="ED SDGE Responses"/>
          <xsd:enumeration value="Data Request Master"/>
        </xsd:restriction>
      </xsd:simpleType>
    </xsd:element>
    <xsd:element name="Request_x0020_Date" ma:index="9" nillable="true" ma:displayName="Request Number/Date" ma:format="Dropdown" ma:internalName="Request_x0020_Date">
      <xsd:simpleType>
        <xsd:restriction base="dms:Choice">
          <xsd:enumeration value="11-15-13 Power Flow Analysis"/>
          <xsd:enumeration value="DR 01 - May 25, 2012"/>
          <xsd:enumeration value="DR 02 - July 10, 2012"/>
          <xsd:enumeration value="DR 03 - July 12, 2012"/>
          <xsd:enumeration value="DR 04 - August 22, 2012"/>
          <xsd:enumeration value="DR 05 - August 22, 2012"/>
          <xsd:enumeration value="DR 06 - November 9, 2012"/>
          <xsd:enumeration value="DR 07 - December 4, 2012"/>
          <xsd:enumeration value="DR 08 - May 16, 2013"/>
          <xsd:enumeration value="DR 09 - September 23, 2013"/>
          <xsd:enumeration value="DR 10 - September 23, 2013"/>
          <xsd:enumeration value="DR 11 - September 23, 2013"/>
          <xsd:enumeration value="ED DEF1"/>
          <xsd:enumeration value="ED DEF2"/>
          <xsd:enumeration value="ED DR - May 25, 2012"/>
          <xsd:enumeration value="ED DR01 -April, 22, 2013"/>
          <xsd:enumeration value="ED DR03 - April 16, 2014"/>
          <xsd:enumeration value="ED DR04 - May 2, 2014"/>
          <xsd:enumeration value="ED DR05 - May 9, 2014"/>
          <xsd:enumeration value="Frontline DR 1 - July 18, 2012"/>
          <xsd:enumeration value="Frontline DR 2 - July 25, 2012"/>
          <xsd:enumeration value="Frontline DR 3 - June 7, 2014"/>
          <xsd:enumeration value="Frontline DR 4 - June 10, 2014"/>
        </xsd:restriction>
      </xsd:simpleType>
    </xsd:element>
    <xsd:element name="Submittal_x0020_Date" ma:index="10" nillable="true" ma:displayName="Sub Category" ma:format="Dropdown" ma:internalName="Submittal_x0020_Date">
      <xsd:simpleType>
        <xsd:union memberTypes="dms:Text">
          <xsd:simpleType>
            <xsd:restriction base="dms:Choice">
              <xsd:enumeration value="011714 DR Submittal Power Flow"/>
              <xsd:enumeration value="040114 DR Submittal Power Flow"/>
              <xsd:enumeration value="111513 DR Submittal Power Flow"/>
              <xsd:enumeration value="042213 DR1 Orig DR ED-SDGE-01 Final Responses"/>
              <xsd:enumeration value="042413 DR1 Q4-6 Submittal ED-SDGE-01 Final Responses"/>
              <xsd:enumeration value="052013 DR1 Q1-3 Submittal ED-SDGE-01 Final Responses"/>
              <xsd:enumeration value="061413 DR1 Q1 Partial Submittal ED-SDGE-01 Final Responses"/>
            </xsd:restriction>
          </xsd:simpleType>
        </xsd:union>
      </xsd:simpleType>
    </xsd:element>
    <xsd:element name="Document_x0020_Type" ma:index="11" nillable="true" ma:displayName="Document Type" ma:format="Dropdown" ma:internalName="Document_x0020_Type">
      <xsd:simpleType>
        <xsd:union memberTypes="dms:Text">
          <xsd:simpleType>
            <xsd:restriction base="dms:Choice">
              <xsd:enumeration value="Attachment 1 - on a CD"/>
              <xsd:enumeration value="Attachment 2 - in the response"/>
              <xsd:enumeration value="Final"/>
              <xsd:enumeration value="Q1 Attachments"/>
              <xsd:enumeration value="Q3 Attachments"/>
              <xsd:enumeration value="Q4-6 Attachments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0B0907-E2C1-4140-A01B-63B1AAE893BB}">
  <ds:schemaRefs>
    <ds:schemaRef ds:uri="http://schemas.microsoft.com/office/2006/metadata/properties"/>
    <ds:schemaRef ds:uri="http://schemas.microsoft.com/office/infopath/2007/PartnerControls"/>
    <ds:schemaRef ds:uri="41de493a-959f-4149-818d-a0d293ffd6a9"/>
  </ds:schemaRefs>
</ds:datastoreItem>
</file>

<file path=customXml/itemProps2.xml><?xml version="1.0" encoding="utf-8"?>
<ds:datastoreItem xmlns:ds="http://schemas.openxmlformats.org/officeDocument/2006/customXml" ds:itemID="{B94600B2-DBFB-4EB9-A14D-53549D520D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de493a-959f-4149-818d-a0d293ffd6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95A5DE-D398-4815-9391-6540FE7421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</vt:i4>
      </vt:variant>
    </vt:vector>
  </HeadingPairs>
  <TitlesOfParts>
    <vt:vector size="50" baseType="lpstr">
      <vt:lpstr>Equipment Trans Talega Seg 4</vt:lpstr>
      <vt:lpstr>Equipment Trans Seg 1</vt:lpstr>
      <vt:lpstr>Equipment Trans Talega Seg 3</vt:lpstr>
      <vt:lpstr>Equipment Trans Talega Seg 2</vt:lpstr>
      <vt:lpstr>Equipment Trans Segment 1</vt:lpstr>
      <vt:lpstr>Equipment Trans Talega Seg 4 23</vt:lpstr>
      <vt:lpstr>Equipment Trans Seg 2 230</vt:lpstr>
      <vt:lpstr>Equipment Talega Substation</vt:lpstr>
      <vt:lpstr>Equipment Capistrano Sub 138kV</vt:lpstr>
      <vt:lpstr>Equipment Capistrano Sub 230kV</vt:lpstr>
      <vt:lpstr>Offroad Tiers EF</vt:lpstr>
      <vt:lpstr>WorkerTrips</vt:lpstr>
      <vt:lpstr>Construction Trucks</vt:lpstr>
      <vt:lpstr>Helicopters</vt:lpstr>
      <vt:lpstr>Helicopter EF</vt:lpstr>
      <vt:lpstr>Fugitive Dust Substation</vt:lpstr>
      <vt:lpstr>Fugitive Dust Transmission</vt:lpstr>
      <vt:lpstr>Substation Construction SC</vt:lpstr>
      <vt:lpstr>Substation Construction SD</vt:lpstr>
      <vt:lpstr>Transmission Line Construct SC</vt:lpstr>
      <vt:lpstr>Transmission Line Construct SD</vt:lpstr>
      <vt:lpstr>Reroute 2-12kV Circuits</vt:lpstr>
      <vt:lpstr>Construct 4 Foundations</vt:lpstr>
      <vt:lpstr>Undergrounding 2</vt:lpstr>
      <vt:lpstr>WorkerTrips Distribution</vt:lpstr>
      <vt:lpstr>Construction Trucks Distributio</vt:lpstr>
      <vt:lpstr>Distribution Line Construction</vt:lpstr>
      <vt:lpstr>Maximum Daily SC</vt:lpstr>
      <vt:lpstr>Maximum Daily SD</vt:lpstr>
      <vt:lpstr>Sheet1</vt:lpstr>
      <vt:lpstr>2015</vt:lpstr>
      <vt:lpstr>2016</vt:lpstr>
      <vt:lpstr>2017</vt:lpstr>
      <vt:lpstr>2018</vt:lpstr>
      <vt:lpstr>2019</vt:lpstr>
      <vt:lpstr>2020</vt:lpstr>
      <vt:lpstr>OFFROADEFs</vt:lpstr>
      <vt:lpstr>Tier 4</vt:lpstr>
      <vt:lpstr>EFs with Tier 4</vt:lpstr>
      <vt:lpstr>EFROGS</vt:lpstr>
      <vt:lpstr>EFCOS</vt:lpstr>
      <vt:lpstr>EFNOXS</vt:lpstr>
      <vt:lpstr>EFSOXS</vt:lpstr>
      <vt:lpstr>EFPMS</vt:lpstr>
      <vt:lpstr>EFCO2S</vt:lpstr>
      <vt:lpstr>EFCH4S</vt:lpstr>
      <vt:lpstr>'Helicopter EF'!Print_Area</vt:lpstr>
      <vt:lpstr>Helicopters!Print_Area</vt:lpstr>
      <vt:lpstr>'Offroad Tiers EF'!Print_Area</vt:lpstr>
      <vt:lpstr>'Helicopter EF'!Print_Titles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Valorie Thompson</dc:creator>
  <cp:lastModifiedBy>Nicholas Czarnecki</cp:lastModifiedBy>
  <cp:lastPrinted>2014-10-27T21:50:40Z</cp:lastPrinted>
  <dcterms:created xsi:type="dcterms:W3CDTF">2010-04-13T18:46:58Z</dcterms:created>
  <dcterms:modified xsi:type="dcterms:W3CDTF">2014-12-18T00:10:18Z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0x0101005C7988184AB26349823C5559B186F670</vt:lpwstr>
  </property>
</Properties>
</file>